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695" tabRatio="694" activeTab="2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RateHelpers!$J$2:$J$153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RateHelpers!$E$2:$E$153</definedName>
    <definedName name="RateHelpersIncluded">RateHelpers!$H$2:$H$153</definedName>
    <definedName name="RateHelpersPriority">RateHelpers!$I$2:$I$153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4" i="7" l="1"/>
  <c r="C5" i="7"/>
  <c r="C6" i="7"/>
  <c r="C7" i="7"/>
  <c r="C3" i="7"/>
  <c r="F4" i="7"/>
  <c r="F5" i="7"/>
  <c r="F3" i="7"/>
  <c r="F7" i="7"/>
  <c r="F6" i="7"/>
  <c r="C30" i="6" l="1"/>
  <c r="B7" i="11"/>
  <c r="M16" i="6"/>
  <c r="M15" i="6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J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E9" i="9"/>
  <c r="G9" i="9"/>
  <c r="B10" i="9"/>
  <c r="D10" i="9"/>
  <c r="G10" i="9" s="1"/>
  <c r="E10" i="9"/>
  <c r="E1" i="7"/>
  <c r="E2" i="7" s="1"/>
  <c r="D3" i="7"/>
  <c r="D4" i="7"/>
  <c r="D5" i="7"/>
  <c r="D6" i="7"/>
  <c r="D7" i="7"/>
  <c r="L4" i="11"/>
  <c r="L6" i="11"/>
  <c r="H8" i="9" l="1"/>
  <c r="H5" i="9"/>
  <c r="H7" i="9"/>
  <c r="E5" i="7"/>
  <c r="H9" i="9"/>
  <c r="H6" i="9"/>
  <c r="H10" i="9"/>
  <c r="H4" i="9"/>
  <c r="H3" i="9"/>
  <c r="E6" i="7"/>
  <c r="E4" i="7"/>
  <c r="E7" i="7"/>
  <c r="E3" i="7"/>
  <c r="F2" i="7"/>
  <c r="I3" i="9"/>
  <c r="M6" i="11"/>
  <c r="G4" i="7"/>
  <c r="G2" i="7"/>
  <c r="I4" i="9"/>
  <c r="I10" i="9"/>
  <c r="M4" i="11"/>
  <c r="I8" i="9"/>
  <c r="I5" i="9"/>
  <c r="G6" i="7"/>
  <c r="I6" i="9"/>
  <c r="G7" i="7"/>
  <c r="G3" i="7"/>
  <c r="G5" i="7"/>
  <c r="I7" i="9"/>
  <c r="I9" i="9"/>
  <c r="H7" i="11" l="1"/>
  <c r="J8" i="9"/>
  <c r="J4" i="9"/>
  <c r="J7" i="9"/>
  <c r="J6" i="9"/>
  <c r="J10" i="9"/>
  <c r="J3" i="9"/>
  <c r="J9" i="9"/>
  <c r="J5" i="9"/>
  <c r="F7" i="11" l="1"/>
  <c r="D8" i="11"/>
  <c r="D9" i="11" s="1"/>
  <c r="K7" i="11"/>
  <c r="J7" i="11"/>
  <c r="L7" i="11"/>
  <c r="M7" i="11"/>
  <c r="J8" i="11" l="1"/>
  <c r="H8" i="11"/>
  <c r="K8" i="11"/>
  <c r="F8" i="11"/>
  <c r="D10" i="11"/>
  <c r="F9" i="11"/>
  <c r="H9" i="11"/>
  <c r="J9" i="11"/>
  <c r="K9" i="11"/>
  <c r="L9" i="11"/>
  <c r="M9" i="11"/>
  <c r="L8" i="11"/>
  <c r="H10" i="11" l="1"/>
  <c r="F10" i="11"/>
  <c r="J10" i="11"/>
  <c r="D11" i="11"/>
  <c r="K10" i="11"/>
  <c r="L10" i="11"/>
  <c r="M8" i="11"/>
  <c r="M10" i="11"/>
  <c r="D12" i="11" l="1"/>
  <c r="F11" i="11"/>
  <c r="K11" i="11"/>
  <c r="H11" i="11"/>
  <c r="J11" i="11"/>
  <c r="L11" i="11"/>
  <c r="F12" i="11" l="1"/>
  <c r="K12" i="11"/>
  <c r="D13" i="11"/>
  <c r="H12" i="11"/>
  <c r="J12" i="11"/>
  <c r="M11" i="11"/>
  <c r="L12" i="11"/>
  <c r="M12" i="11" s="1"/>
  <c r="K13" i="11" l="1"/>
  <c r="D14" i="11"/>
  <c r="H13" i="11"/>
  <c r="J13" i="11"/>
  <c r="F13" i="11"/>
  <c r="L13" i="11"/>
  <c r="M13" i="11"/>
  <c r="H14" i="11" l="1"/>
  <c r="J14" i="11"/>
  <c r="K14" i="11"/>
  <c r="F14" i="11"/>
  <c r="D15" i="11"/>
  <c r="L14" i="11"/>
  <c r="H15" i="11" l="1"/>
  <c r="J15" i="11"/>
  <c r="K15" i="11"/>
  <c r="F15" i="11"/>
  <c r="D16" i="11"/>
  <c r="L15" i="11"/>
  <c r="M14" i="11"/>
  <c r="F16" i="11" l="1"/>
  <c r="H16" i="11"/>
  <c r="J16" i="11"/>
  <c r="K16" i="11"/>
  <c r="D17" i="11"/>
  <c r="L16" i="11"/>
  <c r="M15" i="11"/>
  <c r="F17" i="11" l="1"/>
  <c r="J17" i="11"/>
  <c r="H17" i="11"/>
  <c r="K17" i="11"/>
  <c r="D18" i="11"/>
  <c r="L17" i="11"/>
  <c r="M16" i="11"/>
  <c r="D19" i="11" l="1"/>
  <c r="F18" i="11"/>
  <c r="H18" i="11"/>
  <c r="J18" i="11"/>
  <c r="K18" i="11"/>
  <c r="L18" i="11"/>
  <c r="M17" i="11"/>
  <c r="F19" i="11" l="1"/>
  <c r="H19" i="11"/>
  <c r="D20" i="11"/>
  <c r="J19" i="11"/>
  <c r="K19" i="11"/>
  <c r="M18" i="11"/>
  <c r="L19" i="11"/>
  <c r="D21" i="11" l="1"/>
  <c r="K20" i="11"/>
  <c r="F20" i="11"/>
  <c r="H20" i="11"/>
  <c r="J20" i="11"/>
  <c r="M19" i="11"/>
  <c r="L20" i="11"/>
  <c r="J21" i="11" l="1"/>
  <c r="K21" i="11"/>
  <c r="F21" i="11"/>
  <c r="H21" i="11"/>
  <c r="D22" i="11"/>
  <c r="M20" i="11"/>
  <c r="L21" i="11"/>
  <c r="M21" i="11" s="1"/>
  <c r="J22" i="11" l="1"/>
  <c r="K22" i="11"/>
  <c r="F22" i="11"/>
  <c r="H22" i="11"/>
  <c r="D23" i="11"/>
  <c r="L22" i="11"/>
  <c r="M22" i="11" s="1"/>
  <c r="F23" i="11" l="1"/>
  <c r="H23" i="11"/>
  <c r="J23" i="11"/>
  <c r="K23" i="11"/>
  <c r="D24" i="11"/>
  <c r="L23" i="11"/>
  <c r="F24" i="11" l="1"/>
  <c r="H24" i="11"/>
  <c r="K24" i="11"/>
  <c r="J24" i="11"/>
  <c r="D25" i="11"/>
  <c r="M23" i="11"/>
  <c r="L24" i="11"/>
  <c r="D26" i="11" l="1"/>
  <c r="F25" i="11"/>
  <c r="H25" i="11"/>
  <c r="J25" i="11"/>
  <c r="K25" i="11"/>
  <c r="M24" i="11"/>
  <c r="L25" i="11"/>
  <c r="H26" i="11" l="1"/>
  <c r="J26" i="11"/>
  <c r="F26" i="11"/>
  <c r="D27" i="11"/>
  <c r="K26" i="11"/>
  <c r="L26" i="11"/>
  <c r="M25" i="11"/>
  <c r="D28" i="11" l="1"/>
  <c r="F27" i="11"/>
  <c r="H27" i="11"/>
  <c r="J27" i="11"/>
  <c r="K27" i="11"/>
  <c r="M26" i="11"/>
  <c r="L27" i="11"/>
  <c r="F28" i="11" l="1"/>
  <c r="K28" i="11"/>
  <c r="H28" i="11"/>
  <c r="J28" i="11"/>
  <c r="D29" i="11"/>
  <c r="L28" i="11"/>
  <c r="M27" i="11"/>
  <c r="K29" i="11" l="1"/>
  <c r="D30" i="11"/>
  <c r="F29" i="11"/>
  <c r="H29" i="11"/>
  <c r="J29" i="11"/>
  <c r="M28" i="11"/>
  <c r="L29" i="11"/>
  <c r="H30" i="11" l="1"/>
  <c r="J30" i="11"/>
  <c r="K30" i="11"/>
  <c r="F30" i="11"/>
  <c r="D31" i="11"/>
  <c r="L30" i="11"/>
  <c r="M29" i="11"/>
  <c r="M30" i="11"/>
  <c r="H31" i="11" l="1"/>
  <c r="J31" i="11"/>
  <c r="K31" i="11"/>
  <c r="F31" i="11"/>
  <c r="D32" i="11"/>
  <c r="L31" i="11"/>
  <c r="M31" i="11"/>
  <c r="F32" i="11" l="1"/>
  <c r="H32" i="11"/>
  <c r="J32" i="11"/>
  <c r="D33" i="11"/>
  <c r="K32" i="11"/>
  <c r="L32" i="11"/>
  <c r="M32" i="11"/>
  <c r="J33" i="11" l="1"/>
  <c r="F33" i="11"/>
  <c r="H33" i="11"/>
  <c r="D34" i="11"/>
  <c r="K33" i="11"/>
  <c r="L33" i="11"/>
  <c r="M33" i="11"/>
  <c r="D35" i="11" l="1"/>
  <c r="F34" i="11"/>
  <c r="H34" i="11"/>
  <c r="J34" i="11"/>
  <c r="K34" i="11"/>
  <c r="L34" i="11"/>
  <c r="F35" i="11" l="1"/>
  <c r="D36" i="11"/>
  <c r="H35" i="11"/>
  <c r="J35" i="11"/>
  <c r="K35" i="11"/>
  <c r="M34" i="11"/>
  <c r="L35" i="11"/>
  <c r="M35" i="11" s="1"/>
  <c r="D37" i="11" l="1"/>
  <c r="K36" i="11"/>
  <c r="J36" i="11"/>
  <c r="F36" i="11"/>
  <c r="H36" i="11"/>
  <c r="L36" i="11"/>
  <c r="M36" i="11"/>
  <c r="J37" i="11" l="1"/>
  <c r="K37" i="11"/>
  <c r="D38" i="11"/>
  <c r="F37" i="11"/>
  <c r="H37" i="11"/>
  <c r="L37" i="11"/>
  <c r="M37" i="11"/>
  <c r="J38" i="11" l="1"/>
  <c r="K38" i="11"/>
  <c r="F38" i="11"/>
  <c r="H38" i="11"/>
  <c r="D39" i="11"/>
  <c r="L38" i="11"/>
  <c r="M38" i="11"/>
  <c r="F39" i="11" l="1"/>
  <c r="H39" i="11"/>
  <c r="J39" i="11"/>
  <c r="K39" i="11"/>
  <c r="I2" i="9"/>
  <c r="L3" i="11"/>
  <c r="L39" i="11"/>
  <c r="D7" i="6" l="1"/>
  <c r="D8" i="6"/>
  <c r="D6" i="6"/>
  <c r="M39" i="11"/>
  <c r="M3" i="11"/>
  <c r="J2" i="9"/>
  <c r="B1" i="6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C10" i="4"/>
  <c r="E10" i="4" s="1"/>
  <c r="C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F78" i="4"/>
  <c r="L74" i="4"/>
  <c r="G71" i="4"/>
  <c r="G65" i="4"/>
  <c r="L18" i="4"/>
  <c r="L9" i="4"/>
  <c r="L75" i="4"/>
  <c r="L70" i="4"/>
  <c r="G72" i="4"/>
  <c r="G78" i="4"/>
  <c r="L69" i="4"/>
  <c r="L79" i="4"/>
  <c r="G66" i="4"/>
  <c r="L19" i="4"/>
  <c r="F12" i="4"/>
  <c r="L63" i="4"/>
  <c r="K9" i="4"/>
  <c r="L62" i="4"/>
  <c r="K8" i="4"/>
  <c r="F76" i="4"/>
  <c r="K77" i="4"/>
  <c r="F62" i="4"/>
  <c r="G76" i="4"/>
  <c r="K75" i="4"/>
  <c r="K18" i="4"/>
  <c r="L10" i="4"/>
  <c r="L68" i="4"/>
  <c r="F13" i="4"/>
  <c r="K79" i="4"/>
  <c r="K14" i="4"/>
  <c r="L17" i="4"/>
  <c r="F11" i="4"/>
  <c r="F71" i="4"/>
  <c r="F70" i="4"/>
  <c r="F2" i="4"/>
  <c r="K2" i="4"/>
  <c r="K11" i="4"/>
  <c r="K13" i="4"/>
  <c r="G75" i="4"/>
  <c r="L11" i="4"/>
  <c r="G74" i="4"/>
  <c r="F74" i="4"/>
  <c r="G63" i="4"/>
  <c r="F7" i="4"/>
  <c r="F69" i="4"/>
  <c r="L12" i="4"/>
  <c r="F15" i="4"/>
  <c r="F19" i="4"/>
  <c r="K73" i="4"/>
  <c r="F72" i="4"/>
  <c r="K5" i="4"/>
  <c r="G67" i="4"/>
  <c r="K6" i="4"/>
  <c r="K72" i="4"/>
  <c r="L3" i="4"/>
  <c r="L76" i="4"/>
  <c r="K62" i="4"/>
  <c r="L16" i="4"/>
  <c r="L5" i="4"/>
  <c r="K66" i="4"/>
  <c r="G79" i="4"/>
  <c r="K78" i="4"/>
  <c r="G73" i="4"/>
  <c r="L65" i="4"/>
  <c r="K12" i="4"/>
  <c r="L2" i="4"/>
  <c r="F79" i="4"/>
  <c r="K3" i="4"/>
  <c r="L77" i="4"/>
  <c r="K67" i="4"/>
  <c r="G69" i="4"/>
  <c r="K19" i="4"/>
  <c r="L6" i="4"/>
  <c r="F67" i="4"/>
  <c r="G68" i="4"/>
  <c r="K4" i="4"/>
  <c r="F10" i="4"/>
  <c r="G77" i="4"/>
  <c r="K71" i="4"/>
  <c r="K74" i="4"/>
  <c r="K15" i="4"/>
  <c r="F73" i="4"/>
  <c r="L73" i="4"/>
  <c r="K7" i="4"/>
  <c r="L78" i="4"/>
  <c r="K76" i="4"/>
  <c r="K69" i="4"/>
  <c r="F68" i="4"/>
  <c r="F17" i="4"/>
  <c r="L66" i="4"/>
  <c r="F6" i="4"/>
  <c r="L14" i="4"/>
  <c r="K64" i="4"/>
  <c r="F5" i="4"/>
  <c r="F14" i="4"/>
  <c r="F64" i="4"/>
  <c r="F9" i="4"/>
  <c r="L13" i="4"/>
  <c r="F18" i="4"/>
  <c r="L67" i="4"/>
  <c r="K17" i="4"/>
  <c r="L71" i="4"/>
  <c r="F63" i="4"/>
  <c r="K70" i="4"/>
  <c r="F16" i="4"/>
  <c r="D20" i="4" a="1"/>
  <c r="F8" i="4"/>
  <c r="F65" i="4"/>
  <c r="F77" i="4"/>
  <c r="F4" i="4"/>
  <c r="G64" i="4"/>
  <c r="G70" i="4"/>
  <c r="K65" i="4"/>
  <c r="K10" i="4"/>
  <c r="L64" i="4"/>
  <c r="F75" i="4"/>
  <c r="F66" i="4"/>
  <c r="L8" i="4"/>
  <c r="L72" i="4"/>
  <c r="K63" i="4"/>
  <c r="L15" i="4"/>
  <c r="F3" i="4"/>
  <c r="L4" i="4"/>
  <c r="K68" i="4"/>
  <c r="L7" i="4"/>
  <c r="K16" i="4"/>
  <c r="G62" i="4"/>
  <c r="E120" i="4" l="1"/>
  <c r="E121" i="4"/>
  <c r="E138" i="4"/>
  <c r="E119" i="4"/>
  <c r="E112" i="4"/>
  <c r="E88" i="4"/>
  <c r="E110" i="4"/>
  <c r="E134" i="4"/>
  <c r="E145" i="4"/>
  <c r="E152" i="4"/>
  <c r="E80" i="4"/>
  <c r="E125" i="4"/>
  <c r="E150" i="4"/>
  <c r="E114" i="4"/>
  <c r="E129" i="4"/>
  <c r="E142" i="4"/>
  <c r="E94" i="4"/>
  <c r="E151" i="4"/>
  <c r="E143" i="4"/>
  <c r="E127" i="4"/>
  <c r="E108" i="4"/>
  <c r="E137" i="4"/>
  <c r="E90" i="4"/>
  <c r="E144" i="4"/>
  <c r="E131" i="4"/>
  <c r="E96" i="4"/>
  <c r="E92" i="4"/>
  <c r="E126" i="4"/>
  <c r="E106" i="4"/>
  <c r="E116" i="4"/>
  <c r="E122" i="4"/>
  <c r="E128" i="4"/>
  <c r="E141" i="4"/>
  <c r="E82" i="4"/>
  <c r="E135" i="4"/>
  <c r="E84" i="4"/>
  <c r="E153" i="4"/>
  <c r="E95" i="4"/>
  <c r="E102" i="4"/>
  <c r="E98" i="4"/>
  <c r="E86" i="4"/>
  <c r="E101" i="4"/>
  <c r="E97" i="4"/>
  <c r="E132" i="4"/>
  <c r="E130" i="4"/>
  <c r="E104" i="4"/>
  <c r="E146" i="4"/>
  <c r="E139" i="4"/>
  <c r="E123" i="4"/>
  <c r="E140" i="4"/>
  <c r="E100" i="4"/>
  <c r="E118" i="4"/>
  <c r="E136" i="4"/>
  <c r="E147" i="4"/>
  <c r="E124" i="4"/>
  <c r="D34" i="4"/>
  <c r="E34" i="4" s="1"/>
  <c r="D50" i="4"/>
  <c r="E50" i="4" s="1"/>
  <c r="D23" i="4"/>
  <c r="E23" i="4" s="1"/>
  <c r="D55" i="4"/>
  <c r="E55" i="4" s="1"/>
  <c r="D25" i="4"/>
  <c r="E25" i="4" s="1"/>
  <c r="D41" i="4"/>
  <c r="E41" i="4" s="1"/>
  <c r="D57" i="4"/>
  <c r="E57" i="4" s="1"/>
  <c r="D30" i="4"/>
  <c r="E30" i="4" s="1"/>
  <c r="D46" i="4"/>
  <c r="E46" i="4" s="1"/>
  <c r="D32" i="4"/>
  <c r="E32" i="4" s="1"/>
  <c r="D48" i="4"/>
  <c r="E48" i="4" s="1"/>
  <c r="D39" i="4"/>
  <c r="E39" i="4" s="1"/>
  <c r="D21" i="4"/>
  <c r="E21" i="4" s="1"/>
  <c r="D37" i="4"/>
  <c r="E37" i="4" s="1"/>
  <c r="D28" i="4"/>
  <c r="E28" i="4" s="1"/>
  <c r="D35" i="4"/>
  <c r="E35" i="4" s="1"/>
  <c r="D51" i="4"/>
  <c r="E51" i="4" s="1"/>
  <c r="D26" i="4"/>
  <c r="E26" i="4" s="1"/>
  <c r="D42" i="4"/>
  <c r="E42" i="4" s="1"/>
  <c r="D58" i="4"/>
  <c r="E58" i="4" s="1"/>
  <c r="D49" i="4"/>
  <c r="E49" i="4" s="1"/>
  <c r="D60" i="4"/>
  <c r="E60" i="4" s="1"/>
  <c r="D54" i="4"/>
  <c r="E54" i="4" s="1"/>
  <c r="D44" i="4"/>
  <c r="E44" i="4" s="1"/>
  <c r="D56" i="4"/>
  <c r="E56" i="4" s="1"/>
  <c r="D53" i="4"/>
  <c r="E53" i="4" s="1"/>
  <c r="D61" i="4"/>
  <c r="E61" i="4" s="1"/>
  <c r="D27" i="4"/>
  <c r="E27" i="4" s="1"/>
  <c r="D52" i="4"/>
  <c r="E52" i="4" s="1"/>
  <c r="D59" i="4"/>
  <c r="E59" i="4" s="1"/>
  <c r="D20" i="4"/>
  <c r="E20" i="4" s="1"/>
  <c r="D29" i="4"/>
  <c r="E29" i="4" s="1"/>
  <c r="D38" i="4"/>
  <c r="E38" i="4" s="1"/>
  <c r="D45" i="4"/>
  <c r="E45" i="4" s="1"/>
  <c r="D24" i="4"/>
  <c r="E24" i="4" s="1"/>
  <c r="D47" i="4"/>
  <c r="E47" i="4" s="1"/>
  <c r="D22" i="4"/>
  <c r="E22" i="4" s="1"/>
  <c r="D31" i="4"/>
  <c r="E31" i="4" s="1"/>
  <c r="D43" i="4"/>
  <c r="E43" i="4" s="1"/>
  <c r="D40" i="4"/>
  <c r="E40" i="4" s="1"/>
  <c r="D36" i="4"/>
  <c r="E36" i="4" s="1"/>
  <c r="D33" i="4"/>
  <c r="E33" i="4" s="1"/>
  <c r="E111" i="4"/>
  <c r="E117" i="4"/>
  <c r="E85" i="4"/>
  <c r="E133" i="4"/>
  <c r="E99" i="4"/>
  <c r="E149" i="4"/>
  <c r="E113" i="4"/>
  <c r="E81" i="4"/>
  <c r="E107" i="4"/>
  <c r="E103" i="4"/>
  <c r="E148" i="4"/>
  <c r="E109" i="4"/>
  <c r="E91" i="4"/>
  <c r="E105" i="4"/>
  <c r="E87" i="4"/>
  <c r="E89" i="4"/>
  <c r="E93" i="4"/>
  <c r="E115" i="4"/>
  <c r="E83" i="4"/>
  <c r="G137" i="4"/>
  <c r="L111" i="4"/>
  <c r="K56" i="4"/>
  <c r="K110" i="4"/>
  <c r="L97" i="4"/>
  <c r="K60" i="4"/>
  <c r="L96" i="4"/>
  <c r="F148" i="4"/>
  <c r="G150" i="4"/>
  <c r="L83" i="4"/>
  <c r="G39" i="4"/>
  <c r="K148" i="4"/>
  <c r="K44" i="4"/>
  <c r="F123" i="4"/>
  <c r="F52" i="4"/>
  <c r="K55" i="4"/>
  <c r="K134" i="4"/>
  <c r="F132" i="4"/>
  <c r="G103" i="4"/>
  <c r="G153" i="4"/>
  <c r="K84" i="4"/>
  <c r="F101" i="4"/>
  <c r="K105" i="4"/>
  <c r="L121" i="4"/>
  <c r="L88" i="4"/>
  <c r="F152" i="4"/>
  <c r="F141" i="4"/>
  <c r="K145" i="4"/>
  <c r="G135" i="4"/>
  <c r="G91" i="4"/>
  <c r="K40" i="4"/>
  <c r="L127" i="4"/>
  <c r="L145" i="4"/>
  <c r="F61" i="4"/>
  <c r="G106" i="4"/>
  <c r="F22" i="4"/>
  <c r="G44" i="4"/>
  <c r="L23" i="4"/>
  <c r="F23" i="4"/>
  <c r="L131" i="4"/>
  <c r="L134" i="4"/>
  <c r="L120" i="4"/>
  <c r="L60" i="4"/>
  <c r="K89" i="4"/>
  <c r="G146" i="4"/>
  <c r="L100" i="4"/>
  <c r="G99" i="4"/>
  <c r="G54" i="4"/>
  <c r="F55" i="4"/>
  <c r="K46" i="4"/>
  <c r="L38" i="4"/>
  <c r="L51" i="4"/>
  <c r="K50" i="4"/>
  <c r="L40" i="4"/>
  <c r="L149" i="4"/>
  <c r="L151" i="4"/>
  <c r="G125" i="4"/>
  <c r="L146" i="4"/>
  <c r="G25" i="4"/>
  <c r="F36" i="4"/>
  <c r="K108" i="4"/>
  <c r="K47" i="4"/>
  <c r="L32" i="4"/>
  <c r="K88" i="4"/>
  <c r="G30" i="4"/>
  <c r="G112" i="4"/>
  <c r="K104" i="4"/>
  <c r="F88" i="4"/>
  <c r="G46" i="4"/>
  <c r="G55" i="4"/>
  <c r="K109" i="4"/>
  <c r="F54" i="4"/>
  <c r="L153" i="4"/>
  <c r="L140" i="4"/>
  <c r="K87" i="4"/>
  <c r="K123" i="4"/>
  <c r="F137" i="4"/>
  <c r="G41" i="4"/>
  <c r="K54" i="4"/>
  <c r="K29" i="4"/>
  <c r="L150" i="4"/>
  <c r="F46" i="4"/>
  <c r="K36" i="4"/>
  <c r="K149" i="4"/>
  <c r="K113" i="4"/>
  <c r="G102" i="4"/>
  <c r="G42" i="4"/>
  <c r="F57" i="4"/>
  <c r="K130" i="4"/>
  <c r="L126" i="4"/>
  <c r="L95" i="4"/>
  <c r="K41" i="4"/>
  <c r="G116" i="4"/>
  <c r="L24" i="4"/>
  <c r="F87" i="4"/>
  <c r="F126" i="4"/>
  <c r="F32" i="4"/>
  <c r="G20" i="4"/>
  <c r="L26" i="4"/>
  <c r="F95" i="4"/>
  <c r="L103" i="4"/>
  <c r="L115" i="4"/>
  <c r="G134" i="4"/>
  <c r="K118" i="4"/>
  <c r="G124" i="4"/>
  <c r="L130" i="4"/>
  <c r="L50" i="4"/>
  <c r="G147" i="4"/>
  <c r="L39" i="4"/>
  <c r="F99" i="4"/>
  <c r="K59" i="4"/>
  <c r="F143" i="4"/>
  <c r="K146" i="4"/>
  <c r="L123" i="4"/>
  <c r="F96" i="4"/>
  <c r="F122" i="4"/>
  <c r="L48" i="4"/>
  <c r="F150" i="4"/>
  <c r="K111" i="4"/>
  <c r="L143" i="4"/>
  <c r="G117" i="4"/>
  <c r="K126" i="4"/>
  <c r="K53" i="4"/>
  <c r="K140" i="4"/>
  <c r="L93" i="4"/>
  <c r="L147" i="4"/>
  <c r="L133" i="4"/>
  <c r="G97" i="4"/>
  <c r="G93" i="4"/>
  <c r="K133" i="4"/>
  <c r="F24" i="4"/>
  <c r="L52" i="4"/>
  <c r="F140" i="4"/>
  <c r="K103" i="4"/>
  <c r="G143" i="4"/>
  <c r="G50" i="4"/>
  <c r="K39" i="4"/>
  <c r="K144" i="4"/>
  <c r="L54" i="4"/>
  <c r="L142" i="4"/>
  <c r="L110" i="4"/>
  <c r="F85" i="4"/>
  <c r="L31" i="4"/>
  <c r="L114" i="4"/>
  <c r="G113" i="4"/>
  <c r="F49" i="4"/>
  <c r="F114" i="4"/>
  <c r="K33" i="4"/>
  <c r="G58" i="4"/>
  <c r="K82" i="4"/>
  <c r="G26" i="4"/>
  <c r="L148" i="4"/>
  <c r="F29" i="4"/>
  <c r="G33" i="4"/>
  <c r="G84" i="4"/>
  <c r="F80" i="4"/>
  <c r="L34" i="4"/>
  <c r="L43" i="4"/>
  <c r="L122" i="4"/>
  <c r="F119" i="4"/>
  <c r="G130" i="4"/>
  <c r="F146" i="4"/>
  <c r="K135" i="4"/>
  <c r="G101" i="4"/>
  <c r="G128" i="4"/>
  <c r="F35" i="4"/>
  <c r="F138" i="4"/>
  <c r="K142" i="4"/>
  <c r="L105" i="4"/>
  <c r="G89" i="4"/>
  <c r="K139" i="4"/>
  <c r="K107" i="4"/>
  <c r="L28" i="4"/>
  <c r="F115" i="4"/>
  <c r="K31" i="4"/>
  <c r="L141" i="4"/>
  <c r="L124" i="4"/>
  <c r="F112" i="4"/>
  <c r="L44" i="4"/>
  <c r="K102" i="4"/>
  <c r="K22" i="4"/>
  <c r="G138" i="4"/>
  <c r="G40" i="4"/>
  <c r="G148" i="4"/>
  <c r="G57" i="4"/>
  <c r="L59" i="4"/>
  <c r="F21" i="4"/>
  <c r="F142" i="4"/>
  <c r="K99" i="4"/>
  <c r="L137" i="4"/>
  <c r="F33" i="4"/>
  <c r="K86" i="4"/>
  <c r="F133" i="4"/>
  <c r="L37" i="4"/>
  <c r="F84" i="4"/>
  <c r="L99" i="4"/>
  <c r="G114" i="4"/>
  <c r="F139" i="4"/>
  <c r="G29" i="4"/>
  <c r="F103" i="4"/>
  <c r="G28" i="4"/>
  <c r="F86" i="4"/>
  <c r="F34" i="4"/>
  <c r="F120" i="4"/>
  <c r="F149" i="4"/>
  <c r="G107" i="4"/>
  <c r="F53" i="4"/>
  <c r="K43" i="4"/>
  <c r="K150" i="4"/>
  <c r="F124" i="4"/>
  <c r="G139" i="4"/>
  <c r="G60" i="4"/>
  <c r="G23" i="4"/>
  <c r="F109" i="4"/>
  <c r="L61" i="4"/>
  <c r="K32" i="4"/>
  <c r="F144" i="4"/>
  <c r="L29" i="4"/>
  <c r="F51" i="4"/>
  <c r="G151" i="4"/>
  <c r="L101" i="4"/>
  <c r="F28" i="4"/>
  <c r="K127" i="4"/>
  <c r="K21" i="4"/>
  <c r="G36" i="4"/>
  <c r="F50" i="4"/>
  <c r="F145" i="4"/>
  <c r="G133" i="4"/>
  <c r="F108" i="4"/>
  <c r="K101" i="4"/>
  <c r="G94" i="4"/>
  <c r="G27" i="4"/>
  <c r="K116" i="4"/>
  <c r="G118" i="4"/>
  <c r="G81" i="4"/>
  <c r="L125" i="4"/>
  <c r="F118" i="4"/>
  <c r="K129" i="4"/>
  <c r="L22" i="4"/>
  <c r="L49" i="4"/>
  <c r="G126" i="4"/>
  <c r="K141" i="4"/>
  <c r="K83" i="4"/>
  <c r="K152" i="4"/>
  <c r="L94" i="4"/>
  <c r="K143" i="4"/>
  <c r="K42" i="4"/>
  <c r="F136" i="4"/>
  <c r="K80" i="4"/>
  <c r="F106" i="4"/>
  <c r="F102" i="4"/>
  <c r="G115" i="4"/>
  <c r="F121" i="4"/>
  <c r="L42" i="4"/>
  <c r="K58" i="4"/>
  <c r="D2" i="5" a="1"/>
  <c r="K51" i="4"/>
  <c r="K114" i="4"/>
  <c r="K35" i="4"/>
  <c r="K37" i="4"/>
  <c r="G87" i="4"/>
  <c r="G90" i="4"/>
  <c r="K52" i="4"/>
  <c r="K115" i="4"/>
  <c r="F39" i="4"/>
  <c r="L118" i="4"/>
  <c r="G37" i="4"/>
  <c r="K153" i="4"/>
  <c r="G141" i="4"/>
  <c r="F131" i="4"/>
  <c r="G22" i="4"/>
  <c r="K45" i="4"/>
  <c r="F43" i="4"/>
  <c r="G121" i="4"/>
  <c r="F37" i="4"/>
  <c r="F100" i="4"/>
  <c r="K128" i="4"/>
  <c r="F40" i="4"/>
  <c r="K121" i="4"/>
  <c r="K30" i="4"/>
  <c r="F30" i="4"/>
  <c r="K94" i="4"/>
  <c r="G152" i="4"/>
  <c r="F147" i="4"/>
  <c r="F58" i="4"/>
  <c r="G88" i="4"/>
  <c r="F98" i="4"/>
  <c r="F44" i="4"/>
  <c r="F91" i="4"/>
  <c r="K151" i="4"/>
  <c r="L116" i="4"/>
  <c r="F111" i="4"/>
  <c r="L113" i="4"/>
  <c r="K48" i="4"/>
  <c r="G32" i="4"/>
  <c r="K131" i="4"/>
  <c r="F125" i="4"/>
  <c r="G105" i="4"/>
  <c r="K57" i="4"/>
  <c r="G59" i="4"/>
  <c r="L117" i="4"/>
  <c r="L56" i="4"/>
  <c r="G104" i="4"/>
  <c r="K124" i="4"/>
  <c r="F81" i="4"/>
  <c r="G47" i="4"/>
  <c r="L92" i="4"/>
  <c r="G132" i="4"/>
  <c r="G24" i="4"/>
  <c r="K120" i="4"/>
  <c r="K20" i="4"/>
  <c r="K81" i="4"/>
  <c r="F134" i="4"/>
  <c r="F92" i="4"/>
  <c r="L53" i="4"/>
  <c r="G129" i="4"/>
  <c r="L106" i="4"/>
  <c r="K49" i="4"/>
  <c r="G35" i="4"/>
  <c r="G95" i="4"/>
  <c r="G110" i="4"/>
  <c r="L84" i="4"/>
  <c r="L87" i="4"/>
  <c r="G92" i="4"/>
  <c r="F27" i="4"/>
  <c r="G120" i="4"/>
  <c r="G86" i="4"/>
  <c r="F83" i="4"/>
  <c r="F153" i="4"/>
  <c r="L112" i="4"/>
  <c r="G31" i="4"/>
  <c r="G127" i="4"/>
  <c r="F113" i="4"/>
  <c r="F151" i="4"/>
  <c r="K23" i="4"/>
  <c r="K138" i="4"/>
  <c r="G111" i="4"/>
  <c r="L25" i="4"/>
  <c r="F90" i="4"/>
  <c r="F128" i="4"/>
  <c r="F59" i="4"/>
  <c r="L55" i="4"/>
  <c r="G53" i="4"/>
  <c r="L85" i="4"/>
  <c r="G83" i="4"/>
  <c r="L128" i="4"/>
  <c r="G52" i="4"/>
  <c r="G149" i="4"/>
  <c r="G109" i="4"/>
  <c r="L107" i="4"/>
  <c r="G48" i="4"/>
  <c r="L144" i="4"/>
  <c r="K137" i="4"/>
  <c r="G123" i="4"/>
  <c r="K85" i="4"/>
  <c r="K96" i="4"/>
  <c r="F41" i="4"/>
  <c r="L104" i="4"/>
  <c r="K25" i="4"/>
  <c r="L57" i="4"/>
  <c r="K147" i="4"/>
  <c r="L102" i="4"/>
  <c r="K93" i="4"/>
  <c r="F20" i="4"/>
  <c r="L90" i="4"/>
  <c r="G56" i="4"/>
  <c r="L86" i="4"/>
  <c r="L41" i="4"/>
  <c r="G49" i="4"/>
  <c r="F135" i="4"/>
  <c r="F105" i="4"/>
  <c r="L109" i="4"/>
  <c r="L47" i="4"/>
  <c r="K125" i="4"/>
  <c r="L45" i="4"/>
  <c r="K92" i="4"/>
  <c r="L98" i="4"/>
  <c r="G98" i="4"/>
  <c r="K117" i="4"/>
  <c r="K112" i="4"/>
  <c r="K132" i="4"/>
  <c r="G119" i="4"/>
  <c r="G51" i="4"/>
  <c r="F42" i="4"/>
  <c r="K91" i="4"/>
  <c r="F38" i="4"/>
  <c r="L129" i="4"/>
  <c r="L33" i="4"/>
  <c r="F25" i="4"/>
  <c r="F89" i="4"/>
  <c r="F48" i="4"/>
  <c r="L139" i="4"/>
  <c r="G145" i="4"/>
  <c r="F60" i="4"/>
  <c r="K119" i="4"/>
  <c r="L82" i="4"/>
  <c r="F31" i="4"/>
  <c r="G122" i="4"/>
  <c r="G34" i="4"/>
  <c r="K97" i="4"/>
  <c r="L91" i="4"/>
  <c r="K38" i="4"/>
  <c r="G43" i="4"/>
  <c r="G142" i="4"/>
  <c r="F107" i="4"/>
  <c r="K95" i="4"/>
  <c r="K98" i="4"/>
  <c r="L36" i="4"/>
  <c r="K34" i="4"/>
  <c r="F82" i="4"/>
  <c r="L132" i="4"/>
  <c r="G61" i="4"/>
  <c r="F47" i="4"/>
  <c r="L108" i="4"/>
  <c r="G21" i="4"/>
  <c r="F56" i="4"/>
  <c r="L35" i="4"/>
  <c r="F104" i="4"/>
  <c r="K26" i="4"/>
  <c r="L80" i="4"/>
  <c r="K122" i="4"/>
  <c r="L27" i="4"/>
  <c r="L136" i="4"/>
  <c r="L21" i="4"/>
  <c r="F117" i="4"/>
  <c r="F130" i="4"/>
  <c r="G108" i="4"/>
  <c r="L30" i="4"/>
  <c r="F110" i="4"/>
  <c r="K90" i="4"/>
  <c r="K27" i="4"/>
  <c r="G38" i="4"/>
  <c r="L152" i="4"/>
  <c r="K28" i="4"/>
  <c r="L135" i="4"/>
  <c r="G82" i="4"/>
  <c r="F116" i="4"/>
  <c r="G144" i="4"/>
  <c r="L119" i="4"/>
  <c r="G45" i="4"/>
  <c r="K61" i="4"/>
  <c r="K100" i="4"/>
  <c r="F93" i="4"/>
  <c r="F45" i="4"/>
  <c r="F97" i="4"/>
  <c r="K106" i="4"/>
  <c r="G140" i="4"/>
  <c r="F127" i="4"/>
  <c r="L81" i="4"/>
  <c r="F129" i="4"/>
  <c r="L58" i="4"/>
  <c r="F26" i="4"/>
  <c r="K24" i="4"/>
  <c r="F94" i="4"/>
  <c r="G80" i="4"/>
  <c r="G85" i="4"/>
  <c r="L46" i="4"/>
  <c r="G131" i="4"/>
  <c r="L138" i="4"/>
  <c r="G100" i="4"/>
  <c r="K136" i="4"/>
  <c r="L89" i="4"/>
  <c r="G136" i="4"/>
  <c r="L20" i="4"/>
  <c r="G96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N101" i="4"/>
  <c r="N116" i="4"/>
  <c r="N96" i="4"/>
  <c r="N109" i="4"/>
  <c r="N84" i="4"/>
  <c r="N114" i="4"/>
  <c r="N111" i="4"/>
  <c r="N83" i="4"/>
  <c r="N86" i="4"/>
  <c r="N94" i="4"/>
  <c r="N112" i="4"/>
  <c r="N106" i="4"/>
  <c r="N110" i="4"/>
  <c r="N82" i="4"/>
  <c r="N103" i="4"/>
  <c r="N105" i="4"/>
  <c r="N107" i="4"/>
  <c r="N81" i="4"/>
  <c r="N100" i="4"/>
  <c r="N89" i="4"/>
  <c r="N99" i="4"/>
  <c r="N102" i="4"/>
  <c r="N92" i="4"/>
  <c r="N80" i="4"/>
  <c r="N104" i="4"/>
  <c r="N91" i="4"/>
  <c r="N90" i="4"/>
  <c r="N113" i="4"/>
  <c r="N97" i="4"/>
  <c r="N87" i="4"/>
  <c r="N98" i="4"/>
  <c r="N85" i="4"/>
  <c r="N93" i="4"/>
  <c r="N95" i="4"/>
  <c r="N88" i="4"/>
  <c r="N115" i="4"/>
  <c r="N108" i="4"/>
  <c r="H99" i="5"/>
  <c r="H50" i="5"/>
  <c r="G28" i="5"/>
  <c r="H86" i="5"/>
  <c r="G7" i="5"/>
  <c r="E108" i="5"/>
  <c r="F55" i="5"/>
  <c r="F8" i="5"/>
  <c r="G36" i="5"/>
  <c r="H39" i="5"/>
  <c r="F54" i="5"/>
  <c r="E24" i="5"/>
  <c r="H78" i="5"/>
  <c r="G80" i="5"/>
  <c r="E54" i="5"/>
  <c r="G10" i="5"/>
  <c r="F119" i="5"/>
  <c r="E5" i="5"/>
  <c r="H69" i="5"/>
  <c r="G49" i="5"/>
  <c r="F52" i="5"/>
  <c r="G69" i="5"/>
  <c r="G96" i="5"/>
  <c r="H65" i="5"/>
  <c r="G64" i="5"/>
  <c r="G45" i="5"/>
  <c r="E118" i="5"/>
  <c r="E20" i="5"/>
  <c r="H106" i="5"/>
  <c r="E99" i="5"/>
  <c r="G33" i="5"/>
  <c r="H13" i="5"/>
  <c r="F101" i="5"/>
  <c r="F9" i="5"/>
  <c r="F36" i="5"/>
  <c r="H108" i="5"/>
  <c r="G86" i="5"/>
  <c r="H122" i="5"/>
  <c r="H24" i="5"/>
  <c r="H11" i="5"/>
  <c r="H75" i="5"/>
  <c r="G51" i="5"/>
  <c r="G46" i="5"/>
  <c r="E45" i="5"/>
  <c r="E75" i="5"/>
  <c r="E18" i="5"/>
  <c r="E10" i="5"/>
  <c r="E115" i="5"/>
  <c r="F45" i="5"/>
  <c r="E58" i="5"/>
  <c r="H35" i="5"/>
  <c r="H105" i="5"/>
  <c r="H59" i="5"/>
  <c r="H98" i="5"/>
  <c r="F91" i="5"/>
  <c r="G58" i="5"/>
  <c r="H12" i="5"/>
  <c r="H30" i="5"/>
  <c r="F83" i="5"/>
  <c r="E46" i="5"/>
  <c r="G79" i="5"/>
  <c r="E77" i="5"/>
  <c r="F18" i="5"/>
  <c r="E89" i="5"/>
  <c r="E25" i="5"/>
  <c r="E9" i="5"/>
  <c r="F47" i="5"/>
  <c r="F50" i="5"/>
  <c r="H68" i="5"/>
  <c r="G107" i="5"/>
  <c r="E53" i="5"/>
  <c r="F6" i="5"/>
  <c r="G27" i="5"/>
  <c r="F56" i="5"/>
  <c r="H56" i="5"/>
  <c r="E22" i="5"/>
  <c r="H54" i="5"/>
  <c r="F110" i="5"/>
  <c r="F88" i="5"/>
  <c r="H116" i="5"/>
  <c r="E93" i="5"/>
  <c r="H23" i="5"/>
  <c r="F98" i="5"/>
  <c r="F115" i="5"/>
  <c r="H14" i="5"/>
  <c r="E39" i="5"/>
  <c r="E19" i="5"/>
  <c r="G76" i="5"/>
  <c r="G109" i="5"/>
  <c r="H42" i="5"/>
  <c r="H36" i="5"/>
  <c r="F41" i="5"/>
  <c r="E51" i="5"/>
  <c r="E84" i="5"/>
  <c r="E61" i="5"/>
  <c r="G119" i="5"/>
  <c r="G23" i="5"/>
  <c r="H38" i="5"/>
  <c r="E34" i="5"/>
  <c r="H83" i="5"/>
  <c r="H94" i="5"/>
  <c r="E50" i="5"/>
  <c r="G57" i="5"/>
  <c r="F12" i="5"/>
  <c r="F69" i="5"/>
  <c r="G94" i="5"/>
  <c r="H101" i="5"/>
  <c r="G111" i="5"/>
  <c r="G67" i="5"/>
  <c r="H27" i="5"/>
  <c r="E14" i="5"/>
  <c r="F96" i="5"/>
  <c r="H20" i="5"/>
  <c r="H2" i="5"/>
  <c r="F21" i="5"/>
  <c r="G21" i="5"/>
  <c r="F13" i="5"/>
  <c r="H25" i="5"/>
  <c r="F82" i="5"/>
  <c r="G9" i="5"/>
  <c r="H96" i="5"/>
  <c r="G32" i="5"/>
  <c r="G125" i="5"/>
  <c r="E107" i="5"/>
  <c r="E32" i="5"/>
  <c r="E66" i="5"/>
  <c r="F44" i="5"/>
  <c r="F58" i="5"/>
  <c r="F99" i="5"/>
  <c r="E100" i="5"/>
  <c r="G97" i="5"/>
  <c r="H91" i="5"/>
  <c r="E2" i="5"/>
  <c r="F68" i="5"/>
  <c r="E74" i="5"/>
  <c r="G75" i="5"/>
  <c r="F97" i="5"/>
  <c r="G17" i="5"/>
  <c r="F27" i="5"/>
  <c r="E111" i="5"/>
  <c r="E113" i="5"/>
  <c r="G61" i="5"/>
  <c r="H120" i="5"/>
  <c r="F37" i="5"/>
  <c r="F66" i="5"/>
  <c r="E125" i="5"/>
  <c r="E124" i="5"/>
  <c r="F95" i="5"/>
  <c r="H92" i="5"/>
  <c r="G11" i="5"/>
  <c r="F104" i="5"/>
  <c r="G88" i="5"/>
  <c r="E33" i="5"/>
  <c r="G112" i="5"/>
  <c r="G34" i="5"/>
  <c r="F90" i="5"/>
  <c r="F87" i="5"/>
  <c r="F76" i="5"/>
  <c r="E64" i="5"/>
  <c r="H67" i="5"/>
  <c r="E23" i="5"/>
  <c r="H117" i="5"/>
  <c r="H82" i="5"/>
  <c r="E21" i="5"/>
  <c r="G114" i="5"/>
  <c r="F79" i="5"/>
  <c r="H51" i="5"/>
  <c r="H48" i="5"/>
  <c r="F62" i="5"/>
  <c r="G59" i="5"/>
  <c r="G78" i="5"/>
  <c r="F33" i="5"/>
  <c r="G24" i="5"/>
  <c r="G13" i="5"/>
  <c r="F57" i="5"/>
  <c r="H63" i="5"/>
  <c r="F103" i="5"/>
  <c r="G89" i="5"/>
  <c r="H61" i="5"/>
  <c r="E126" i="5"/>
  <c r="E52" i="5"/>
  <c r="F51" i="5"/>
  <c r="G95" i="5"/>
  <c r="G118" i="5"/>
  <c r="F32" i="5"/>
  <c r="E42" i="5"/>
  <c r="F78" i="5"/>
  <c r="H15" i="5"/>
  <c r="E114" i="5"/>
  <c r="G85" i="5"/>
  <c r="F109" i="5"/>
  <c r="H66" i="5"/>
  <c r="F16" i="5"/>
  <c r="E94" i="5"/>
  <c r="H21" i="5"/>
  <c r="H29" i="5"/>
  <c r="G90" i="5"/>
  <c r="G8" i="5"/>
  <c r="H102" i="5"/>
  <c r="F107" i="5"/>
  <c r="G99" i="5"/>
  <c r="G43" i="5"/>
  <c r="H124" i="5"/>
  <c r="H72" i="5"/>
  <c r="F85" i="5"/>
  <c r="E78" i="5"/>
  <c r="G110" i="5"/>
  <c r="G81" i="5"/>
  <c r="H85" i="5"/>
  <c r="F81" i="5"/>
  <c r="E41" i="5"/>
  <c r="G73" i="5"/>
  <c r="H4" i="5"/>
  <c r="G120" i="5"/>
  <c r="F123" i="5"/>
  <c r="H71" i="5"/>
  <c r="G84" i="5"/>
  <c r="E71" i="5"/>
  <c r="E56" i="5"/>
  <c r="F118" i="5"/>
  <c r="G15" i="5"/>
  <c r="G30" i="5"/>
  <c r="H57" i="5"/>
  <c r="F77" i="5"/>
  <c r="G108" i="5"/>
  <c r="E117" i="5"/>
  <c r="E90" i="5"/>
  <c r="F100" i="5"/>
  <c r="F84" i="5"/>
  <c r="G38" i="5"/>
  <c r="F94" i="5"/>
  <c r="H114" i="5"/>
  <c r="F75" i="5"/>
  <c r="E35" i="5"/>
  <c r="B6" i="5"/>
  <c r="F64" i="5"/>
  <c r="F108" i="5"/>
  <c r="H107" i="5"/>
  <c r="F111" i="5"/>
  <c r="E12" i="5"/>
  <c r="E60" i="5"/>
  <c r="E43" i="5"/>
  <c r="E26" i="5"/>
  <c r="E48" i="5"/>
  <c r="E55" i="5"/>
  <c r="H97" i="5"/>
  <c r="F11" i="5"/>
  <c r="H109" i="5"/>
  <c r="H73" i="5"/>
  <c r="F19" i="5"/>
  <c r="E70" i="5"/>
  <c r="G93" i="5"/>
  <c r="G113" i="5"/>
  <c r="E4" i="5"/>
  <c r="G5" i="5"/>
  <c r="G65" i="5"/>
  <c r="F40" i="5"/>
  <c r="H7" i="5"/>
  <c r="E112" i="5"/>
  <c r="H47" i="5"/>
  <c r="F10" i="5"/>
  <c r="F112" i="5"/>
  <c r="H3" i="5"/>
  <c r="E104" i="5"/>
  <c r="H33" i="5"/>
  <c r="H89" i="5"/>
  <c r="E15" i="5"/>
  <c r="E83" i="5"/>
  <c r="H62" i="5"/>
  <c r="E36" i="5"/>
  <c r="F80" i="5"/>
  <c r="F102" i="5"/>
  <c r="E87" i="5"/>
  <c r="F70" i="5"/>
  <c r="H52" i="5"/>
  <c r="H34" i="5"/>
  <c r="E79" i="5"/>
  <c r="G116" i="5"/>
  <c r="E65" i="5"/>
  <c r="F25" i="5"/>
  <c r="H111" i="5"/>
  <c r="H112" i="5"/>
  <c r="G66" i="5"/>
  <c r="E101" i="5"/>
  <c r="E116" i="5"/>
  <c r="G44" i="5"/>
  <c r="G102" i="5"/>
  <c r="E92" i="5"/>
  <c r="G26" i="5"/>
  <c r="F117" i="5"/>
  <c r="H74" i="5"/>
  <c r="F53" i="5"/>
  <c r="G82" i="5"/>
  <c r="H37" i="5"/>
  <c r="H100" i="5"/>
  <c r="G83" i="5"/>
  <c r="F60" i="5"/>
  <c r="G39" i="5"/>
  <c r="G55" i="5"/>
  <c r="E68" i="5"/>
  <c r="E122" i="5"/>
  <c r="H5" i="5"/>
  <c r="H26" i="5"/>
  <c r="H93" i="5"/>
  <c r="H10" i="5"/>
  <c r="F63" i="5"/>
  <c r="E91" i="5"/>
  <c r="E17" i="5"/>
  <c r="F31" i="5"/>
  <c r="H31" i="5"/>
  <c r="G105" i="5"/>
  <c r="H90" i="5"/>
  <c r="G103" i="5"/>
  <c r="G70" i="5"/>
  <c r="E29" i="5"/>
  <c r="H19" i="5"/>
  <c r="G121" i="5"/>
  <c r="G56" i="5"/>
  <c r="F22" i="5"/>
  <c r="H123" i="5"/>
  <c r="G41" i="5"/>
  <c r="G100" i="5"/>
  <c r="G72" i="5"/>
  <c r="G115" i="5"/>
  <c r="G68" i="5"/>
  <c r="E16" i="5"/>
  <c r="E81" i="5"/>
  <c r="G31" i="5"/>
  <c r="F106" i="5"/>
  <c r="E97" i="5"/>
  <c r="F121" i="5"/>
  <c r="H16" i="5"/>
  <c r="E38" i="5"/>
  <c r="E62" i="5"/>
  <c r="H118" i="5"/>
  <c r="E72" i="5"/>
  <c r="H87" i="5"/>
  <c r="F30" i="5"/>
  <c r="G126" i="5"/>
  <c r="H64" i="5"/>
  <c r="H22" i="5"/>
  <c r="H95" i="5"/>
  <c r="H55" i="5"/>
  <c r="H70" i="5"/>
  <c r="G92" i="5"/>
  <c r="F72" i="5"/>
  <c r="F74" i="5"/>
  <c r="E11" i="5"/>
  <c r="H81" i="5"/>
  <c r="F29" i="5"/>
  <c r="F34" i="5"/>
  <c r="G52" i="5"/>
  <c r="F3" i="5"/>
  <c r="F26" i="5"/>
  <c r="E13" i="5"/>
  <c r="E103" i="5"/>
  <c r="H110" i="5"/>
  <c r="F42" i="5"/>
  <c r="G106" i="5"/>
  <c r="H17" i="5"/>
  <c r="F125" i="5"/>
  <c r="H125" i="5"/>
  <c r="F4" i="5"/>
  <c r="E109" i="5"/>
  <c r="E63" i="5"/>
  <c r="F122" i="5"/>
  <c r="F61" i="5"/>
  <c r="H84" i="5"/>
  <c r="G16" i="5"/>
  <c r="H58" i="5"/>
  <c r="G2" i="5"/>
  <c r="G123" i="5"/>
  <c r="F113" i="5"/>
  <c r="G42" i="5"/>
  <c r="H44" i="5"/>
  <c r="G37" i="5"/>
  <c r="F124" i="5"/>
  <c r="H60" i="5"/>
  <c r="H43" i="5"/>
  <c r="G101" i="5"/>
  <c r="H18" i="5"/>
  <c r="G91" i="5"/>
  <c r="H28" i="5"/>
  <c r="E57" i="5"/>
  <c r="F120" i="5"/>
  <c r="F93" i="5"/>
  <c r="H119" i="5"/>
  <c r="E40" i="5"/>
  <c r="H121" i="5"/>
  <c r="E76" i="5"/>
  <c r="H40" i="5"/>
  <c r="G18" i="5"/>
  <c r="H115" i="5"/>
  <c r="E80" i="5"/>
  <c r="G22" i="5"/>
  <c r="F7" i="5"/>
  <c r="H41" i="5"/>
  <c r="E67" i="5"/>
  <c r="E31" i="5"/>
  <c r="F116" i="5"/>
  <c r="G3" i="5"/>
  <c r="E120" i="5"/>
  <c r="F17" i="5"/>
  <c r="H79" i="5"/>
  <c r="H45" i="5"/>
  <c r="G12" i="5"/>
  <c r="F14" i="5"/>
  <c r="E82" i="5"/>
  <c r="F86" i="5"/>
  <c r="G98" i="5"/>
  <c r="E123" i="5"/>
  <c r="G63" i="5"/>
  <c r="E98" i="5"/>
  <c r="F20" i="5"/>
  <c r="F35" i="5"/>
  <c r="E47" i="5"/>
  <c r="G54" i="5"/>
  <c r="E30" i="5"/>
  <c r="G48" i="5"/>
  <c r="E88" i="5"/>
  <c r="G47" i="5"/>
  <c r="F48" i="5"/>
  <c r="E119" i="5"/>
  <c r="E85" i="5"/>
  <c r="E102" i="5"/>
  <c r="E59" i="5"/>
  <c r="F89" i="5"/>
  <c r="F73" i="5"/>
  <c r="H8" i="5"/>
  <c r="E86" i="5"/>
  <c r="F59" i="5"/>
  <c r="G29" i="5"/>
  <c r="F105" i="5"/>
  <c r="H80" i="5"/>
  <c r="G74" i="5"/>
  <c r="H126" i="5"/>
  <c r="E106" i="5"/>
  <c r="A7" i="5"/>
  <c r="E121" i="5"/>
  <c r="F114" i="5"/>
  <c r="E3" i="5"/>
  <c r="E8" i="5"/>
  <c r="H103" i="5"/>
  <c r="H53" i="5"/>
  <c r="H46" i="5"/>
  <c r="G53" i="5"/>
  <c r="E7" i="5"/>
  <c r="E95" i="5"/>
  <c r="E105" i="5"/>
  <c r="F71" i="5"/>
  <c r="E69" i="5"/>
  <c r="F28" i="5"/>
  <c r="G122" i="5"/>
  <c r="G77" i="5"/>
  <c r="H76" i="5"/>
  <c r="G104" i="5"/>
  <c r="G19" i="5"/>
  <c r="F92" i="5"/>
  <c r="G14" i="5"/>
  <c r="F38" i="5"/>
  <c r="H104" i="5"/>
  <c r="G62" i="5"/>
  <c r="G87" i="5"/>
  <c r="F2" i="5"/>
  <c r="E73" i="5"/>
  <c r="F126" i="5"/>
  <c r="F67" i="5"/>
  <c r="H9" i="5"/>
  <c r="E49" i="5"/>
  <c r="F5" i="5"/>
  <c r="E44" i="5"/>
  <c r="F65" i="5"/>
  <c r="E27" i="5"/>
  <c r="E37" i="5"/>
  <c r="F23" i="5"/>
  <c r="H113" i="5"/>
  <c r="H32" i="5"/>
  <c r="G40" i="5"/>
  <c r="G6" i="5"/>
  <c r="F49" i="5"/>
  <c r="F24" i="5"/>
  <c r="F43" i="5"/>
  <c r="G4" i="5"/>
  <c r="E28" i="5"/>
  <c r="E110" i="5"/>
  <c r="H49" i="5"/>
  <c r="H88" i="5"/>
  <c r="E96" i="5"/>
  <c r="G60" i="5"/>
  <c r="E6" i="5"/>
  <c r="G124" i="5"/>
  <c r="G71" i="5"/>
  <c r="G20" i="5"/>
  <c r="F46" i="5"/>
  <c r="G117" i="5"/>
  <c r="H77" i="5"/>
  <c r="G25" i="5"/>
  <c r="G35" i="5"/>
  <c r="F39" i="5"/>
  <c r="F15" i="5"/>
  <c r="H6" i="5"/>
  <c r="G50" i="5"/>
  <c r="D14" i="6"/>
  <c r="B7" i="5"/>
  <c r="I1" i="5" a="1"/>
  <c r="C27" i="6"/>
  <c r="D30" i="6"/>
  <c r="D15" i="6"/>
  <c r="I88" i="5" l="1"/>
  <c r="I62" i="5"/>
  <c r="I55" i="5"/>
  <c r="I114" i="5"/>
  <c r="I76" i="5"/>
  <c r="I17" i="5"/>
  <c r="I68" i="5"/>
  <c r="I91" i="5"/>
  <c r="I107" i="5"/>
  <c r="I41" i="5"/>
  <c r="I89" i="5"/>
  <c r="I70" i="5"/>
  <c r="I103" i="5"/>
  <c r="I113" i="5"/>
  <c r="I26" i="5"/>
  <c r="I51" i="5"/>
  <c r="I8" i="5"/>
  <c r="I58" i="5"/>
  <c r="I86" i="5"/>
  <c r="I90" i="5"/>
  <c r="I92" i="5"/>
  <c r="I106" i="5"/>
  <c r="I79" i="5"/>
  <c r="I74" i="5"/>
  <c r="I40" i="5"/>
  <c r="I67" i="5"/>
  <c r="I29" i="5"/>
  <c r="I87" i="5"/>
  <c r="I49" i="5"/>
  <c r="I121" i="5"/>
  <c r="I60" i="5"/>
  <c r="I97" i="5"/>
  <c r="I112" i="5"/>
  <c r="I12" i="5"/>
  <c r="I50" i="5"/>
  <c r="I115" i="5"/>
  <c r="I116" i="5"/>
  <c r="I31" i="5"/>
  <c r="I20" i="5"/>
  <c r="I122" i="5"/>
  <c r="I52" i="5"/>
  <c r="I78" i="5"/>
  <c r="I63" i="5"/>
  <c r="I48" i="5"/>
  <c r="I19" i="5"/>
  <c r="I11" i="5"/>
  <c r="I125" i="5"/>
  <c r="I54" i="5"/>
  <c r="I126" i="5"/>
  <c r="I43" i="5"/>
  <c r="I96" i="5"/>
  <c r="I57" i="5"/>
  <c r="I34" i="5"/>
  <c r="I37" i="5"/>
  <c r="I4" i="5"/>
  <c r="I99" i="5"/>
  <c r="I123" i="5"/>
  <c r="I105" i="5"/>
  <c r="I53" i="5"/>
  <c r="I119" i="5"/>
  <c r="I23" i="5"/>
  <c r="I1" i="5"/>
  <c r="I27" i="5"/>
  <c r="I25" i="5"/>
  <c r="I94" i="5"/>
  <c r="I82" i="5"/>
  <c r="I47" i="5"/>
  <c r="I100" i="5"/>
  <c r="I24" i="5"/>
  <c r="I21" i="5"/>
  <c r="I80" i="5"/>
  <c r="I6" i="5"/>
  <c r="I95" i="5"/>
  <c r="I120" i="5"/>
  <c r="I2" i="5"/>
  <c r="I65" i="5"/>
  <c r="I14" i="5"/>
  <c r="I32" i="5"/>
  <c r="I13" i="5"/>
  <c r="I93" i="5"/>
  <c r="I7" i="5"/>
  <c r="I110" i="5"/>
  <c r="I39" i="5"/>
  <c r="I36" i="5"/>
  <c r="I85" i="5"/>
  <c r="I45" i="5"/>
  <c r="I75" i="5"/>
  <c r="I118" i="5"/>
  <c r="I66" i="5"/>
  <c r="I5" i="5"/>
  <c r="I16" i="5"/>
  <c r="I104" i="5"/>
  <c r="I117" i="5"/>
  <c r="I124" i="5"/>
  <c r="I30" i="5"/>
  <c r="I33" i="5"/>
  <c r="I72" i="5"/>
  <c r="I98" i="5"/>
  <c r="I111" i="5"/>
  <c r="I9" i="5"/>
  <c r="I71" i="5"/>
  <c r="I101" i="5"/>
  <c r="I44" i="5"/>
  <c r="I42" i="5"/>
  <c r="I108" i="5"/>
  <c r="I18" i="5"/>
  <c r="I15" i="5"/>
  <c r="I61" i="5"/>
  <c r="I46" i="5"/>
  <c r="I10" i="5"/>
  <c r="I64" i="5"/>
  <c r="I69" i="5"/>
  <c r="I38" i="5"/>
  <c r="I22" i="5"/>
  <c r="I28" i="5"/>
  <c r="I3" i="5"/>
  <c r="I77" i="5"/>
  <c r="I83" i="5"/>
  <c r="I81" i="5"/>
  <c r="I56" i="5"/>
  <c r="I59" i="5"/>
  <c r="I102" i="5"/>
  <c r="I35" i="5"/>
  <c r="I109" i="5"/>
  <c r="I73" i="5"/>
  <c r="I84" i="5"/>
  <c r="D29" i="6"/>
  <c r="D28" i="6"/>
  <c r="C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<sst xmlns="http://schemas.openxmlformats.org/spreadsheetml/2006/main" count="294" uniqueCount="147">
  <si>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</si>
  <si>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</si>
  <si>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</si>
  <si>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</si>
  <si>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</si>
  <si>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</si>
  <si>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</si>
  <si>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</si>
  <si>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</si>
  <si>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</si>
  <si>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</si>
  <si>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</si>
  <si>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</si>
  <si>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</si>
  <si>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</si>
  <si>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</si>
  <si>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</si>
  <si>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</si>
  <si>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</si>
  <si>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</si>
  <si>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</si>
  <si>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</si>
  <si>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</si>
  <si>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</si>
  <si>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</si>
  <si>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</si>
  <si>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</si>
  <si>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</si>
  <si>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</si>
  <si>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</si>
  <si>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</si>
  <si>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</si>
  <si>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</si>
  <si>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</si>
  <si>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</si>
  <si>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</si>
  <si>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</si>
  <si>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</si>
  <si>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</si>
  <si>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</si>
  <si>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</si>
  <si>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</si>
  <si>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</si>
  <si>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</si>
  <si>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</si>
  <si>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</si>
  <si>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</si>
  <si>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</si>
  <si>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</si>
  <si>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</si>
  <si>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</si>
  <si>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</si>
  <si>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</si>
  <si>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</si>
  <si>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</si>
  <si>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</si>
  <si>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</si>
  <si>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</si>
  <si>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</si>
  <si>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</si>
  <si>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</si>
  <si>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</si>
  <si>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</si>
  <si>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</si>
  <si>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</si>
  <si>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</si>
  <si>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</si>
  <si>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</si>
  <si>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</si>
  <si>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</si>
  <si>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</si>
  <si>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</si>
  <si>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</si>
  <si>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</si>
  <si>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</si>
  <si>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</si>
  <si>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</si>
  <si>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</si>
  <si>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</si>
  <si>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</si>
  <si>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</si>
  <si>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</si>
  <si>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</si>
  <si>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</si>
  <si>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</si>
  <si>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</si>
  <si>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</si>
  <si>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</si>
  <si>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</si>
  <si>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</si>
  <si>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</si>
  <si>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</si>
  <si>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</si>
  <si>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</si>
  <si>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</si>
  <si>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</si>
  <si>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</si>
  <si>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</si>
  <si>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</si>
  <si>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</si>
  <si>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</si>
  <si>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</si>
  <si>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</si>
  <si>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</si>
  <si>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</si>
  <si>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</si>
  <si>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</si>
  <si>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</si>
  <si>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</si>
  <si>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</si>
  <si>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</si>
  <si>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</si>
  <si>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</si>
  <si>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</si>
  <si>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</si>
  <si>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</si>
  <si>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</si>
  <si>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</si>
  <si>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</si>
  <si>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</si>
  <si>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</si>
  <si>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</si>
  <si>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</si>
  <si>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</si>
  <si>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</si>
  <si>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</si>
  <si>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</si>
  <si>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</si>
  <si>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</si>
  <si>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</si>
  <si>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</si>
  <si>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</si>
  <si>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</si>
  <si>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</si>
  <si>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</si>
  <si>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</si>
  <si>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</si>
  <si>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</si>
  <si>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</si>
  <si>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</si>
  <si>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</si>
  <si>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</si>
  <si>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</si>
  <si>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</si>
  <si>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</si>
  <si>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label</t>
  </si>
  <si>
    <t>Ibor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</si>
</sst>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/>
    </xf>
    <xf numFmtId="0" fontId="19" fillId="0" borderId="0" xfId="1" applyFont="1"/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8" fontId="19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9" fillId="6" borderId="22" xfId="1" applyNumberFormat="1" applyFont="1" applyFill="1" applyBorder="1" applyAlignment="1">
      <alignment horizontal="center"/>
    </xf>
    <xf numFmtId="0" fontId="19" fillId="2" borderId="17" xfId="1" applyFont="1" applyFill="1" applyBorder="1" applyAlignment="1"/>
    <xf numFmtId="165" fontId="19" fillId="2" borderId="0" xfId="1" applyNumberFormat="1" applyFont="1" applyFill="1" applyBorder="1" applyAlignment="1"/>
    <xf numFmtId="0" fontId="18" fillId="5" borderId="21" xfId="1" applyFont="1" applyFill="1" applyBorder="1" applyAlignment="1">
      <alignment horizontal="right"/>
    </xf>
    <xf numFmtId="3" fontId="19" fillId="6" borderId="20" xfId="1" applyNumberFormat="1" applyFont="1" applyFill="1" applyBorder="1" applyAlignment="1">
      <alignment horizontal="center"/>
    </xf>
    <xf numFmtId="0" fontId="19" fillId="6" borderId="20" xfId="1" applyFont="1" applyFill="1" applyBorder="1" applyAlignment="1">
      <alignment horizontal="center"/>
    </xf>
    <xf numFmtId="0" fontId="20" fillId="4" borderId="20" xfId="1" applyFont="1" applyFill="1" applyBorder="1" applyAlignment="1">
      <alignment horizontal="left"/>
    </xf>
    <xf numFmtId="0" fontId="19" fillId="0" borderId="19" xfId="1" applyFont="1" applyBorder="1"/>
    <xf numFmtId="0" fontId="20" fillId="4" borderId="18" xfId="1" applyFont="1" applyFill="1" applyBorder="1" applyAlignment="1">
      <alignment horizontal="left"/>
    </xf>
    <xf numFmtId="0" fontId="19" fillId="2" borderId="15" xfId="1" applyFont="1" applyFill="1" applyBorder="1" applyAlignment="1"/>
    <xf numFmtId="165" fontId="19" fillId="2" borderId="14" xfId="1" applyNumberFormat="1" applyFont="1" applyFill="1" applyBorder="1" applyAlignment="1"/>
    <xf numFmtId="0" fontId="19" fillId="0" borderId="0" xfId="1" applyFont="1" applyAlignment="1">
      <alignment horizontal="left"/>
    </xf>
    <xf numFmtId="169" fontId="19" fillId="2" borderId="0" xfId="1" applyNumberFormat="1" applyFont="1" applyFill="1" applyBorder="1" applyAlignment="1"/>
    <xf numFmtId="169" fontId="19" fillId="2" borderId="16" xfId="1" applyNumberFormat="1" applyFont="1" applyFill="1" applyBorder="1" applyAlignment="1"/>
    <xf numFmtId="169" fontId="19" fillId="2" borderId="14" xfId="1" applyNumberFormat="1" applyFont="1" applyFill="1" applyBorder="1" applyAlignment="1"/>
    <xf numFmtId="169" fontId="19" fillId="2" borderId="13" xfId="1" applyNumberFormat="1" applyFont="1" applyFill="1" applyBorder="1" applyAlignment="1"/>
    <xf numFmtId="0" fontId="2" fillId="2" borderId="3" xfId="1" applyFont="1" applyFill="1" applyBorder="1" applyAlignment="1">
      <alignment horizontal="left"/>
    </xf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B2" sqref="B2:F2"/>
    </sheetView>
  </sheetViews>
  <sheetFormatPr defaultColWidth="8" defaultRowHeight="11.25" x14ac:dyDescent="0.2"/>
  <cols>
    <col min="1" max="2" width="2.7109375" style="157" customWidth="1"/>
    <col min="3" max="3" width="18" style="157" bestFit="1" customWidth="1"/>
    <col min="4" max="4" width="23.85546875" style="157" bestFit="1" customWidth="1"/>
    <col min="5" max="5" width="22" style="157" bestFit="1" customWidth="1"/>
    <col min="6" max="7" width="2.7109375" style="157" customWidth="1"/>
    <col min="8" max="9" width="8" style="157"/>
    <col min="10" max="11" width="2.7109375" style="157" customWidth="1"/>
    <col min="12" max="12" width="18.5703125" style="157" bestFit="1" customWidth="1"/>
    <col min="13" max="13" width="48.42578125" style="157" bestFit="1" customWidth="1"/>
    <col min="14" max="14" width="2.7109375" style="157" customWidth="1"/>
    <col min="15" max="16384" width="8" style="157"/>
  </cols>
  <sheetData>
    <row r="1" spans="2:14" ht="12" thickBot="1" x14ac:dyDescent="0.25">
      <c r="B1" s="157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192" t="s">
        <v>107</v>
      </c>
      <c r="C2" s="193"/>
      <c r="D2" s="193"/>
      <c r="E2" s="193"/>
      <c r="F2" s="194"/>
      <c r="K2" s="192" t="s">
        <v>123</v>
      </c>
      <c r="L2" s="193"/>
      <c r="M2" s="193"/>
      <c r="N2" s="195"/>
    </row>
    <row r="3" spans="2:14" ht="12" thickBot="1" x14ac:dyDescent="0.25">
      <c r="B3" s="38"/>
      <c r="C3" s="67"/>
      <c r="D3" s="36"/>
      <c r="E3" s="36"/>
      <c r="F3" s="35"/>
      <c r="K3" s="101"/>
      <c r="L3" s="104"/>
      <c r="M3" s="104"/>
      <c r="N3" s="103"/>
    </row>
    <row r="4" spans="2:14" x14ac:dyDescent="0.2">
      <c r="B4" s="38"/>
      <c r="C4" s="66" t="s">
        <v>106</v>
      </c>
      <c r="D4" s="53" t="s">
        <v>95</v>
      </c>
      <c r="E4" s="36"/>
      <c r="F4" s="35"/>
      <c r="H4" s="160" t="s">
        <v>105</v>
      </c>
      <c r="I4" s="161"/>
      <c r="K4" s="101"/>
      <c r="L4" s="100" t="s">
        <v>122</v>
      </c>
      <c r="M4" s="94" t="b">
        <v>0</v>
      </c>
      <c r="N4" s="99"/>
    </row>
    <row r="5" spans="2:14" x14ac:dyDescent="0.2">
      <c r="B5" s="38"/>
      <c r="C5" s="65" t="s">
        <v>104</v>
      </c>
      <c r="D5" s="39">
        <v>6</v>
      </c>
      <c r="E5" s="36"/>
      <c r="F5" s="35"/>
      <c r="H5" s="162" t="s">
        <v>103</v>
      </c>
      <c r="I5" s="163" t="s">
        <v>102</v>
      </c>
      <c r="K5" s="101"/>
      <c r="L5" s="100" t="s">
        <v>121</v>
      </c>
      <c r="M5" s="102"/>
      <c r="N5" s="99"/>
    </row>
    <row r="6" spans="2:14" x14ac:dyDescent="0.2">
      <c r="B6" s="38"/>
      <c r="C6" s="65" t="s">
        <v>101</v>
      </c>
      <c r="D6" s="39" t="str">
        <f>_xll.qlPeriodEquivalent(D5&amp;"M")</f>
        <v>6M</v>
      </c>
      <c r="E6" s="36"/>
      <c r="F6" s="35"/>
      <c r="H6" s="162" t="s">
        <v>100</v>
      </c>
      <c r="I6" s="163" t="s">
        <v>99</v>
      </c>
      <c r="K6" s="101"/>
      <c r="L6" s="100" t="s">
        <v>120</v>
      </c>
      <c r="M6" s="91" t="b">
        <v>1</v>
      </c>
      <c r="N6" s="99"/>
    </row>
    <row r="7" spans="2:14" ht="12" thickBot="1" x14ac:dyDescent="0.25">
      <c r="B7" s="38"/>
      <c r="C7" s="65" t="s">
        <v>98</v>
      </c>
      <c r="D7" s="39" t="str">
        <f>Months&amp;IF(UPPER(Currency)="EUR","E","L")</f>
        <v>6L</v>
      </c>
      <c r="E7" s="36"/>
      <c r="F7" s="35"/>
      <c r="H7" s="162" t="s">
        <v>97</v>
      </c>
      <c r="I7" s="163"/>
      <c r="K7" s="98"/>
      <c r="L7" s="97"/>
      <c r="M7" s="97"/>
      <c r="N7" s="96"/>
    </row>
    <row r="8" spans="2:14" ht="12" thickBot="1" x14ac:dyDescent="0.25">
      <c r="B8" s="38"/>
      <c r="C8" s="65" t="s">
        <v>96</v>
      </c>
      <c r="D8" s="39" t="str">
        <f>VLOOKUP(Currency,H4:I8,2)</f>
        <v>AM</v>
      </c>
      <c r="E8" s="36"/>
      <c r="F8" s="35"/>
      <c r="H8" s="164" t="s">
        <v>95</v>
      </c>
      <c r="I8" s="165" t="s">
        <v>94</v>
      </c>
      <c r="K8" s="158"/>
      <c r="L8" s="158"/>
      <c r="M8" s="158"/>
      <c r="N8" s="158"/>
    </row>
    <row r="9" spans="2:14" ht="18.75" thickBot="1" x14ac:dyDescent="0.3">
      <c r="B9" s="38"/>
      <c r="C9" s="65" t="s">
        <v>93</v>
      </c>
      <c r="D9" s="39" t="str">
        <f>Currency&amp;"_YC"&amp;IndexTenor&amp;"RH"</f>
        <v>USD_YC6MRH</v>
      </c>
      <c r="E9" s="36"/>
      <c r="F9" s="35"/>
      <c r="K9" s="192" t="s">
        <v>119</v>
      </c>
      <c r="L9" s="193"/>
      <c r="M9" s="193"/>
      <c r="N9" s="195"/>
    </row>
    <row r="10" spans="2:14" ht="12.75" x14ac:dyDescent="0.2">
      <c r="B10" s="38"/>
      <c r="C10" s="64" t="s">
        <v>92</v>
      </c>
      <c r="D10" s="39" t="b">
        <v>1</v>
      </c>
      <c r="E10" s="36"/>
      <c r="F10" s="35"/>
      <c r="K10" s="93"/>
      <c r="L10" s="95"/>
      <c r="M10" s="95"/>
      <c r="N10" s="90"/>
    </row>
    <row r="11" spans="2:14" ht="12.75" x14ac:dyDescent="0.2">
      <c r="B11" s="38"/>
      <c r="C11" s="64" t="s">
        <v>91</v>
      </c>
      <c r="D11" s="63"/>
      <c r="E11" s="36"/>
      <c r="F11" s="35"/>
      <c r="K11" s="93"/>
      <c r="L11" s="92" t="s">
        <v>118</v>
      </c>
      <c r="M11" s="94" t="s">
        <v>117</v>
      </c>
      <c r="N11" s="90"/>
    </row>
    <row r="12" spans="2:14" ht="12.75" x14ac:dyDescent="0.2">
      <c r="B12" s="38"/>
      <c r="C12" s="62" t="s">
        <v>90</v>
      </c>
      <c r="D12" s="61" t="b">
        <v>0</v>
      </c>
      <c r="E12" s="36"/>
      <c r="F12" s="35"/>
      <c r="K12" s="93"/>
      <c r="L12" s="92" t="s">
        <v>116</v>
      </c>
      <c r="M12" s="91" t="s">
        <v>115</v>
      </c>
      <c r="N12" s="90"/>
    </row>
    <row r="13" spans="2:14" ht="12.75" x14ac:dyDescent="0.2">
      <c r="B13" s="38"/>
      <c r="C13" s="43"/>
      <c r="D13" s="43"/>
      <c r="E13" s="36"/>
      <c r="F13" s="35"/>
      <c r="K13" s="93"/>
      <c r="L13" s="92" t="s">
        <v>140</v>
      </c>
      <c r="M13" s="94" t="s">
        <v>139</v>
      </c>
      <c r="N13" s="90"/>
    </row>
    <row r="14" spans="2:14" ht="12.75" x14ac:dyDescent="0.2">
      <c r="B14" s="38"/>
      <c r="C14" s="58" t="s">
        <v>89</v>
      </c>
      <c r="D14" s="60" t="str">
        <f>_xll.qlPiecewiseYieldCurve(D16,NDays,Calendar,RateHelpersSelected,DayCounter,,,Accuracy,TraitsID,InterpolatorID,Permanent,,ObjectOverwrite)</f>
        <v>_USDYC6M#0001</v>
      </c>
      <c r="E14" s="36"/>
      <c r="F14" s="35"/>
      <c r="K14" s="93"/>
      <c r="L14" s="92" t="s">
        <v>138</v>
      </c>
      <c r="M14" s="94" t="s">
        <v>137</v>
      </c>
      <c r="N14" s="90"/>
    </row>
    <row r="15" spans="2:14" ht="12.75" x14ac:dyDescent="0.2">
      <c r="B15" s="38"/>
      <c r="C15" s="45" t="s">
        <v>67</v>
      </c>
      <c r="D15" s="59" t="str">
        <f>_xll.ohRangeRetrieveError(YieldCurve)</f>
        <v/>
      </c>
      <c r="E15" s="159" t="s">
        <v>144</v>
      </c>
      <c r="F15" s="35"/>
      <c r="K15" s="93"/>
      <c r="L15" s="92" t="s">
        <v>136</v>
      </c>
      <c r="M15" s="91" t="str">
        <f>PROPER(Currency)&amp;"ON"</f>
        <v>UsdON</v>
      </c>
      <c r="N15" s="90"/>
    </row>
    <row r="16" spans="2:14" ht="12.75" x14ac:dyDescent="0.2">
      <c r="B16" s="38"/>
      <c r="C16" s="58" t="s">
        <v>88</v>
      </c>
      <c r="D16" s="57" t="str">
        <f>"_"&amp;Currency&amp;"YC"&amp;IndexTenor</f>
        <v>_USDYC6M</v>
      </c>
      <c r="E16" s="36"/>
      <c r="F16" s="35"/>
      <c r="K16" s="93"/>
      <c r="L16" s="92" t="s">
        <v>135</v>
      </c>
      <c r="M16" s="91" t="str">
        <f>PROPER(Currency)&amp;"STD"</f>
        <v>UsdSTD</v>
      </c>
      <c r="N16" s="90"/>
    </row>
    <row r="17" spans="2:14" ht="13.5" thickBot="1" x14ac:dyDescent="0.25">
      <c r="B17" s="38"/>
      <c r="C17" s="47" t="s">
        <v>87</v>
      </c>
      <c r="D17" s="56">
        <v>2</v>
      </c>
      <c r="E17" s="36"/>
      <c r="F17" s="35"/>
      <c r="K17" s="89"/>
      <c r="L17" s="88"/>
      <c r="M17" s="88"/>
      <c r="N17" s="87"/>
    </row>
    <row r="18" spans="2:14" x14ac:dyDescent="0.2">
      <c r="B18" s="38"/>
      <c r="C18" s="47" t="s">
        <v>86</v>
      </c>
      <c r="D18" s="55" t="s">
        <v>85</v>
      </c>
      <c r="E18" s="36"/>
      <c r="F18" s="35"/>
    </row>
    <row r="19" spans="2:14" x14ac:dyDescent="0.2">
      <c r="B19" s="38"/>
      <c r="C19" s="47" t="s">
        <v>84</v>
      </c>
      <c r="D19" s="55"/>
      <c r="E19" s="36"/>
      <c r="F19" s="35"/>
    </row>
    <row r="20" spans="2:14" x14ac:dyDescent="0.2">
      <c r="B20" s="38"/>
      <c r="C20" s="47" t="s">
        <v>83</v>
      </c>
      <c r="D20" s="54" t="str">
        <f>Currency&amp;"TOY_SYNTH"&amp;IndexTenor&amp;"_Quote"</f>
        <v>USDTOY_SYNTH6M_Quote</v>
      </c>
      <c r="E20" s="53" t="str">
        <f>Currency&amp;"TOY2_SYNTH"&amp;IndexTenor&amp;"_Quote"</f>
        <v>USDTOY2_SYNTH6M_Quote</v>
      </c>
      <c r="F20" s="35"/>
    </row>
    <row r="21" spans="2:14" x14ac:dyDescent="0.2">
      <c r="B21" s="38"/>
      <c r="C21" s="47" t="s">
        <v>82</v>
      </c>
      <c r="D21" s="52">
        <f>DATE(YEAR(_xll.qlCalendarAdvance(Calendar,_xll.qlSettingsEvaluationDate(Trigger),NDays&amp;"D")),12,31)</f>
        <v>42004</v>
      </c>
      <c r="E21" s="51">
        <f>DATE(YEAR(D21+1),12,31)</f>
        <v>42369</v>
      </c>
      <c r="F21" s="35"/>
    </row>
    <row r="22" spans="2:14" x14ac:dyDescent="0.2">
      <c r="B22" s="38"/>
      <c r="C22" s="47" t="s">
        <v>81</v>
      </c>
      <c r="D22" s="50" t="e">
        <f>NA()</f>
        <v>#N/A</v>
      </c>
      <c r="E22" s="49" t="e">
        <f>NA()</f>
        <v>#N/A</v>
      </c>
      <c r="F22" s="35"/>
    </row>
    <row r="23" spans="2:14" x14ac:dyDescent="0.2">
      <c r="B23" s="38"/>
      <c r="C23" s="47" t="s">
        <v>80</v>
      </c>
      <c r="D23" s="48"/>
      <c r="E23" s="36"/>
      <c r="F23" s="35"/>
    </row>
    <row r="24" spans="2:14" x14ac:dyDescent="0.2">
      <c r="B24" s="38"/>
      <c r="C24" s="47" t="s">
        <v>79</v>
      </c>
      <c r="D24" s="46" t="s">
        <v>78</v>
      </c>
      <c r="E24" s="36"/>
      <c r="F24" s="35"/>
    </row>
    <row r="25" spans="2:14" x14ac:dyDescent="0.2">
      <c r="B25" s="38"/>
      <c r="C25" s="45" t="s">
        <v>77</v>
      </c>
      <c r="D25" s="44" t="s">
        <v>76</v>
      </c>
      <c r="E25" s="36"/>
      <c r="F25" s="35"/>
    </row>
    <row r="26" spans="2:14" x14ac:dyDescent="0.2">
      <c r="B26" s="38"/>
      <c r="C26" s="43"/>
      <c r="D26" s="43"/>
      <c r="E26" s="36"/>
      <c r="F26" s="35"/>
    </row>
    <row r="27" spans="2:14" x14ac:dyDescent="0.2">
      <c r="B27" s="38"/>
      <c r="C27" s="42">
        <f>_xll.qlTermStructureReferenceDate(YieldCurve)</f>
        <v>41766</v>
      </c>
      <c r="D27" s="41">
        <f>MAX(_xll.ohPack(Selected!I1:I126))</f>
        <v>1</v>
      </c>
      <c r="E27" s="36"/>
      <c r="F27" s="35"/>
    </row>
    <row r="28" spans="2:14" x14ac:dyDescent="0.2">
      <c r="B28" s="38"/>
      <c r="C28" s="40">
        <f>MAX(_xll.ohPack(Selected!H2:H126))</f>
        <v>60029</v>
      </c>
      <c r="D28" s="39">
        <f>MIN(_xll.ohPack(Selected!I1:I126))</f>
        <v>0.16687027512719005</v>
      </c>
      <c r="E28" s="36"/>
      <c r="F28" s="35"/>
    </row>
    <row r="29" spans="2:14" x14ac:dyDescent="0.2">
      <c r="B29" s="38"/>
      <c r="C29" s="167" t="s">
        <v>67</v>
      </c>
      <c r="D29" s="166" t="str">
        <f>_xll.ohRangeRetrieveError(Selected!I1)</f>
        <v/>
      </c>
      <c r="E29" s="36"/>
      <c r="F29" s="35"/>
    </row>
    <row r="30" spans="2:14" ht="11.25" customHeight="1" x14ac:dyDescent="0.2">
      <c r="B30" s="38"/>
      <c r="C30" s="37" t="str">
        <f>Currency&amp;IndexTenor</f>
        <v>USD6M</v>
      </c>
      <c r="D30" s="168" t="b">
        <f>_xll.qlRelinkableHandleLinkTo(C30,YieldCurve)</f>
        <v>1</v>
      </c>
      <c r="E30" s="36"/>
      <c r="F30" s="35"/>
    </row>
    <row r="31" spans="2:14" ht="12" thickBot="1" x14ac:dyDescent="0.25">
      <c r="B31" s="34"/>
      <c r="C31" s="33"/>
      <c r="D31" s="33"/>
      <c r="E31" s="33"/>
      <c r="F31" s="3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53"/>
  <sheetViews>
    <sheetView topLeftCell="E1" workbookViewId="0">
      <selection activeCell="J1" sqref="J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6" t="s">
        <v>66</v>
      </c>
      <c r="C1" s="197"/>
      <c r="D1" s="198"/>
      <c r="E1" s="31" t="s">
        <v>65</v>
      </c>
      <c r="F1" s="31" t="s">
        <v>64</v>
      </c>
      <c r="G1" s="31" t="s">
        <v>63</v>
      </c>
      <c r="H1" s="31" t="s">
        <v>62</v>
      </c>
      <c r="I1" s="31" t="s">
        <v>61</v>
      </c>
      <c r="J1" s="31" t="s">
        <v>60</v>
      </c>
      <c r="K1" s="31" t="s">
        <v>59</v>
      </c>
      <c r="L1" s="31" t="s">
        <v>58</v>
      </c>
    </row>
    <row r="2" spans="2:14" ht="11.25" customHeight="1" x14ac:dyDescent="0.2">
      <c r="B2" s="30"/>
      <c r="C2" s="15"/>
      <c r="D2" s="14" t="s">
        <v>57</v>
      </c>
      <c r="E2" s="14" t="str">
        <f t="shared" ref="E2:E18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56</v>
      </c>
    </row>
    <row r="3" spans="2:14" x14ac:dyDescent="0.2">
      <c r="B3" s="30"/>
      <c r="C3" s="15"/>
      <c r="D3" s="14" t="s">
        <v>55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54</v>
      </c>
    </row>
    <row r="4" spans="2:14" x14ac:dyDescent="0.2">
      <c r="B4" s="30"/>
      <c r="C4" s="15"/>
      <c r="D4" s="14" t="s">
        <v>53</v>
      </c>
      <c r="E4" s="14" t="str">
        <f t="shared" si="0"/>
        <v>USD_YC6MRH_SWD</v>
      </c>
      <c r="F4" s="13">
        <f>_xll.qlRateHelperQuoteValue($E4,Trigger)</f>
        <v>3.3960000000000001E-3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41766</v>
      </c>
      <c r="L4" s="10">
        <f>_xll.qlRateHelperLatestDate($E4,Trigger)</f>
        <v>41773</v>
      </c>
      <c r="M4" s="1">
        <v>40</v>
      </c>
      <c r="N4" s="1" t="s">
        <v>52</v>
      </c>
    </row>
    <row r="5" spans="2:14" x14ac:dyDescent="0.2">
      <c r="B5" s="30"/>
      <c r="C5" s="15"/>
      <c r="D5" s="14" t="s">
        <v>51</v>
      </c>
      <c r="E5" s="14" t="str">
        <f t="shared" si="0"/>
        <v>USD_YC6MRH_1MD</v>
      </c>
      <c r="F5" s="13">
        <f>_xll.qlRateHelperQuoteValue($E5,Trigger)</f>
        <v>3.3310000000000002E-3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41766</v>
      </c>
      <c r="L5" s="10">
        <f>_xll.qlRateHelperLatestDate($E5,Trigger)</f>
        <v>41799</v>
      </c>
      <c r="M5" s="1">
        <v>70</v>
      </c>
      <c r="N5" s="1" t="s">
        <v>50</v>
      </c>
    </row>
    <row r="6" spans="2:14" x14ac:dyDescent="0.2">
      <c r="B6" s="30"/>
      <c r="C6" s="15"/>
      <c r="D6" s="14" t="s">
        <v>49</v>
      </c>
      <c r="E6" s="14" t="str">
        <f t="shared" si="0"/>
        <v>USD_YC6MRH_2MD</v>
      </c>
      <c r="F6" s="13">
        <f>_xll.qlRateHelperQuoteValue($E6,Trigger)</f>
        <v>3.29E-3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41766</v>
      </c>
      <c r="L6" s="10">
        <f>_xll.qlRateHelperLatestDate($E6,Trigger)</f>
        <v>41827</v>
      </c>
    </row>
    <row r="7" spans="2:14" x14ac:dyDescent="0.2">
      <c r="B7" s="30"/>
      <c r="C7" s="15"/>
      <c r="D7" s="14" t="s">
        <v>48</v>
      </c>
      <c r="E7" s="14" t="str">
        <f t="shared" si="0"/>
        <v>USD_YC6MRH_3MD</v>
      </c>
      <c r="F7" s="13">
        <f>_xll.qlRateHelperQuoteValue($E7,Trigger)</f>
        <v>3.2439999999999999E-3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41766</v>
      </c>
      <c r="L7" s="10">
        <f>_xll.qlRateHelperLatestDate($E7,Trigger)</f>
        <v>41858</v>
      </c>
    </row>
    <row r="8" spans="2:14" x14ac:dyDescent="0.2">
      <c r="B8" s="30"/>
      <c r="C8" s="15"/>
      <c r="D8" s="14" t="s">
        <v>47</v>
      </c>
      <c r="E8" s="14" t="str">
        <f t="shared" si="0"/>
        <v>USD_YC6MRH_6MD</v>
      </c>
      <c r="F8" s="13">
        <f>_xll.qlRateHelperQuoteValue($E8,Trigger)</f>
        <v>3.2160000000000001E-3</v>
      </c>
      <c r="G8" s="13"/>
      <c r="H8" s="12" t="b">
        <v>1</v>
      </c>
      <c r="I8" s="12">
        <v>70</v>
      </c>
      <c r="J8" s="12">
        <v>1</v>
      </c>
      <c r="K8" s="11">
        <f>_xll.qlRateHelperEarliestDate($E8,Trigger)</f>
        <v>41766</v>
      </c>
      <c r="L8" s="10">
        <f>_xll.qlRateHelperLatestDate($E8,Trigger)</f>
        <v>41950</v>
      </c>
    </row>
    <row r="9" spans="2:14" x14ac:dyDescent="0.2">
      <c r="B9" s="29"/>
      <c r="C9" s="8"/>
      <c r="D9" s="7" t="s">
        <v>46</v>
      </c>
      <c r="E9" s="7" t="str">
        <f t="shared" si="0"/>
        <v>USD_YC6MRH_1YD</v>
      </c>
      <c r="F9" s="6" t="e">
        <f>_xll.qlRateHelperQuoteValue($E9,Trigger)</f>
        <v>#NUM!</v>
      </c>
      <c r="G9" s="6"/>
      <c r="H9" s="5" t="b">
        <v>0</v>
      </c>
      <c r="I9" s="5">
        <v>10</v>
      </c>
      <c r="J9" s="5">
        <v>1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24" t="s">
        <v>45</v>
      </c>
      <c r="C10" s="23">
        <f>Months</f>
        <v>6</v>
      </c>
      <c r="D10" s="22" t="s">
        <v>43</v>
      </c>
      <c r="E10" s="22" t="str">
        <f t="shared" si="0"/>
        <v>USD_YC6MRH_T6F1</v>
      </c>
      <c r="F10" s="21" t="e">
        <f>_xll.qlRateHelperQuoteValue($E10,Trigger)</f>
        <v>#NUM!</v>
      </c>
      <c r="G10" s="21"/>
      <c r="H10" s="20" t="b">
        <v>0</v>
      </c>
      <c r="I10" s="20">
        <v>20</v>
      </c>
      <c r="J10" s="20">
        <v>1</v>
      </c>
      <c r="K10" s="19" t="e">
        <f>_xll.qlRateHelperEarliestDate($E10,Trigger)</f>
        <v>#NUM!</v>
      </c>
      <c r="L10" s="18" t="e">
        <f>_xll.qlRateHelperLatestDate($E10,Trigger)</f>
        <v>#NUM!</v>
      </c>
    </row>
    <row r="11" spans="2:14" x14ac:dyDescent="0.2">
      <c r="B11" s="9" t="s">
        <v>44</v>
      </c>
      <c r="C11" s="8">
        <f>Months</f>
        <v>6</v>
      </c>
      <c r="D11" s="7" t="s">
        <v>43</v>
      </c>
      <c r="E11" s="7" t="str">
        <f t="shared" si="0"/>
        <v>USD_YC6MRH_TOM6F1</v>
      </c>
      <c r="F11" s="6" t="e">
        <f>_xll.qlRateHelperQuoteValue($E11,Trigger)</f>
        <v>#NUM!</v>
      </c>
      <c r="G11" s="6"/>
      <c r="H11" s="5" t="b">
        <v>0</v>
      </c>
      <c r="I11" s="5">
        <v>20</v>
      </c>
      <c r="J11" s="5">
        <v>1</v>
      </c>
      <c r="K11" s="4" t="e">
        <f>_xll.qlRateHelperEarliestDate($E11,Trigger)</f>
        <v>#NUM!</v>
      </c>
      <c r="L11" s="3" t="e">
        <f>_xll.qlRateHelperLatestDate($E11,Trigger)</f>
        <v>#NUM!</v>
      </c>
    </row>
    <row r="12" spans="2:14" x14ac:dyDescent="0.2">
      <c r="B12" s="16">
        <v>1</v>
      </c>
      <c r="C12" s="15" t="s">
        <v>42</v>
      </c>
      <c r="D12" s="14" t="str">
        <f t="shared" ref="D12:D19" si="1">(B12+Months)&amp;"F"</f>
        <v>7F</v>
      </c>
      <c r="E12" s="14" t="str">
        <f t="shared" si="0"/>
        <v>USD_YC6MRH_1x7F</v>
      </c>
      <c r="F12" s="13">
        <f>_xll.qlRateHelperQuoteValue($E12,Trigger)</f>
        <v>3.2199999999999993E-3</v>
      </c>
      <c r="G12" s="13"/>
      <c r="H12" s="12" t="b">
        <v>1</v>
      </c>
      <c r="I12" s="12">
        <v>20</v>
      </c>
      <c r="J12" s="12">
        <v>1</v>
      </c>
      <c r="K12" s="11">
        <f>_xll.qlRateHelperEarliestDate($E12,Trigger)</f>
        <v>41799</v>
      </c>
      <c r="L12" s="10">
        <f>_xll.qlRateHelperLatestDate($E12,Trigger)</f>
        <v>41982</v>
      </c>
    </row>
    <row r="13" spans="2:14" x14ac:dyDescent="0.2">
      <c r="B13" s="16">
        <v>2</v>
      </c>
      <c r="C13" s="15" t="s">
        <v>42</v>
      </c>
      <c r="D13" s="14" t="str">
        <f t="shared" si="1"/>
        <v>8F</v>
      </c>
      <c r="E13" s="14" t="str">
        <f t="shared" si="0"/>
        <v>USD_YC6MRH_2x8F</v>
      </c>
      <c r="F13" s="13">
        <f>_xll.qlRateHelperQuoteValue($E13,Trigger)</f>
        <v>3.2599999999999994E-3</v>
      </c>
      <c r="G13" s="13"/>
      <c r="H13" s="12" t="b">
        <v>1</v>
      </c>
      <c r="I13" s="12">
        <v>20</v>
      </c>
      <c r="J13" s="12">
        <v>1</v>
      </c>
      <c r="K13" s="11">
        <f>_xll.qlRateHelperEarliestDate($E13,Trigger)</f>
        <v>41827</v>
      </c>
      <c r="L13" s="10">
        <f>_xll.qlRateHelperLatestDate($E13,Trigger)</f>
        <v>42011</v>
      </c>
    </row>
    <row r="14" spans="2:14" x14ac:dyDescent="0.2">
      <c r="B14" s="16">
        <v>3</v>
      </c>
      <c r="C14" s="15" t="s">
        <v>42</v>
      </c>
      <c r="D14" s="14" t="str">
        <f t="shared" si="1"/>
        <v>9F</v>
      </c>
      <c r="E14" s="14" t="str">
        <f t="shared" si="0"/>
        <v>USD_YC6MRH_3x9F</v>
      </c>
      <c r="F14" s="13">
        <f>_xll.qlRateHelperQuoteValue($E14,Trigger)</f>
        <v>3.3199999999999996E-3</v>
      </c>
      <c r="G14" s="13"/>
      <c r="H14" s="12" t="b">
        <v>1</v>
      </c>
      <c r="I14" s="12">
        <v>20</v>
      </c>
      <c r="J14" s="12">
        <v>1</v>
      </c>
      <c r="K14" s="11">
        <f>_xll.qlRateHelperEarliestDate($E14,Trigger)</f>
        <v>41858</v>
      </c>
      <c r="L14" s="10">
        <f>_xll.qlRateHelperLatestDate($E14,Trigger)</f>
        <v>42044</v>
      </c>
    </row>
    <row r="15" spans="2:14" x14ac:dyDescent="0.2">
      <c r="B15" s="16">
        <v>4</v>
      </c>
      <c r="C15" s="15" t="s">
        <v>42</v>
      </c>
      <c r="D15" s="14" t="str">
        <f t="shared" si="1"/>
        <v>10F</v>
      </c>
      <c r="E15" s="14" t="str">
        <f t="shared" si="0"/>
        <v>USD_YC6MRH_4x10F</v>
      </c>
      <c r="F15" s="13">
        <f>_xll.qlRateHelperQuoteValue($E15,Trigger)</f>
        <v>3.4299999999999999E-3</v>
      </c>
      <c r="G15" s="13"/>
      <c r="H15" s="12" t="b">
        <v>0</v>
      </c>
      <c r="I15" s="12">
        <v>20</v>
      </c>
      <c r="J15" s="12">
        <v>1</v>
      </c>
      <c r="K15" s="11">
        <f>_xll.qlRateHelperEarliestDate($E15,Trigger)</f>
        <v>41890</v>
      </c>
      <c r="L15" s="10">
        <f>_xll.qlRateHelperLatestDate($E15,Trigger)</f>
        <v>42072</v>
      </c>
    </row>
    <row r="16" spans="2:14" x14ac:dyDescent="0.2">
      <c r="B16" s="16">
        <v>5</v>
      </c>
      <c r="C16" s="15" t="s">
        <v>42</v>
      </c>
      <c r="D16" s="14" t="str">
        <f t="shared" si="1"/>
        <v>11F</v>
      </c>
      <c r="E16" s="14" t="str">
        <f t="shared" si="0"/>
        <v>USD_YC6MRH_5x11F</v>
      </c>
      <c r="F16" s="13">
        <f>_xll.qlRateHelperQuoteValue($E16,Trigger)</f>
        <v>3.5799999999999998E-3</v>
      </c>
      <c r="G16" s="13"/>
      <c r="H16" s="12" t="b">
        <v>0</v>
      </c>
      <c r="I16" s="12">
        <v>20</v>
      </c>
      <c r="J16" s="12">
        <v>1</v>
      </c>
      <c r="K16" s="11">
        <f>_xll.qlRateHelperEarliestDate($E16,Trigger)</f>
        <v>41919</v>
      </c>
      <c r="L16" s="10">
        <f>_xll.qlRateHelperLatestDate($E16,Trigger)</f>
        <v>42101</v>
      </c>
    </row>
    <row r="17" spans="1:12" x14ac:dyDescent="0.2">
      <c r="B17" s="16">
        <v>6</v>
      </c>
      <c r="C17" s="15" t="s">
        <v>42</v>
      </c>
      <c r="D17" s="14" t="str">
        <f t="shared" si="1"/>
        <v>12F</v>
      </c>
      <c r="E17" s="14" t="str">
        <f t="shared" si="0"/>
        <v>USD_YC6MRH_6x12F</v>
      </c>
      <c r="F17" s="13">
        <f>_xll.qlRateHelperQuoteValue($E17,Trigger)</f>
        <v>3.7799999999999999E-3</v>
      </c>
      <c r="G17" s="13"/>
      <c r="H17" s="12" t="b">
        <v>1</v>
      </c>
      <c r="I17" s="12">
        <v>20</v>
      </c>
      <c r="J17" s="12">
        <v>1</v>
      </c>
      <c r="K17" s="11">
        <f>_xll.qlRateHelperEarliestDate($E17,Trigger)</f>
        <v>41950</v>
      </c>
      <c r="L17" s="10">
        <f>_xll.qlRateHelperLatestDate($E17,Trigger)</f>
        <v>42131</v>
      </c>
    </row>
    <row r="18" spans="1:12" x14ac:dyDescent="0.2">
      <c r="B18" s="16">
        <v>12</v>
      </c>
      <c r="C18" s="15" t="s">
        <v>42</v>
      </c>
      <c r="D18" s="14" t="str">
        <f t="shared" si="1"/>
        <v>18F</v>
      </c>
      <c r="E18" s="14" t="str">
        <f t="shared" si="0"/>
        <v>USD_YC6MRH_12x18F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>
        <f>_xll.qlRateHelperEarliestDate($E18,Trigger)</f>
        <v>42131</v>
      </c>
      <c r="L18" s="10">
        <f>_xll.qlRateHelperLatestDate($E18,Trigger)</f>
        <v>42317</v>
      </c>
    </row>
    <row r="19" spans="1:12" x14ac:dyDescent="0.2">
      <c r="B19" s="9">
        <v>18</v>
      </c>
      <c r="C19" s="8" t="s">
        <v>42</v>
      </c>
      <c r="D19" s="7" t="str">
        <f t="shared" si="1"/>
        <v>24F</v>
      </c>
      <c r="E19" s="7" t="str">
        <f t="shared" ref="E19:E49" si="2">RateHelperPrefix&amp;"_"&amp;$B19&amp;$C19&amp;$D19</f>
        <v>USD_YC6MRH_18x24F</v>
      </c>
      <c r="F19" s="6" t="e">
        <f>_xll.qlRateHelperQuoteValue($E19,Trigger)</f>
        <v>#NUM!</v>
      </c>
      <c r="G19" s="6"/>
      <c r="H19" s="5" t="b">
        <v>0</v>
      </c>
      <c r="I19" s="5">
        <v>20</v>
      </c>
      <c r="J19" s="5">
        <v>1</v>
      </c>
      <c r="K19" s="4">
        <f>_xll.qlRateHelperEarliestDate($E19,Trigger)</f>
        <v>42317</v>
      </c>
      <c r="L19" s="3">
        <f>_xll.qlRateHelperLatestDate($E19,Trigger)</f>
        <v>42499</v>
      </c>
    </row>
    <row r="20" spans="1:12" ht="11.25" customHeight="1" x14ac:dyDescent="0.2">
      <c r="A20" s="23" t="b">
        <v>0</v>
      </c>
      <c r="B20" s="16"/>
      <c r="C20" s="15" t="str">
        <f t="shared" ref="C20:C61" si="3">IF(IndexTenor="6M","IMMFRA","FUT")&amp;IndexTenor</f>
        <v>IMMFRA6M</v>
      </c>
      <c r="D20" s="14" t="str">
        <f t="array" ref="D20:D61">_xll.qlIMMNextCodes(_xll.qlSettingsEvaluationDate(Trigger)-1,$A20:$A61)</f>
        <v>K4</v>
      </c>
      <c r="E20" s="14" t="str">
        <f t="shared" si="2"/>
        <v>USD_YC6MRH_IMMFRA6MK4</v>
      </c>
      <c r="F20" s="28" t="e">
        <f>_xll.qlRateHelperQuoteValue($E20,Trigger)</f>
        <v>#NUM!</v>
      </c>
      <c r="G20" s="13" t="e">
        <f>_xll.qlFuturesRateHelperConvexityAdjustment($E20,Trigger)</f>
        <v>#NUM!</v>
      </c>
      <c r="H20" s="12" t="b">
        <v>0</v>
      </c>
      <c r="I20" s="12">
        <v>60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2" x14ac:dyDescent="0.2">
      <c r="A21" s="15" t="b">
        <v>0</v>
      </c>
      <c r="B21" s="16"/>
      <c r="C21" s="15" t="str">
        <f t="shared" si="3"/>
        <v>IMMFRA6M</v>
      </c>
      <c r="D21" s="14" t="str">
        <v>M4</v>
      </c>
      <c r="E21" s="14" t="str">
        <f t="shared" si="2"/>
        <v>USD_YC6MRH_IMMFRA6MM4</v>
      </c>
      <c r="F21" s="28" t="e">
        <f>_xll.qlRateHelperQuoteValue($E21,Trigger)</f>
        <v>#NUM!</v>
      </c>
      <c r="G21" s="13" t="e">
        <f>_xll.qlFuturesRateHelperConvexityAdjustment($E21,Trigger)</f>
        <v>#NUM!</v>
      </c>
      <c r="H21" s="12" t="b">
        <v>0</v>
      </c>
      <c r="I21" s="12">
        <v>60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2" x14ac:dyDescent="0.2">
      <c r="A22" s="15" t="b">
        <v>0</v>
      </c>
      <c r="B22" s="16"/>
      <c r="C22" s="15" t="str">
        <f t="shared" si="3"/>
        <v>IMMFRA6M</v>
      </c>
      <c r="D22" s="14" t="str">
        <v>N4</v>
      </c>
      <c r="E22" s="14" t="str">
        <f t="shared" si="2"/>
        <v>USD_YC6MRH_IMMFRA6MN4</v>
      </c>
      <c r="F22" s="28" t="e">
        <f>_xll.qlRateHelperQuoteValue($E22,Trigger)</f>
        <v>#NUM!</v>
      </c>
      <c r="G22" s="13" t="e">
        <f>_xll.qlFuturesRateHelperConvexityAdjustment($E22,Trigger)</f>
        <v>#NUM!</v>
      </c>
      <c r="H22" s="12" t="b">
        <v>0</v>
      </c>
      <c r="I22" s="12">
        <v>60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2" x14ac:dyDescent="0.2">
      <c r="A23" s="15" t="b">
        <v>0</v>
      </c>
      <c r="B23" s="16"/>
      <c r="C23" s="15" t="str">
        <f t="shared" si="3"/>
        <v>IMMFRA6M</v>
      </c>
      <c r="D23" s="14" t="str">
        <v>Q4</v>
      </c>
      <c r="E23" s="14" t="str">
        <f t="shared" si="2"/>
        <v>USD_YC6MRH_IMMFRA6MQ4</v>
      </c>
      <c r="F23" s="28" t="e">
        <f>_xll.qlRateHelperQuoteValue($E23,Trigger)</f>
        <v>#NUM!</v>
      </c>
      <c r="G23" s="13" t="e">
        <f>_xll.qlFuturesRateHelperConvexityAdjustment($E23,Trigger)</f>
        <v>#NUM!</v>
      </c>
      <c r="H23" s="12" t="b">
        <v>0</v>
      </c>
      <c r="I23" s="12">
        <v>60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2" x14ac:dyDescent="0.2">
      <c r="A24" s="15" t="b">
        <v>0</v>
      </c>
      <c r="B24" s="16"/>
      <c r="C24" s="15" t="str">
        <f t="shared" si="3"/>
        <v>IMMFRA6M</v>
      </c>
      <c r="D24" s="14" t="str">
        <v>U4</v>
      </c>
      <c r="E24" s="14" t="str">
        <f t="shared" si="2"/>
        <v>USD_YC6MRH_IMMFRA6MU4</v>
      </c>
      <c r="F24" s="28" t="e">
        <f>_xll.qlRateHelperQuoteValue($E24,Trigger)</f>
        <v>#NUM!</v>
      </c>
      <c r="G24" s="13" t="e">
        <f>_xll.qlFuturesRateHelperConvexityAdjustment($E24,Trigger)</f>
        <v>#NUM!</v>
      </c>
      <c r="H24" s="12" t="b">
        <v>0</v>
      </c>
      <c r="I24" s="12">
        <v>60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2" x14ac:dyDescent="0.2">
      <c r="A25" s="15" t="b">
        <v>0</v>
      </c>
      <c r="B25" s="16"/>
      <c r="C25" s="15" t="str">
        <f t="shared" si="3"/>
        <v>IMMFRA6M</v>
      </c>
      <c r="D25" s="14" t="str">
        <v>V4</v>
      </c>
      <c r="E25" s="14" t="str">
        <f t="shared" si="2"/>
        <v>USD_YC6MRH_IMMFRA6MV4</v>
      </c>
      <c r="F25" s="28" t="e">
        <f>_xll.qlRateHelperQuoteValue($E25,Trigger)</f>
        <v>#NUM!</v>
      </c>
      <c r="G25" s="13" t="e">
        <f>_xll.qlFuturesRateHelperConvexityAdjustment($E25,Trigger)</f>
        <v>#NUM!</v>
      </c>
      <c r="H25" s="12" t="b">
        <v>0</v>
      </c>
      <c r="I25" s="12">
        <v>60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2" x14ac:dyDescent="0.2">
      <c r="A26" s="15" t="b">
        <v>0</v>
      </c>
      <c r="B26" s="16"/>
      <c r="C26" s="15" t="str">
        <f t="shared" si="3"/>
        <v>IMMFRA6M</v>
      </c>
      <c r="D26" s="14" t="str">
        <v>X4</v>
      </c>
      <c r="E26" s="14" t="str">
        <f t="shared" si="2"/>
        <v>USD_YC6MRH_IMMFRA6MX4</v>
      </c>
      <c r="F26" s="28" t="e">
        <f>_xll.qlRateHelperQuoteValue($E26,Trigger)</f>
        <v>#NUM!</v>
      </c>
      <c r="G26" s="13" t="e">
        <f>_xll.qlFuturesRateHelperConvexityAdjustment($E26,Trigger)</f>
        <v>#NUM!</v>
      </c>
      <c r="H26" s="12" t="b">
        <v>0</v>
      </c>
      <c r="I26" s="12">
        <v>60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2" x14ac:dyDescent="0.2">
      <c r="A27" s="15" t="b">
        <v>0</v>
      </c>
      <c r="B27" s="16"/>
      <c r="C27" s="15" t="str">
        <f t="shared" si="3"/>
        <v>IMMFRA6M</v>
      </c>
      <c r="D27" s="14" t="str">
        <v>Z4</v>
      </c>
      <c r="E27" s="14" t="str">
        <f t="shared" si="2"/>
        <v>USD_YC6MRH_IMMFRA6MZ4</v>
      </c>
      <c r="F27" s="28" t="e">
        <f>_xll.qlRateHelperQuoteValue($E27,Trigger)</f>
        <v>#NUM!</v>
      </c>
      <c r="G27" s="13" t="e">
        <f>_xll.qlFuturesRateHelperConvexityAdjustment($E27,Trigger)</f>
        <v>#NUM!</v>
      </c>
      <c r="H27" s="12" t="b">
        <v>0</v>
      </c>
      <c r="I27" s="12">
        <v>60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1:12" x14ac:dyDescent="0.2">
      <c r="A28" s="15" t="b">
        <v>0</v>
      </c>
      <c r="B28" s="16"/>
      <c r="C28" s="15" t="str">
        <f t="shared" si="3"/>
        <v>IMMFRA6M</v>
      </c>
      <c r="D28" s="14" t="str">
        <v>F5</v>
      </c>
      <c r="E28" s="14" t="str">
        <f t="shared" si="2"/>
        <v>USD_YC6MRH_IMMFRA6MF5</v>
      </c>
      <c r="F28" s="28" t="e">
        <f>_xll.qlRateHelperQuoteValue($E28,Trigger)</f>
        <v>#NUM!</v>
      </c>
      <c r="G28" s="13" t="e">
        <f>_xll.qlFuturesRateHelperConvexityAdjustment($E28,Trigger)</f>
        <v>#NUM!</v>
      </c>
      <c r="H28" s="12" t="b">
        <v>0</v>
      </c>
      <c r="I28" s="12">
        <v>60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1:12" x14ac:dyDescent="0.2">
      <c r="A29" s="15" t="b">
        <v>0</v>
      </c>
      <c r="B29" s="16"/>
      <c r="C29" s="15" t="str">
        <f t="shared" si="3"/>
        <v>IMMFRA6M</v>
      </c>
      <c r="D29" s="14" t="str">
        <v>G5</v>
      </c>
      <c r="E29" s="14" t="str">
        <f t="shared" si="2"/>
        <v>USD_YC6MRH_IMMFRA6MG5</v>
      </c>
      <c r="F29" s="28" t="e">
        <f>_xll.qlRateHelperQuoteValue($E29,Trigger)</f>
        <v>#NUM!</v>
      </c>
      <c r="G29" s="13" t="e">
        <f>_xll.qlFuturesRateHelperConvexityAdjustment($E29,Trigger)</f>
        <v>#NUM!</v>
      </c>
      <c r="H29" s="12" t="b">
        <v>0</v>
      </c>
      <c r="I29" s="12">
        <v>60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1:12" x14ac:dyDescent="0.2">
      <c r="A30" s="15" t="b">
        <v>0</v>
      </c>
      <c r="B30" s="16"/>
      <c r="C30" s="15" t="str">
        <f t="shared" si="3"/>
        <v>IMMFRA6M</v>
      </c>
      <c r="D30" s="14" t="str">
        <v>H5</v>
      </c>
      <c r="E30" s="14" t="str">
        <f t="shared" si="2"/>
        <v>USD_YC6MRH_IMMFRA6MH5</v>
      </c>
      <c r="F30" s="28" t="e">
        <f>_xll.qlRateHelperQuoteValue($E30,Trigger)</f>
        <v>#NUM!</v>
      </c>
      <c r="G30" s="13" t="e">
        <f>_xll.qlFuturesRateHelperConvexityAdjustment($E30,Trigger)</f>
        <v>#NUM!</v>
      </c>
      <c r="H30" s="12" t="b">
        <v>0</v>
      </c>
      <c r="I30" s="12">
        <v>60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1:12" x14ac:dyDescent="0.2">
      <c r="A31" s="15" t="b">
        <v>0</v>
      </c>
      <c r="B31" s="16"/>
      <c r="C31" s="15" t="str">
        <f t="shared" si="3"/>
        <v>IMMFRA6M</v>
      </c>
      <c r="D31" s="14" t="str">
        <v>J5</v>
      </c>
      <c r="E31" s="14" t="str">
        <f t="shared" si="2"/>
        <v>USD_YC6MRH_IMMFRA6MJ5</v>
      </c>
      <c r="F31" s="28" t="e">
        <f>_xll.qlRateHelperQuoteValue($E31,Trigger)</f>
        <v>#NUM!</v>
      </c>
      <c r="G31" s="13" t="e">
        <f>_xll.qlFuturesRateHelperConvexityAdjustment($E31,Trigger)</f>
        <v>#NUM!</v>
      </c>
      <c r="H31" s="12" t="b">
        <v>0</v>
      </c>
      <c r="I31" s="12">
        <v>60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1:12" x14ac:dyDescent="0.2">
      <c r="A32" s="15" t="b">
        <v>1</v>
      </c>
      <c r="B32" s="16"/>
      <c r="C32" s="15" t="str">
        <f t="shared" si="3"/>
        <v>IMMFRA6M</v>
      </c>
      <c r="D32" s="14" t="str">
        <v>M5</v>
      </c>
      <c r="E32" s="14" t="str">
        <f t="shared" si="2"/>
        <v>USD_YC6MRH_IMMFRA6MM5</v>
      </c>
      <c r="F32" s="28" t="e">
        <f>_xll.qlRateHelperQuoteValue($E32,Trigger)</f>
        <v>#NUM!</v>
      </c>
      <c r="G32" s="13" t="e">
        <f>_xll.qlFuturesRateHelperConvexityAdjustment($E32,Trigger)</f>
        <v>#NUM!</v>
      </c>
      <c r="H32" s="12" t="b">
        <v>0</v>
      </c>
      <c r="I32" s="12">
        <v>60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A33" s="15" t="b">
        <v>1</v>
      </c>
      <c r="B33" s="16"/>
      <c r="C33" s="15" t="str">
        <f t="shared" si="3"/>
        <v>IMMFRA6M</v>
      </c>
      <c r="D33" s="14" t="str">
        <v>U5</v>
      </c>
      <c r="E33" s="14" t="str">
        <f t="shared" si="2"/>
        <v>USD_YC6MRH_IMMFRA6MU5</v>
      </c>
      <c r="F33" s="28" t="e">
        <f>_xll.qlRateHelperQuoteValue($E33,Trigger)</f>
        <v>#NUM!</v>
      </c>
      <c r="G33" s="13" t="e">
        <f>_xll.qlFuturesRateHelperConvexityAdjustment($E33,Trigger)</f>
        <v>#NUM!</v>
      </c>
      <c r="H33" s="12" t="b">
        <v>0</v>
      </c>
      <c r="I33" s="12">
        <v>60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A34" s="15" t="b">
        <v>1</v>
      </c>
      <c r="B34" s="16"/>
      <c r="C34" s="15" t="str">
        <f t="shared" si="3"/>
        <v>IMMFRA6M</v>
      </c>
      <c r="D34" s="14" t="str">
        <v>Z5</v>
      </c>
      <c r="E34" s="14" t="str">
        <f t="shared" si="2"/>
        <v>USD_YC6MRH_IMMFRA6MZ5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A35" s="15" t="b">
        <v>1</v>
      </c>
      <c r="B35" s="16"/>
      <c r="C35" s="15" t="str">
        <f t="shared" si="3"/>
        <v>IMMFRA6M</v>
      </c>
      <c r="D35" s="14" t="str">
        <v>H6</v>
      </c>
      <c r="E35" s="14" t="str">
        <f t="shared" si="2"/>
        <v>USD_YC6MRH_IMMFRA6MH6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x14ac:dyDescent="0.2">
      <c r="A36" s="15" t="b">
        <v>1</v>
      </c>
      <c r="B36" s="16"/>
      <c r="C36" s="15" t="str">
        <f t="shared" si="3"/>
        <v>IMMFRA6M</v>
      </c>
      <c r="D36" s="14" t="str">
        <v>M6</v>
      </c>
      <c r="E36" s="14" t="str">
        <f t="shared" si="2"/>
        <v>USD_YC6MRH_IMMFRA6MM6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1</v>
      </c>
      <c r="B37" s="16"/>
      <c r="C37" s="15" t="str">
        <f t="shared" si="3"/>
        <v>IMMFRA6M</v>
      </c>
      <c r="D37" s="14" t="str">
        <v>U6</v>
      </c>
      <c r="E37" s="14" t="str">
        <f t="shared" si="2"/>
        <v>USD_YC6MRH_IMMFRA6MU6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30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1</v>
      </c>
      <c r="B38" s="16"/>
      <c r="C38" s="15" t="str">
        <f t="shared" si="3"/>
        <v>IMMFRA6M</v>
      </c>
      <c r="D38" s="14" t="str">
        <v>Z6</v>
      </c>
      <c r="E38" s="14" t="str">
        <f t="shared" si="2"/>
        <v>USD_YC6MRH_IMMFRA6MZ6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30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1</v>
      </c>
      <c r="B39" s="16"/>
      <c r="C39" s="15" t="str">
        <f t="shared" si="3"/>
        <v>IMMFRA6M</v>
      </c>
      <c r="D39" s="14" t="str">
        <v>H7</v>
      </c>
      <c r="E39" s="14" t="str">
        <f t="shared" si="2"/>
        <v>USD_YC6MRH_IMMFRA6MH7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30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1</v>
      </c>
      <c r="B40" s="16"/>
      <c r="C40" s="15" t="str">
        <f t="shared" si="3"/>
        <v>IMMFRA6M</v>
      </c>
      <c r="D40" s="14" t="str">
        <v>M7</v>
      </c>
      <c r="E40" s="14" t="str">
        <f t="shared" si="2"/>
        <v>USD_YC6MRH_IMMFRA6MM7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30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1</v>
      </c>
      <c r="B41" s="16"/>
      <c r="C41" s="15" t="str">
        <f t="shared" si="3"/>
        <v>IMMFRA6M</v>
      </c>
      <c r="D41" s="14" t="str">
        <v>U7</v>
      </c>
      <c r="E41" s="14" t="str">
        <f t="shared" si="2"/>
        <v>USD_YC6MRH_IMMFRA6MU7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30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1</v>
      </c>
      <c r="B42" s="16"/>
      <c r="C42" s="15" t="str">
        <f t="shared" si="3"/>
        <v>IMMFRA6M</v>
      </c>
      <c r="D42" s="14" t="str">
        <v>Z7</v>
      </c>
      <c r="E42" s="14" t="str">
        <f t="shared" si="2"/>
        <v>USD_YC6MRH_IMMFRA6MZ7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30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1</v>
      </c>
      <c r="B43" s="16"/>
      <c r="C43" s="15" t="str">
        <f t="shared" si="3"/>
        <v>IMMFRA6M</v>
      </c>
      <c r="D43" s="14" t="str">
        <v>H8</v>
      </c>
      <c r="E43" s="14" t="str">
        <f t="shared" si="2"/>
        <v>USD_YC6MRH_IMMFRA6MH8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30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1</v>
      </c>
      <c r="B44" s="16"/>
      <c r="C44" s="15" t="str">
        <f t="shared" si="3"/>
        <v>IMMFRA6M</v>
      </c>
      <c r="D44" s="14" t="str">
        <v>M8</v>
      </c>
      <c r="E44" s="14" t="str">
        <f t="shared" si="2"/>
        <v>USD_YC6MRH_IMMFRA6MM8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30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1</v>
      </c>
      <c r="B45" s="16"/>
      <c r="C45" s="15" t="str">
        <f t="shared" si="3"/>
        <v>IMMFRA6M</v>
      </c>
      <c r="D45" s="14" t="str">
        <v>U8</v>
      </c>
      <c r="E45" s="14" t="str">
        <f t="shared" si="2"/>
        <v>USD_YC6MRH_IMMFRA6MU8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30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1</v>
      </c>
      <c r="B46" s="16"/>
      <c r="C46" s="15" t="str">
        <f t="shared" si="3"/>
        <v>IMMFRA6M</v>
      </c>
      <c r="D46" s="14" t="str">
        <v>Z8</v>
      </c>
      <c r="E46" s="14" t="str">
        <f t="shared" si="2"/>
        <v>USD_YC6MRH_IMMFRA6MZ8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30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1</v>
      </c>
      <c r="B47" s="16"/>
      <c r="C47" s="15" t="str">
        <f t="shared" si="3"/>
        <v>IMMFRA6M</v>
      </c>
      <c r="D47" s="14" t="str">
        <v>H9</v>
      </c>
      <c r="E47" s="14" t="str">
        <f t="shared" si="2"/>
        <v>USD_YC6MRH_IMMFRA6MH9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30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M9</v>
      </c>
      <c r="E48" s="14" t="str">
        <f t="shared" si="2"/>
        <v>USD_YC6MRH_IMMFRA6MM9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30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3" x14ac:dyDescent="0.2">
      <c r="A49" s="15" t="b">
        <v>1</v>
      </c>
      <c r="B49" s="16"/>
      <c r="C49" s="15" t="str">
        <f t="shared" si="3"/>
        <v>IMMFRA6M</v>
      </c>
      <c r="D49" s="14" t="str">
        <v>U9</v>
      </c>
      <c r="E49" s="14" t="str">
        <f t="shared" si="2"/>
        <v>USD_YC6MRH_IMMFRA6MU9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30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3" x14ac:dyDescent="0.2">
      <c r="A50" s="15" t="b">
        <v>1</v>
      </c>
      <c r="B50" s="16"/>
      <c r="C50" s="15" t="str">
        <f t="shared" si="3"/>
        <v>IMMFRA6M</v>
      </c>
      <c r="D50" s="14" t="str">
        <v>Z9</v>
      </c>
      <c r="E50" s="14" t="str">
        <f t="shared" ref="E50:E81" si="4">RateHelperPrefix&amp;"_"&amp;$B50&amp;$C50&amp;$D50</f>
        <v>USD_YC6MRH_IMMFRA6MZ9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30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3" x14ac:dyDescent="0.2">
      <c r="A51" s="15" t="b">
        <v>1</v>
      </c>
      <c r="B51" s="16"/>
      <c r="C51" s="15" t="str">
        <f t="shared" si="3"/>
        <v>IMMFRA6M</v>
      </c>
      <c r="D51" s="14" t="str">
        <v>H0</v>
      </c>
      <c r="E51" s="14" t="str">
        <f t="shared" si="4"/>
        <v>USD_YC6MRH_IMMFRA6MH0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3" x14ac:dyDescent="0.2">
      <c r="A52" s="15" t="b">
        <v>1</v>
      </c>
      <c r="B52" s="16"/>
      <c r="C52" s="15" t="str">
        <f t="shared" si="3"/>
        <v>IMMFRA6M</v>
      </c>
      <c r="D52" s="14" t="str">
        <v>M0</v>
      </c>
      <c r="E52" s="14" t="str">
        <f t="shared" si="4"/>
        <v>USD_YC6MRH_IMMFRA6MM0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3" x14ac:dyDescent="0.2">
      <c r="A53" s="15" t="b">
        <v>1</v>
      </c>
      <c r="B53" s="16"/>
      <c r="C53" s="15" t="str">
        <f t="shared" si="3"/>
        <v>IMMFRA6M</v>
      </c>
      <c r="D53" s="14" t="str">
        <v>U0</v>
      </c>
      <c r="E53" s="14" t="str">
        <f t="shared" si="4"/>
        <v>USD_YC6MRH_IMMFRA6MU0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3" x14ac:dyDescent="0.2">
      <c r="A54" s="15" t="b">
        <v>1</v>
      </c>
      <c r="B54" s="16"/>
      <c r="C54" s="15" t="str">
        <f t="shared" si="3"/>
        <v>IMMFRA6M</v>
      </c>
      <c r="D54" s="14" t="str">
        <v>Z0</v>
      </c>
      <c r="E54" s="14" t="str">
        <f t="shared" si="4"/>
        <v>USD_YC6MRH_IMMFRA6MZ0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3" x14ac:dyDescent="0.2">
      <c r="A55" s="15" t="b">
        <v>1</v>
      </c>
      <c r="B55" s="16"/>
      <c r="C55" s="15" t="str">
        <f t="shared" si="3"/>
        <v>IMMFRA6M</v>
      </c>
      <c r="D55" s="14" t="str">
        <v>H1</v>
      </c>
      <c r="E55" s="14" t="str">
        <f t="shared" si="4"/>
        <v>USD_YC6MRH_IMMFRA6MH1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3" x14ac:dyDescent="0.2">
      <c r="A56" s="15" t="b">
        <v>1</v>
      </c>
      <c r="B56" s="16"/>
      <c r="C56" s="15" t="str">
        <f t="shared" si="3"/>
        <v>IMMFRA6M</v>
      </c>
      <c r="D56" s="14" t="str">
        <v>M1</v>
      </c>
      <c r="E56" s="14" t="str">
        <f t="shared" si="4"/>
        <v>USD_YC6MRH_IMMFRA6MM1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3" x14ac:dyDescent="0.2">
      <c r="A57" s="15" t="b">
        <v>1</v>
      </c>
      <c r="B57" s="16"/>
      <c r="C57" s="15" t="str">
        <f t="shared" si="3"/>
        <v>IMMFRA6M</v>
      </c>
      <c r="D57" s="14" t="str">
        <v>U1</v>
      </c>
      <c r="E57" s="14" t="str">
        <f t="shared" si="4"/>
        <v>USD_YC6MRH_IMMFRA6MU1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3" x14ac:dyDescent="0.2">
      <c r="A58" s="15" t="b">
        <v>1</v>
      </c>
      <c r="B58" s="16"/>
      <c r="C58" s="15" t="str">
        <f t="shared" si="3"/>
        <v>IMMFRA6M</v>
      </c>
      <c r="D58" s="14" t="str">
        <v>Z1</v>
      </c>
      <c r="E58" s="14" t="str">
        <f t="shared" si="4"/>
        <v>USD_YC6MRH_IMMFRA6MZ1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3" x14ac:dyDescent="0.2">
      <c r="A59" s="15" t="b">
        <v>1</v>
      </c>
      <c r="B59" s="16"/>
      <c r="C59" s="15" t="str">
        <f t="shared" si="3"/>
        <v>IMMFRA6M</v>
      </c>
      <c r="D59" s="14" t="str">
        <v>H2</v>
      </c>
      <c r="E59" s="14" t="str">
        <f t="shared" si="4"/>
        <v>USD_YC6MRH_IMMFRA6MH2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3" x14ac:dyDescent="0.2">
      <c r="A60" s="15" t="b">
        <v>1</v>
      </c>
      <c r="B60" s="16"/>
      <c r="C60" s="15" t="str">
        <f t="shared" si="3"/>
        <v>IMMFRA6M</v>
      </c>
      <c r="D60" s="14" t="str">
        <v>M2</v>
      </c>
      <c r="E60" s="14" t="str">
        <f t="shared" si="4"/>
        <v>USD_YC6MRH_IMMFRA6MM2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3" x14ac:dyDescent="0.2">
      <c r="A61" s="8" t="b">
        <v>1</v>
      </c>
      <c r="B61" s="9"/>
      <c r="C61" s="8" t="str">
        <f t="shared" si="3"/>
        <v>IMMFRA6M</v>
      </c>
      <c r="D61" s="7" t="str">
        <v>U2</v>
      </c>
      <c r="E61" s="7" t="str">
        <f t="shared" si="4"/>
        <v>USD_YC6MRH_IMMFRA6MU2</v>
      </c>
      <c r="F61" s="27" t="e">
        <f>_xll.qlRateHelperQuoteValue($E61,Trigger)</f>
        <v>#NUM!</v>
      </c>
      <c r="G61" s="6" t="e">
        <f>_xll.qlFuturesRateHelperConvexityAdjustment($E61,Trigger)</f>
        <v>#NUM!</v>
      </c>
      <c r="H61" s="5" t="b">
        <v>0</v>
      </c>
      <c r="I61" s="5">
        <v>30</v>
      </c>
      <c r="J61" s="12">
        <v>1</v>
      </c>
      <c r="K61" s="4" t="e">
        <f>_xll.qlRateHelperEarliestDate($E61,Trigger)</f>
        <v>#NUM!</v>
      </c>
      <c r="L61" s="3" t="e">
        <f>_xll.qlRateHelperLatestDate($E61,Trigger)</f>
        <v>#NUM!</v>
      </c>
      <c r="M61" s="26"/>
    </row>
    <row r="62" spans="1:13" ht="11.25" customHeight="1" x14ac:dyDescent="0.2">
      <c r="B62" s="24">
        <v>2</v>
      </c>
      <c r="C62" s="23"/>
      <c r="D62" s="22" t="s">
        <v>41</v>
      </c>
      <c r="E62" s="22" t="str">
        <f t="shared" si="4"/>
        <v>USD_YC6MRH_2X1S</v>
      </c>
      <c r="F62" s="21" t="e">
        <f>_xll.qlRateHelperQuoteValue($E62,Trigger)</f>
        <v>#NUM!</v>
      </c>
      <c r="G62" s="21" t="e">
        <f>_xll.qlSwapRateHelperSpread($E62,Trigger)</f>
        <v>#NUM!</v>
      </c>
      <c r="H62" s="20" t="b">
        <v>0</v>
      </c>
      <c r="I62" s="20">
        <v>40</v>
      </c>
      <c r="J62" s="20">
        <v>1</v>
      </c>
      <c r="K62" s="19" t="e">
        <f>_xll.qlRateHelperEarliestDate($E62,Trigger)</f>
        <v>#NUM!</v>
      </c>
      <c r="L62" s="18" t="e">
        <f>_xll.qlRateHelperLatestDate($E62,Trigger)</f>
        <v>#NUM!</v>
      </c>
      <c r="M62" s="17"/>
    </row>
    <row r="63" spans="1:13" x14ac:dyDescent="0.2">
      <c r="B63" s="16">
        <v>3</v>
      </c>
      <c r="C63" s="15"/>
      <c r="D63" s="14" t="s">
        <v>41</v>
      </c>
      <c r="E63" s="14" t="str">
        <f t="shared" si="4"/>
        <v>USD_YC6MRH_3X1S</v>
      </c>
      <c r="F63" s="13" t="e">
        <f>_xll.qlRateHelperQuoteValue($E63,Trigger)</f>
        <v>#NUM!</v>
      </c>
      <c r="G63" s="13" t="e">
        <f>_xll.qlSwapRateHelperSpread($E63,Trigger)</f>
        <v>#NUM!</v>
      </c>
      <c r="H63" s="12" t="b">
        <v>0</v>
      </c>
      <c r="I63" s="12">
        <v>40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  <c r="M63" s="25"/>
    </row>
    <row r="64" spans="1:13" x14ac:dyDescent="0.2">
      <c r="B64" s="16">
        <v>4</v>
      </c>
      <c r="C64" s="15"/>
      <c r="D64" s="14" t="s">
        <v>41</v>
      </c>
      <c r="E64" s="14" t="str">
        <f t="shared" si="4"/>
        <v>USD_YC6MRH_4X1S</v>
      </c>
      <c r="F64" s="13" t="e">
        <f>_xll.qlRateHelperQuoteValue($E64,Trigger)</f>
        <v>#NUM!</v>
      </c>
      <c r="G64" s="13" t="e">
        <f>_xll.qlSwapRateHelperSpread($E64,Trigger)</f>
        <v>#NUM!</v>
      </c>
      <c r="H64" s="12" t="b">
        <v>0</v>
      </c>
      <c r="I64" s="12">
        <v>40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2:14" x14ac:dyDescent="0.2">
      <c r="B65" s="16">
        <v>5</v>
      </c>
      <c r="C65" s="15"/>
      <c r="D65" s="14" t="s">
        <v>41</v>
      </c>
      <c r="E65" s="14" t="str">
        <f t="shared" si="4"/>
        <v>USD_YC6MRH_5X1S</v>
      </c>
      <c r="F65" s="13" t="e">
        <f>_xll.qlRateHelperQuoteValue($E65,Trigger)</f>
        <v>#NUM!</v>
      </c>
      <c r="G65" s="13" t="e">
        <f>_xll.qlSwapRateHelperSpread($E65,Trigger)</f>
        <v>#NUM!</v>
      </c>
      <c r="H65" s="12" t="b">
        <v>0</v>
      </c>
      <c r="I65" s="12">
        <v>40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2:14" ht="11.25" customHeight="1" x14ac:dyDescent="0.2">
      <c r="B66" s="16">
        <v>6</v>
      </c>
      <c r="C66" s="15"/>
      <c r="D66" s="14" t="s">
        <v>41</v>
      </c>
      <c r="E66" s="14" t="str">
        <f t="shared" si="4"/>
        <v>USD_YC6MRH_6X1S</v>
      </c>
      <c r="F66" s="13" t="e">
        <f>_xll.qlRateHelperQuoteValue($E66,Trigger)</f>
        <v>#NUM!</v>
      </c>
      <c r="G66" s="13" t="e">
        <f>_xll.qlSwapRateHelperSpread($E66,Trigger)</f>
        <v>#NUM!</v>
      </c>
      <c r="H66" s="12" t="b">
        <v>0</v>
      </c>
      <c r="I66" s="12">
        <v>40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2:14" x14ac:dyDescent="0.2">
      <c r="B67" s="16">
        <v>7</v>
      </c>
      <c r="C67" s="15"/>
      <c r="D67" s="14" t="s">
        <v>41</v>
      </c>
      <c r="E67" s="14" t="str">
        <f t="shared" si="4"/>
        <v>USD_YC6MRH_7X1S</v>
      </c>
      <c r="F67" s="13" t="e">
        <f>_xll.qlRateHelperQuoteValue($E67,Trigger)</f>
        <v>#NUM!</v>
      </c>
      <c r="G67" s="13" t="e">
        <f>_xll.qlSwapRateHelperSpread($E67,Trigger)</f>
        <v>#NUM!</v>
      </c>
      <c r="H67" s="12" t="b">
        <v>0</v>
      </c>
      <c r="I67" s="12">
        <v>40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2:14" x14ac:dyDescent="0.2">
      <c r="B68" s="16">
        <v>8</v>
      </c>
      <c r="C68" s="15"/>
      <c r="D68" s="14" t="s">
        <v>41</v>
      </c>
      <c r="E68" s="14" t="str">
        <f t="shared" si="4"/>
        <v>USD_YC6MRH_8X1S</v>
      </c>
      <c r="F68" s="13" t="e">
        <f>_xll.qlRateHelperQuoteValue($E68,Trigger)</f>
        <v>#NUM!</v>
      </c>
      <c r="G68" s="13" t="e">
        <f>_xll.qlSwapRateHelperSpread($E68,Trigger)</f>
        <v>#NUM!</v>
      </c>
      <c r="H68" s="12" t="b">
        <v>0</v>
      </c>
      <c r="I68" s="12">
        <v>40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2:14" ht="11.25" customHeight="1" x14ac:dyDescent="0.2">
      <c r="B69" s="16">
        <v>9</v>
      </c>
      <c r="C69" s="15"/>
      <c r="D69" s="14" t="s">
        <v>41</v>
      </c>
      <c r="E69" s="14" t="str">
        <f t="shared" si="4"/>
        <v>USD_YC6MRH_9X1S</v>
      </c>
      <c r="F69" s="13" t="e">
        <f>_xll.qlRateHelperQuoteValue($E69,Trigger)</f>
        <v>#NUM!</v>
      </c>
      <c r="G69" s="13" t="e">
        <f>_xll.qlSwapRateHelperSpread($E69,Trigger)</f>
        <v>#NUM!</v>
      </c>
      <c r="H69" s="12" t="b">
        <v>0</v>
      </c>
      <c r="I69" s="12">
        <v>40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2:14" x14ac:dyDescent="0.2">
      <c r="B70" s="16">
        <v>10</v>
      </c>
      <c r="C70" s="15"/>
      <c r="D70" s="14" t="s">
        <v>41</v>
      </c>
      <c r="E70" s="14" t="str">
        <f t="shared" si="4"/>
        <v>USD_YC6MRH_10X1S</v>
      </c>
      <c r="F70" s="13" t="e">
        <f>_xll.qlRateHelperQuoteValue($E70,Trigger)</f>
        <v>#NUM!</v>
      </c>
      <c r="G70" s="13" t="e">
        <f>_xll.qlSwapRateHelperSpread($E70,Trigger)</f>
        <v>#NUM!</v>
      </c>
      <c r="H70" s="12" t="b">
        <v>0</v>
      </c>
      <c r="I70" s="12">
        <v>40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2:14" x14ac:dyDescent="0.2">
      <c r="B71" s="16">
        <v>11</v>
      </c>
      <c r="C71" s="15"/>
      <c r="D71" s="14" t="s">
        <v>41</v>
      </c>
      <c r="E71" s="14" t="str">
        <f t="shared" si="4"/>
        <v>USD_YC6MRH_11X1S</v>
      </c>
      <c r="F71" s="13" t="e">
        <f>_xll.qlRateHelperQuoteValue($E71,Trigger)</f>
        <v>#NUM!</v>
      </c>
      <c r="G71" s="13" t="e">
        <f>_xll.qlSwapRateHelperSpread($E71,Trigger)</f>
        <v>#NUM!</v>
      </c>
      <c r="H71" s="12" t="b">
        <v>0</v>
      </c>
      <c r="I71" s="12">
        <v>40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2:14" x14ac:dyDescent="0.2">
      <c r="B72" s="9">
        <v>12</v>
      </c>
      <c r="C72" s="8"/>
      <c r="D72" s="7" t="s">
        <v>41</v>
      </c>
      <c r="E72" s="7" t="str">
        <f t="shared" si="4"/>
        <v>USD_YC6MRH_12X1S</v>
      </c>
      <c r="F72" s="6" t="e">
        <f>_xll.qlRateHelperQuoteValue($E72,Trigger)</f>
        <v>#NUM!</v>
      </c>
      <c r="G72" s="6" t="e">
        <f>_xll.qlSwapRateHelperSpread($E72,Trigger)</f>
        <v>#NUM!</v>
      </c>
      <c r="H72" s="5" t="b">
        <v>0</v>
      </c>
      <c r="I72" s="5">
        <v>40</v>
      </c>
      <c r="J72" s="12">
        <v>1</v>
      </c>
      <c r="K72" s="4" t="e">
        <f>_xll.qlRateHelperEarliestDate($E72,Trigger)</f>
        <v>#NUM!</v>
      </c>
      <c r="L72" s="3" t="e">
        <f>_xll.qlRateHelperLatestDate($E72,Trigger)</f>
        <v>#NUM!</v>
      </c>
    </row>
    <row r="73" spans="2:14" x14ac:dyDescent="0.2">
      <c r="B73" s="24" t="s">
        <v>37</v>
      </c>
      <c r="C73" s="23">
        <v>12</v>
      </c>
      <c r="D73" s="22"/>
      <c r="E73" s="22" t="str">
        <f t="shared" si="4"/>
        <v>USD_YC6MRH_1S12</v>
      </c>
      <c r="F73" s="21" t="e">
        <f>_xll.qlRateHelperQuoteValue($E73,Trigger)</f>
        <v>#NUM!</v>
      </c>
      <c r="G73" s="21" t="e">
        <f>_xll.qlSwapRateHelperSpread($E73,Trigger)</f>
        <v>#NUM!</v>
      </c>
      <c r="H73" s="20" t="b">
        <v>0</v>
      </c>
      <c r="I73" s="20">
        <v>40</v>
      </c>
      <c r="J73" s="20">
        <v>1</v>
      </c>
      <c r="K73" s="19" t="e">
        <f>_xll.qlRateHelperEarliestDate($E73,Trigger)</f>
        <v>#NUM!</v>
      </c>
      <c r="L73" s="18" t="e">
        <f>_xll.qlRateHelperLatestDate($E73,Trigger)</f>
        <v>#NUM!</v>
      </c>
    </row>
    <row r="74" spans="2:14" x14ac:dyDescent="0.2">
      <c r="B74" s="16" t="s">
        <v>38</v>
      </c>
      <c r="C74" s="15">
        <v>12</v>
      </c>
      <c r="D74" s="14"/>
      <c r="E74" s="14" t="str">
        <f t="shared" si="4"/>
        <v>USD_YC6MRH_2S12</v>
      </c>
      <c r="F74" s="13" t="e">
        <f>_xll.qlRateHelperQuoteValue($E74,Trigger)</f>
        <v>#NUM!</v>
      </c>
      <c r="G74" s="13" t="e">
        <f>_xll.qlSwapRateHelperSpread($E74,Trigger)</f>
        <v>#NUM!</v>
      </c>
      <c r="H74" s="12" t="b">
        <v>0</v>
      </c>
      <c r="I74" s="12">
        <v>40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2:14" x14ac:dyDescent="0.2">
      <c r="B75" s="16" t="s">
        <v>40</v>
      </c>
      <c r="C75" s="15">
        <v>12</v>
      </c>
      <c r="D75" s="14"/>
      <c r="E75" s="14" t="str">
        <f t="shared" si="4"/>
        <v>USD_YC6MRH_3S12</v>
      </c>
      <c r="F75" s="13" t="e">
        <f>_xll.qlRateHelperQuoteValue($E75,Trigger)</f>
        <v>#NUM!</v>
      </c>
      <c r="G75" s="13" t="e">
        <f>_xll.qlSwapRateHelperSpread($E75,Trigger)</f>
        <v>#NUM!</v>
      </c>
      <c r="H75" s="12" t="b">
        <v>0</v>
      </c>
      <c r="I75" s="12">
        <v>40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2:14" x14ac:dyDescent="0.2">
      <c r="B76" s="16" t="s">
        <v>39</v>
      </c>
      <c r="C76" s="15">
        <v>12</v>
      </c>
      <c r="D76" s="14"/>
      <c r="E76" s="14" t="str">
        <f t="shared" si="4"/>
        <v>USD_YC6MRH_4S12</v>
      </c>
      <c r="F76" s="13" t="e">
        <f>_xll.qlRateHelperQuoteValue($E76,Trigger)</f>
        <v>#NUM!</v>
      </c>
      <c r="G76" s="13" t="e">
        <f>_xll.qlSwapRateHelperSpread($E76,Trigger)</f>
        <v>#NUM!</v>
      </c>
      <c r="H76" s="12" t="b">
        <v>0</v>
      </c>
      <c r="I76" s="12">
        <v>40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2:14" x14ac:dyDescent="0.2">
      <c r="B77" s="16" t="s">
        <v>37</v>
      </c>
      <c r="C77" s="15">
        <v>24</v>
      </c>
      <c r="D77" s="14"/>
      <c r="E77" s="14" t="str">
        <f t="shared" si="4"/>
        <v>USD_YC6MRH_1S24</v>
      </c>
      <c r="F77" s="13" t="e">
        <f>_xll.qlRateHelperQuoteValue($E77,Trigger)</f>
        <v>#NUM!</v>
      </c>
      <c r="G77" s="13" t="e">
        <f>_xll.qlSwapRateHelperSpread($E77,Trigger)</f>
        <v>#NUM!</v>
      </c>
      <c r="H77" s="12" t="b">
        <v>0</v>
      </c>
      <c r="I77" s="12">
        <v>40</v>
      </c>
      <c r="J77" s="12">
        <v>1</v>
      </c>
      <c r="K77" s="11" t="e">
        <f>_xll.qlRateHelperEarliestDate($E77,Trigger)</f>
        <v>#NUM!</v>
      </c>
      <c r="L77" s="10" t="e">
        <f>_xll.qlRateHelperLatestDate($E77,Trigger)</f>
        <v>#NUM!</v>
      </c>
    </row>
    <row r="78" spans="2:14" x14ac:dyDescent="0.2">
      <c r="B78" s="16" t="s">
        <v>38</v>
      </c>
      <c r="C78" s="15">
        <v>24</v>
      </c>
      <c r="D78" s="14"/>
      <c r="E78" s="14" t="str">
        <f t="shared" si="4"/>
        <v>USD_YC6MRH_2S24</v>
      </c>
      <c r="F78" s="13" t="e">
        <f>_xll.qlRateHelperQuoteValue($E78,Trigger)</f>
        <v>#NUM!</v>
      </c>
      <c r="G78" s="13" t="e">
        <f>_xll.qlSwapRateHelperSpread($E78,Trigger)</f>
        <v>#NUM!</v>
      </c>
      <c r="H78" s="12" t="b">
        <v>0</v>
      </c>
      <c r="I78" s="12">
        <v>40</v>
      </c>
      <c r="J78" s="12">
        <v>1</v>
      </c>
      <c r="K78" s="11" t="e">
        <f>_xll.qlRateHelperEarliestDate($E78,Trigger)</f>
        <v>#NUM!</v>
      </c>
      <c r="L78" s="10" t="e">
        <f>_xll.qlRateHelperLatestDate($E78,Trigger)</f>
        <v>#NUM!</v>
      </c>
    </row>
    <row r="79" spans="2:14" x14ac:dyDescent="0.2">
      <c r="B79" s="9" t="s">
        <v>37</v>
      </c>
      <c r="C79" s="8">
        <v>36</v>
      </c>
      <c r="D79" s="7"/>
      <c r="E79" s="7" t="str">
        <f t="shared" si="4"/>
        <v>USD_YC6MRH_1S36</v>
      </c>
      <c r="F79" s="6" t="e">
        <f>_xll.qlRateHelperQuoteValue($E79,Trigger)</f>
        <v>#NUM!</v>
      </c>
      <c r="G79" s="6" t="e">
        <f>_xll.qlSwapRateHelperSpread($E79,Trigger)</f>
        <v>#NUM!</v>
      </c>
      <c r="H79" s="5" t="b">
        <v>0</v>
      </c>
      <c r="I79" s="5">
        <v>40</v>
      </c>
      <c r="J79" s="5">
        <v>1</v>
      </c>
      <c r="K79" s="4" t="e">
        <f>_xll.qlRateHelperEarliestDate($E79,Trigger)</f>
        <v>#NUM!</v>
      </c>
      <c r="L79" s="3" t="e">
        <f>_xll.qlRateHelperLatestDate($E79,Trigger)</f>
        <v>#NUM!</v>
      </c>
    </row>
    <row r="80" spans="2:14" x14ac:dyDescent="0.2">
      <c r="B80" s="16" t="str">
        <f t="shared" ref="B80:B111" si="5">SwapFixedFreq</f>
        <v>AM</v>
      </c>
      <c r="C80" s="15" t="str">
        <f t="shared" ref="C80:C116" si="6">IborType</f>
        <v>6L</v>
      </c>
      <c r="D80" s="14" t="s">
        <v>36</v>
      </c>
      <c r="E80" s="14" t="str">
        <f t="shared" si="4"/>
        <v>USD_YC6MRH_AM6L1Y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50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  <c r="N80" s="17" t="e">
        <f t="shared" ref="N80:N116" si="7">IF(G80=G117,F80-F117,"--")</f>
        <v>#NUM!</v>
      </c>
    </row>
    <row r="81" spans="2:14" x14ac:dyDescent="0.2">
      <c r="B81" s="16" t="str">
        <f t="shared" si="5"/>
        <v>AM</v>
      </c>
      <c r="C81" s="15" t="str">
        <f t="shared" si="6"/>
        <v>6L</v>
      </c>
      <c r="D81" s="14" t="s">
        <v>35</v>
      </c>
      <c r="E81" s="14" t="str">
        <f t="shared" si="4"/>
        <v>USD_YC6MRH_AM6L15M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50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  <c r="N81" s="17" t="e">
        <f t="shared" si="7"/>
        <v>#NUM!</v>
      </c>
    </row>
    <row r="82" spans="2:14" x14ac:dyDescent="0.2">
      <c r="B82" s="16" t="str">
        <f t="shared" si="5"/>
        <v>AM</v>
      </c>
      <c r="C82" s="15" t="str">
        <f t="shared" si="6"/>
        <v>6L</v>
      </c>
      <c r="D82" s="14" t="s">
        <v>34</v>
      </c>
      <c r="E82" s="14" t="str">
        <f t="shared" ref="E82:E113" si="8">RateHelperPrefix&amp;"_"&amp;$B82&amp;$C82&amp;$D82</f>
        <v>USD_YC6MRH_AM6L18M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50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  <c r="N82" s="17" t="e">
        <f t="shared" si="7"/>
        <v>#NUM!</v>
      </c>
    </row>
    <row r="83" spans="2:14" x14ac:dyDescent="0.2">
      <c r="B83" s="16" t="str">
        <f t="shared" si="5"/>
        <v>AM</v>
      </c>
      <c r="C83" s="15" t="str">
        <f t="shared" si="6"/>
        <v>6L</v>
      </c>
      <c r="D83" s="14" t="s">
        <v>33</v>
      </c>
      <c r="E83" s="14" t="str">
        <f t="shared" si="8"/>
        <v>USD_YC6MRH_AM6L21M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50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  <c r="N83" s="17" t="e">
        <f t="shared" si="7"/>
        <v>#NUM!</v>
      </c>
    </row>
    <row r="84" spans="2:14" x14ac:dyDescent="0.2">
      <c r="B84" s="16" t="str">
        <f t="shared" si="5"/>
        <v>AM</v>
      </c>
      <c r="C84" s="15" t="str">
        <f t="shared" si="6"/>
        <v>6L</v>
      </c>
      <c r="D84" s="14" t="s">
        <v>32</v>
      </c>
      <c r="E84" s="14" t="str">
        <f t="shared" si="8"/>
        <v>USD_YC6MRH_AM6L2Y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50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  <c r="N84" s="17" t="e">
        <f t="shared" si="7"/>
        <v>#NUM!</v>
      </c>
    </row>
    <row r="85" spans="2:14" x14ac:dyDescent="0.2">
      <c r="B85" s="16" t="str">
        <f t="shared" si="5"/>
        <v>AM</v>
      </c>
      <c r="C85" s="15" t="str">
        <f t="shared" si="6"/>
        <v>6L</v>
      </c>
      <c r="D85" s="14" t="s">
        <v>31</v>
      </c>
      <c r="E85" s="14" t="str">
        <f t="shared" si="8"/>
        <v>USD_YC6MRH_AM6L3Y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50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  <c r="N85" s="17" t="e">
        <f t="shared" si="7"/>
        <v>#NUM!</v>
      </c>
    </row>
    <row r="86" spans="2:14" x14ac:dyDescent="0.2">
      <c r="B86" s="16" t="str">
        <f t="shared" si="5"/>
        <v>AM</v>
      </c>
      <c r="C86" s="15" t="str">
        <f t="shared" si="6"/>
        <v>6L</v>
      </c>
      <c r="D86" s="14" t="s">
        <v>30</v>
      </c>
      <c r="E86" s="14" t="str">
        <f t="shared" si="8"/>
        <v>USD_YC6MRH_AM6L4Y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50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  <c r="N86" s="17" t="e">
        <f t="shared" si="7"/>
        <v>#NUM!</v>
      </c>
    </row>
    <row r="87" spans="2:14" x14ac:dyDescent="0.2">
      <c r="B87" s="16" t="str">
        <f t="shared" si="5"/>
        <v>AM</v>
      </c>
      <c r="C87" s="15" t="str">
        <f t="shared" si="6"/>
        <v>6L</v>
      </c>
      <c r="D87" s="14" t="s">
        <v>29</v>
      </c>
      <c r="E87" s="14" t="str">
        <f t="shared" si="8"/>
        <v>USD_YC6MRH_AM6L5Y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50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  <c r="N87" s="17" t="e">
        <f t="shared" si="7"/>
        <v>#NUM!</v>
      </c>
    </row>
    <row r="88" spans="2:14" x14ac:dyDescent="0.2">
      <c r="B88" s="16" t="str">
        <f t="shared" si="5"/>
        <v>AM</v>
      </c>
      <c r="C88" s="15" t="str">
        <f t="shared" si="6"/>
        <v>6L</v>
      </c>
      <c r="D88" s="14" t="s">
        <v>28</v>
      </c>
      <c r="E88" s="14" t="str">
        <f t="shared" si="8"/>
        <v>USD_YC6MRH_AM6L6Y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50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  <c r="N88" s="17" t="e">
        <f t="shared" si="7"/>
        <v>#NUM!</v>
      </c>
    </row>
    <row r="89" spans="2:14" x14ac:dyDescent="0.2">
      <c r="B89" s="16" t="str">
        <f t="shared" si="5"/>
        <v>AM</v>
      </c>
      <c r="C89" s="15" t="str">
        <f t="shared" si="6"/>
        <v>6L</v>
      </c>
      <c r="D89" s="14" t="s">
        <v>27</v>
      </c>
      <c r="E89" s="14" t="str">
        <f t="shared" si="8"/>
        <v>USD_YC6MRH_AM6L7Y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50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  <c r="N89" s="17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6L</v>
      </c>
      <c r="D90" s="14" t="s">
        <v>26</v>
      </c>
      <c r="E90" s="14" t="str">
        <f t="shared" si="8"/>
        <v>USD_YC6MRH_AM6L8Y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50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  <c r="N90" s="17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6L</v>
      </c>
      <c r="D91" s="14" t="s">
        <v>25</v>
      </c>
      <c r="E91" s="14" t="str">
        <f t="shared" si="8"/>
        <v>USD_YC6MRH_AM6L9Y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50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  <c r="N91" s="17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6L</v>
      </c>
      <c r="D92" s="14" t="s">
        <v>24</v>
      </c>
      <c r="E92" s="14" t="str">
        <f t="shared" si="8"/>
        <v>USD_YC6MRH_AM6L10Y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50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  <c r="N92" s="17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6L</v>
      </c>
      <c r="D93" s="14" t="s">
        <v>23</v>
      </c>
      <c r="E93" s="14" t="str">
        <f t="shared" si="8"/>
        <v>USD_YC6MRH_AM6L11Y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50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  <c r="N93" s="17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6L</v>
      </c>
      <c r="D94" s="14" t="s">
        <v>22</v>
      </c>
      <c r="E94" s="14" t="str">
        <f t="shared" si="8"/>
        <v>USD_YC6MRH_AM6L12Y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17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6L</v>
      </c>
      <c r="D95" s="14" t="s">
        <v>21</v>
      </c>
      <c r="E95" s="14" t="str">
        <f t="shared" si="8"/>
        <v>USD_YC6MRH_AM6L13Y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17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6L</v>
      </c>
      <c r="D96" s="14" t="s">
        <v>20</v>
      </c>
      <c r="E96" s="14" t="str">
        <f t="shared" si="8"/>
        <v>USD_YC6MRH_AM6L14Y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19</v>
      </c>
      <c r="E97" s="14" t="str">
        <f t="shared" si="8"/>
        <v>USD_YC6MRH_AM6L15Y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18</v>
      </c>
      <c r="E98" s="14" t="str">
        <f t="shared" si="8"/>
        <v>USD_YC6MRH_AM6L16Y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17</v>
      </c>
      <c r="E99" s="14" t="str">
        <f t="shared" si="8"/>
        <v>USD_YC6MRH_AM6L17Y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16</v>
      </c>
      <c r="E100" s="14" t="str">
        <f t="shared" si="8"/>
        <v>USD_YC6MRH_AM6L18Y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15</v>
      </c>
      <c r="E101" s="14" t="str">
        <f t="shared" si="8"/>
        <v>USD_YC6MRH_AM6L19Y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14</v>
      </c>
      <c r="E102" s="14" t="str">
        <f t="shared" si="8"/>
        <v>USD_YC6MRH_AM6L20Y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13</v>
      </c>
      <c r="E103" s="14" t="str">
        <f t="shared" si="8"/>
        <v>USD_YC6MRH_AM6L21Y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12</v>
      </c>
      <c r="E104" s="14" t="str">
        <f t="shared" si="8"/>
        <v>USD_YC6MRH_AM6L22Y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11</v>
      </c>
      <c r="E105" s="14" t="str">
        <f t="shared" si="8"/>
        <v>USD_YC6MRH_AM6L23Y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10</v>
      </c>
      <c r="E106" s="14" t="str">
        <f t="shared" si="8"/>
        <v>USD_YC6MRH_AM6L24Y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9</v>
      </c>
      <c r="E107" s="14" t="str">
        <f t="shared" si="8"/>
        <v>USD_YC6MRH_AM6L25Y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8</v>
      </c>
      <c r="E108" s="14" t="str">
        <f t="shared" si="8"/>
        <v>USD_YC6MRH_AM6L26Y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7</v>
      </c>
      <c r="E109" s="14" t="str">
        <f t="shared" si="8"/>
        <v>USD_YC6MRH_AM6L27Y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6</v>
      </c>
      <c r="E110" s="14" t="str">
        <f t="shared" si="8"/>
        <v>USD_YC6MRH_AM6L28Y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5</v>
      </c>
      <c r="E111" s="14" t="str">
        <f t="shared" si="8"/>
        <v>USD_YC6MRH_AM6L29Y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ref="B112:B143" si="9">SwapFixedFreq</f>
        <v>AM</v>
      </c>
      <c r="C112" s="15" t="str">
        <f t="shared" si="6"/>
        <v>6L</v>
      </c>
      <c r="D112" s="14" t="s">
        <v>4</v>
      </c>
      <c r="E112" s="14" t="str">
        <f t="shared" si="8"/>
        <v>USD_YC6MRH_AM6L30Y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9"/>
        <v>AM</v>
      </c>
      <c r="C113" s="15" t="str">
        <f t="shared" si="6"/>
        <v>6L</v>
      </c>
      <c r="D113" s="14" t="s">
        <v>3</v>
      </c>
      <c r="E113" s="14" t="str">
        <f t="shared" si="8"/>
        <v>USD_YC6MRH_AM6L35Y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9"/>
        <v>AM</v>
      </c>
      <c r="C114" s="15" t="str">
        <f t="shared" si="6"/>
        <v>6L</v>
      </c>
      <c r="D114" s="14" t="s">
        <v>2</v>
      </c>
      <c r="E114" s="14" t="str">
        <f t="shared" ref="E114:E145" si="10">RateHelperPrefix&amp;"_"&amp;$B114&amp;$C114&amp;$D114</f>
        <v>USD_YC6MRH_AM6L40Y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9"/>
        <v>AM</v>
      </c>
      <c r="C115" s="15" t="str">
        <f t="shared" si="6"/>
        <v>6L</v>
      </c>
      <c r="D115" s="14" t="s">
        <v>1</v>
      </c>
      <c r="E115" s="14" t="str">
        <f t="shared" si="10"/>
        <v>USD_YC6MRH_AM6L50Y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9" t="str">
        <f t="shared" si="9"/>
        <v>AM</v>
      </c>
      <c r="C116" s="8" t="str">
        <f t="shared" si="6"/>
        <v>6L</v>
      </c>
      <c r="D116" s="7" t="s">
        <v>0</v>
      </c>
      <c r="E116" s="7" t="str">
        <f t="shared" si="10"/>
        <v>USD_YC6MRH_AM6L60Y</v>
      </c>
      <c r="F116" s="6" t="e">
        <f>_xll.qlRateHelperQuoteValue($E116,Trigger)</f>
        <v>#NUM!</v>
      </c>
      <c r="G116" s="6" t="e">
        <f>_xll.qlSwapRateHelperSpread($E116,Trigger)</f>
        <v>#NUM!</v>
      </c>
      <c r="H116" s="5" t="b">
        <v>0</v>
      </c>
      <c r="I116" s="5">
        <v>50</v>
      </c>
      <c r="J116" s="5">
        <v>1</v>
      </c>
      <c r="K116" s="4" t="e">
        <f>_xll.qlRateHelperEarliestDate($E116,Trigger)</f>
        <v>#NUM!</v>
      </c>
      <c r="L116" s="3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9"/>
        <v>AM</v>
      </c>
      <c r="C117" s="15" t="str">
        <f t="shared" ref="C117:C153" si="11">IborType&amp;"BASIS"</f>
        <v>6LBASIS</v>
      </c>
      <c r="D117" s="14" t="s">
        <v>36</v>
      </c>
      <c r="E117" s="14" t="str">
        <f t="shared" si="10"/>
        <v>USD_YC6MRH_AM6LBASIS1Y</v>
      </c>
      <c r="F117" s="13">
        <f>_xll.qlRateHelperQuoteValue($E117,Trigger)</f>
        <v>3.4996780522336107E-3</v>
      </c>
      <c r="G117" s="13">
        <f>_xll.qlSwapRateHelperSpread($E117,Trigger)</f>
        <v>0</v>
      </c>
      <c r="H117" s="12" t="b">
        <v>0</v>
      </c>
      <c r="I117" s="12">
        <v>40</v>
      </c>
      <c r="J117" s="12">
        <v>1</v>
      </c>
      <c r="K117" s="11">
        <f>_xll.qlRateHelperEarliestDate($E117,Trigger)</f>
        <v>41766</v>
      </c>
      <c r="L117" s="10">
        <f>_xll.qlRateHelperLatestDate($E117,Trigger)</f>
        <v>42131</v>
      </c>
    </row>
    <row r="118" spans="2:14" x14ac:dyDescent="0.2">
      <c r="B118" s="16" t="str">
        <f t="shared" si="9"/>
        <v>AM</v>
      </c>
      <c r="C118" s="15" t="str">
        <f t="shared" si="11"/>
        <v>6LBASIS</v>
      </c>
      <c r="D118" s="14" t="s">
        <v>35</v>
      </c>
      <c r="E118" s="14" t="str">
        <f t="shared" si="10"/>
        <v>USD_YC6MRH_AM6LBASIS15M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40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</row>
    <row r="119" spans="2:14" x14ac:dyDescent="0.2">
      <c r="B119" s="16" t="str">
        <f t="shared" si="9"/>
        <v>AM</v>
      </c>
      <c r="C119" s="15" t="str">
        <f t="shared" si="11"/>
        <v>6LBASIS</v>
      </c>
      <c r="D119" s="14" t="s">
        <v>34</v>
      </c>
      <c r="E119" s="14" t="str">
        <f t="shared" si="10"/>
        <v>USD_YC6MRH_AM6LBASIS18M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40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</row>
    <row r="120" spans="2:14" x14ac:dyDescent="0.2">
      <c r="B120" s="16" t="str">
        <f t="shared" si="9"/>
        <v>AM</v>
      </c>
      <c r="C120" s="15" t="str">
        <f t="shared" si="11"/>
        <v>6LBASIS</v>
      </c>
      <c r="D120" s="14" t="s">
        <v>33</v>
      </c>
      <c r="E120" s="14" t="str">
        <f t="shared" si="10"/>
        <v>USD_YC6MRH_AM6LBASIS21M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40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</row>
    <row r="121" spans="2:14" x14ac:dyDescent="0.2">
      <c r="B121" s="16" t="str">
        <f t="shared" si="9"/>
        <v>AM</v>
      </c>
      <c r="C121" s="15" t="str">
        <f t="shared" si="11"/>
        <v>6LBASIS</v>
      </c>
      <c r="D121" s="14" t="s">
        <v>32</v>
      </c>
      <c r="E121" s="14" t="str">
        <f t="shared" si="10"/>
        <v>USD_YC6MRH_AM6LBASIS2Y</v>
      </c>
      <c r="F121" s="13">
        <f>_xll.qlRateHelperQuoteValue($E121,Trigger)</f>
        <v>6.2747361800808438E-3</v>
      </c>
      <c r="G121" s="13">
        <f>_xll.qlSwapRateHelperSpread($E121,Trigger)</f>
        <v>0</v>
      </c>
      <c r="H121" s="12" t="b">
        <v>1</v>
      </c>
      <c r="I121" s="12">
        <v>40</v>
      </c>
      <c r="J121" s="12">
        <v>1</v>
      </c>
      <c r="K121" s="11">
        <f>_xll.qlRateHelperEarliestDate($E121,Trigger)</f>
        <v>41766</v>
      </c>
      <c r="L121" s="10">
        <f>_xll.qlRateHelperLatestDate($E121,Trigger)</f>
        <v>42499</v>
      </c>
    </row>
    <row r="122" spans="2:14" x14ac:dyDescent="0.2">
      <c r="B122" s="16" t="str">
        <f t="shared" si="9"/>
        <v>AM</v>
      </c>
      <c r="C122" s="15" t="str">
        <f t="shared" si="11"/>
        <v>6LBASIS</v>
      </c>
      <c r="D122" s="14" t="s">
        <v>31</v>
      </c>
      <c r="E122" s="14" t="str">
        <f t="shared" si="10"/>
        <v>USD_YC6MRH_AM6LBASIS3Y</v>
      </c>
      <c r="F122" s="13">
        <f>_xll.qlRateHelperQuoteValue($E122,Trigger)</f>
        <v>1.0613243752659226E-2</v>
      </c>
      <c r="G122" s="13">
        <f>_xll.qlSwapRateHelperSpread($E122,Trigger)</f>
        <v>0</v>
      </c>
      <c r="H122" s="12" t="b">
        <v>1</v>
      </c>
      <c r="I122" s="12">
        <v>40</v>
      </c>
      <c r="J122" s="12">
        <v>1</v>
      </c>
      <c r="K122" s="11">
        <f>_xll.qlRateHelperEarliestDate($E122,Trigger)</f>
        <v>41766</v>
      </c>
      <c r="L122" s="10">
        <f>_xll.qlRateHelperLatestDate($E122,Trigger)</f>
        <v>42863</v>
      </c>
    </row>
    <row r="123" spans="2:14" x14ac:dyDescent="0.2">
      <c r="B123" s="16" t="str">
        <f t="shared" si="9"/>
        <v>AM</v>
      </c>
      <c r="C123" s="15" t="str">
        <f t="shared" si="11"/>
        <v>6LBASIS</v>
      </c>
      <c r="D123" s="14" t="s">
        <v>30</v>
      </c>
      <c r="E123" s="14" t="str">
        <f t="shared" si="10"/>
        <v>USD_YC6MRH_AM6LBASIS4Y</v>
      </c>
      <c r="F123" s="13">
        <f>_xll.qlRateHelperQuoteValue($E123,Trigger)</f>
        <v>1.4794610454705709E-2</v>
      </c>
      <c r="G123" s="13">
        <f>_xll.qlSwapRateHelperSpread($E123,Trigger)</f>
        <v>0</v>
      </c>
      <c r="H123" s="12" t="b">
        <v>1</v>
      </c>
      <c r="I123" s="12">
        <v>40</v>
      </c>
      <c r="J123" s="12">
        <v>1</v>
      </c>
      <c r="K123" s="11">
        <f>_xll.qlRateHelperEarliestDate($E123,Trigger)</f>
        <v>41766</v>
      </c>
      <c r="L123" s="10">
        <f>_xll.qlRateHelperLatestDate($E123,Trigger)</f>
        <v>43228</v>
      </c>
    </row>
    <row r="124" spans="2:14" x14ac:dyDescent="0.2">
      <c r="B124" s="16" t="str">
        <f t="shared" si="9"/>
        <v>AM</v>
      </c>
      <c r="C124" s="15" t="str">
        <f t="shared" si="11"/>
        <v>6LBASIS</v>
      </c>
      <c r="D124" s="14" t="s">
        <v>29</v>
      </c>
      <c r="E124" s="14" t="str">
        <f t="shared" si="10"/>
        <v>USD_YC6MRH_AM6LBASIS5Y</v>
      </c>
      <c r="F124" s="13">
        <f>_xll.qlRateHelperQuoteValue($E124,Trigger)</f>
        <v>1.8305761003297498E-2</v>
      </c>
      <c r="G124" s="13">
        <f>_xll.qlSwapRateHelperSpread($E124,Trigger)</f>
        <v>0</v>
      </c>
      <c r="H124" s="12" t="b">
        <v>1</v>
      </c>
      <c r="I124" s="12">
        <v>40</v>
      </c>
      <c r="J124" s="12">
        <v>1</v>
      </c>
      <c r="K124" s="11">
        <f>_xll.qlRateHelperEarliestDate($E124,Trigger)</f>
        <v>41766</v>
      </c>
      <c r="L124" s="10">
        <f>_xll.qlRateHelperLatestDate($E124,Trigger)</f>
        <v>43592</v>
      </c>
    </row>
    <row r="125" spans="2:14" x14ac:dyDescent="0.2">
      <c r="B125" s="16" t="str">
        <f t="shared" si="9"/>
        <v>AM</v>
      </c>
      <c r="C125" s="15" t="str">
        <f t="shared" si="11"/>
        <v>6LBASIS</v>
      </c>
      <c r="D125" s="14" t="s">
        <v>28</v>
      </c>
      <c r="E125" s="14" t="str">
        <f t="shared" si="10"/>
        <v>USD_YC6MRH_AM6LBASIS6Y</v>
      </c>
      <c r="F125" s="13">
        <f>_xll.qlRateHelperQuoteValue($E125,Trigger)</f>
        <v>2.1186812438221476E-2</v>
      </c>
      <c r="G125" s="13">
        <f>_xll.qlSwapRateHelperSpread($E125,Trigger)</f>
        <v>0</v>
      </c>
      <c r="H125" s="12" t="b">
        <v>1</v>
      </c>
      <c r="I125" s="12">
        <v>40</v>
      </c>
      <c r="J125" s="12">
        <v>1</v>
      </c>
      <c r="K125" s="11">
        <f>_xll.qlRateHelperEarliestDate($E125,Trigger)</f>
        <v>41766</v>
      </c>
      <c r="L125" s="10">
        <f>_xll.qlRateHelperLatestDate($E125,Trigger)</f>
        <v>43958</v>
      </c>
    </row>
    <row r="126" spans="2:14" x14ac:dyDescent="0.2">
      <c r="B126" s="16" t="str">
        <f t="shared" si="9"/>
        <v>AM</v>
      </c>
      <c r="C126" s="15" t="str">
        <f t="shared" si="11"/>
        <v>6LBASIS</v>
      </c>
      <c r="D126" s="14" t="s">
        <v>27</v>
      </c>
      <c r="E126" s="14" t="str">
        <f t="shared" si="10"/>
        <v>USD_YC6MRH_AM6LBASIS7Y</v>
      </c>
      <c r="F126" s="13">
        <f>_xll.qlRateHelperQuoteValue($E126,Trigger)</f>
        <v>2.3537708839040911E-2</v>
      </c>
      <c r="G126" s="13">
        <f>_xll.qlSwapRateHelperSpread($E126,Trigger)</f>
        <v>0</v>
      </c>
      <c r="H126" s="12" t="b">
        <v>1</v>
      </c>
      <c r="I126" s="12">
        <v>40</v>
      </c>
      <c r="J126" s="12">
        <v>1</v>
      </c>
      <c r="K126" s="11">
        <f>_xll.qlRateHelperEarliestDate($E126,Trigger)</f>
        <v>41766</v>
      </c>
      <c r="L126" s="10">
        <f>_xll.qlRateHelperLatestDate($E126,Trigger)</f>
        <v>44323</v>
      </c>
    </row>
    <row r="127" spans="2:14" x14ac:dyDescent="0.2">
      <c r="B127" s="16" t="str">
        <f t="shared" si="9"/>
        <v>AM</v>
      </c>
      <c r="C127" s="15" t="str">
        <f t="shared" si="11"/>
        <v>6LBASIS</v>
      </c>
      <c r="D127" s="14" t="s">
        <v>26</v>
      </c>
      <c r="E127" s="14" t="str">
        <f t="shared" si="10"/>
        <v>USD_YC6MRH_AM6LBASIS8Y</v>
      </c>
      <c r="F127" s="13">
        <f>_xll.qlRateHelperQuoteValue($E127,Trigger)</f>
        <v>2.5438483006057507E-2</v>
      </c>
      <c r="G127" s="13">
        <f>_xll.qlSwapRateHelperSpread($E127,Trigger)</f>
        <v>0</v>
      </c>
      <c r="H127" s="12" t="b">
        <v>1</v>
      </c>
      <c r="I127" s="12">
        <v>40</v>
      </c>
      <c r="J127" s="12">
        <v>1</v>
      </c>
      <c r="K127" s="11">
        <f>_xll.qlRateHelperEarliestDate($E127,Trigger)</f>
        <v>41766</v>
      </c>
      <c r="L127" s="10">
        <f>_xll.qlRateHelperLatestDate($E127,Trigger)</f>
        <v>44690</v>
      </c>
    </row>
    <row r="128" spans="2:14" x14ac:dyDescent="0.2">
      <c r="B128" s="16" t="str">
        <f t="shared" si="9"/>
        <v>AM</v>
      </c>
      <c r="C128" s="15" t="str">
        <f t="shared" si="11"/>
        <v>6LBASIS</v>
      </c>
      <c r="D128" s="14" t="s">
        <v>25</v>
      </c>
      <c r="E128" s="14" t="str">
        <f t="shared" si="10"/>
        <v>USD_YC6MRH_AM6LBASIS9Y</v>
      </c>
      <c r="F128" s="13">
        <f>_xll.qlRateHelperQuoteValue($E128,Trigger)</f>
        <v>2.6979198810427259E-2</v>
      </c>
      <c r="G128" s="13">
        <f>_xll.qlSwapRateHelperSpread($E128,Trigger)</f>
        <v>0</v>
      </c>
      <c r="H128" s="12" t="b">
        <v>1</v>
      </c>
      <c r="I128" s="12">
        <v>40</v>
      </c>
      <c r="J128" s="12">
        <v>1</v>
      </c>
      <c r="K128" s="11">
        <f>_xll.qlRateHelperEarliestDate($E128,Trigger)</f>
        <v>41766</v>
      </c>
      <c r="L128" s="10">
        <f>_xll.qlRateHelperLatestDate($E128,Trigger)</f>
        <v>45054</v>
      </c>
    </row>
    <row r="129" spans="2:12" x14ac:dyDescent="0.2">
      <c r="B129" s="16" t="str">
        <f t="shared" si="9"/>
        <v>AM</v>
      </c>
      <c r="C129" s="15" t="str">
        <f t="shared" si="11"/>
        <v>6LBASIS</v>
      </c>
      <c r="D129" s="14" t="s">
        <v>24</v>
      </c>
      <c r="E129" s="14" t="str">
        <f t="shared" si="10"/>
        <v>USD_YC6MRH_AM6LBASIS10Y</v>
      </c>
      <c r="F129" s="13">
        <f>_xll.qlRateHelperQuoteValue($E129,Trigger)</f>
        <v>2.8249732506665421E-2</v>
      </c>
      <c r="G129" s="13">
        <f>_xll.qlSwapRateHelperSpread($E129,Trigger)</f>
        <v>0</v>
      </c>
      <c r="H129" s="12" t="b">
        <v>1</v>
      </c>
      <c r="I129" s="12">
        <v>40</v>
      </c>
      <c r="J129" s="12">
        <v>1</v>
      </c>
      <c r="K129" s="11">
        <f>_xll.qlRateHelperEarliestDate($E129,Trigger)</f>
        <v>41766</v>
      </c>
      <c r="L129" s="10">
        <f>_xll.qlRateHelperLatestDate($E129,Trigger)</f>
        <v>45419</v>
      </c>
    </row>
    <row r="130" spans="2:12" x14ac:dyDescent="0.2">
      <c r="B130" s="16" t="str">
        <f t="shared" si="9"/>
        <v>AM</v>
      </c>
      <c r="C130" s="15" t="str">
        <f t="shared" si="11"/>
        <v>6LBASIS</v>
      </c>
      <c r="D130" s="14" t="s">
        <v>23</v>
      </c>
      <c r="E130" s="14" t="str">
        <f t="shared" si="10"/>
        <v>USD_YC6MRH_AM6LBASIS11Y</v>
      </c>
      <c r="F130" s="13">
        <f>_xll.qlRateHelperQuoteValue($E130,Trigger)</f>
        <v>2.9349134286989945E-2</v>
      </c>
      <c r="G130" s="13">
        <f>_xll.qlSwapRateHelperSpread($E130,Trigger)</f>
        <v>0</v>
      </c>
      <c r="H130" s="12" t="b">
        <v>0</v>
      </c>
      <c r="I130" s="12">
        <v>40</v>
      </c>
      <c r="J130" s="12">
        <v>1</v>
      </c>
      <c r="K130" s="11">
        <f>_xll.qlRateHelperEarliestDate($E130,Trigger)</f>
        <v>41766</v>
      </c>
      <c r="L130" s="10">
        <f>_xll.qlRateHelperLatestDate($E130,Trigger)</f>
        <v>45784</v>
      </c>
    </row>
    <row r="131" spans="2:12" x14ac:dyDescent="0.2">
      <c r="B131" s="16" t="str">
        <f t="shared" si="9"/>
        <v>AM</v>
      </c>
      <c r="C131" s="15" t="str">
        <f t="shared" si="11"/>
        <v>6LBASIS</v>
      </c>
      <c r="D131" s="14" t="s">
        <v>22</v>
      </c>
      <c r="E131" s="14" t="str">
        <f t="shared" si="10"/>
        <v>USD_YC6MRH_AM6LBASIS12Y</v>
      </c>
      <c r="F131" s="13">
        <f>_xll.qlRateHelperQuoteValue($E131,Trigger)</f>
        <v>3.0290627208507091E-2</v>
      </c>
      <c r="G131" s="13">
        <f>_xll.qlSwapRateHelperSpread($E131,Trigger)</f>
        <v>0</v>
      </c>
      <c r="H131" s="12" t="b">
        <v>1</v>
      </c>
      <c r="I131" s="12">
        <v>40</v>
      </c>
      <c r="J131" s="12">
        <v>1</v>
      </c>
      <c r="K131" s="11">
        <f>_xll.qlRateHelperEarliestDate($E131,Trigger)</f>
        <v>41766</v>
      </c>
      <c r="L131" s="10">
        <f>_xll.qlRateHelperLatestDate($E131,Trigger)</f>
        <v>46149</v>
      </c>
    </row>
    <row r="132" spans="2:12" x14ac:dyDescent="0.2">
      <c r="B132" s="16" t="str">
        <f t="shared" si="9"/>
        <v>AM</v>
      </c>
      <c r="C132" s="15" t="str">
        <f t="shared" si="11"/>
        <v>6LBASIS</v>
      </c>
      <c r="D132" s="14" t="s">
        <v>21</v>
      </c>
      <c r="E132" s="14" t="str">
        <f t="shared" si="10"/>
        <v>USD_YC6MRH_AM6LBASIS13Y</v>
      </c>
      <c r="F132" s="13">
        <f>_xll.qlRateHelperQuoteValue($E132,Trigger)</f>
        <v>3.1073365321440942E-2</v>
      </c>
      <c r="G132" s="13">
        <f>_xll.qlSwapRateHelperSpread($E132,Trigger)</f>
        <v>0</v>
      </c>
      <c r="H132" s="12" t="b">
        <v>0</v>
      </c>
      <c r="I132" s="12">
        <v>40</v>
      </c>
      <c r="J132" s="12">
        <v>1</v>
      </c>
      <c r="K132" s="11">
        <f>_xll.qlRateHelperEarliestDate($E132,Trigger)</f>
        <v>41766</v>
      </c>
      <c r="L132" s="10">
        <f>_xll.qlRateHelperLatestDate($E132,Trigger)</f>
        <v>46514</v>
      </c>
    </row>
    <row r="133" spans="2:12" x14ac:dyDescent="0.2">
      <c r="B133" s="16" t="str">
        <f t="shared" si="9"/>
        <v>AM</v>
      </c>
      <c r="C133" s="15" t="str">
        <f t="shared" si="11"/>
        <v>6LBASIS</v>
      </c>
      <c r="D133" s="14" t="s">
        <v>20</v>
      </c>
      <c r="E133" s="14" t="str">
        <f t="shared" si="10"/>
        <v>USD_YC6MRH_AM6LBASIS14Y</v>
      </c>
      <c r="F133" s="13">
        <f>_xll.qlRateHelperQuoteValue($E133,Trigger)</f>
        <v>3.1727417616574861E-2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41766</v>
      </c>
      <c r="L133" s="10">
        <f>_xll.qlRateHelperLatestDate($E133,Trigger)</f>
        <v>46881</v>
      </c>
    </row>
    <row r="134" spans="2:12" x14ac:dyDescent="0.2">
      <c r="B134" s="16" t="str">
        <f t="shared" si="9"/>
        <v>AM</v>
      </c>
      <c r="C134" s="15" t="str">
        <f t="shared" si="11"/>
        <v>6LBASIS</v>
      </c>
      <c r="D134" s="14" t="s">
        <v>19</v>
      </c>
      <c r="E134" s="14" t="str">
        <f t="shared" si="10"/>
        <v>USD_YC6MRH_AM6LBASIS15Y</v>
      </c>
      <c r="F134" s="13">
        <f>_xll.qlRateHelperQuoteValue($E134,Trigger)</f>
        <v>3.2271464080777863E-2</v>
      </c>
      <c r="G134" s="13">
        <f>_xll.qlSwapRateHelperSpread($E134,Trigger)</f>
        <v>0</v>
      </c>
      <c r="H134" s="12" t="b">
        <v>1</v>
      </c>
      <c r="I134" s="12">
        <v>40</v>
      </c>
      <c r="J134" s="12">
        <v>1</v>
      </c>
      <c r="K134" s="11">
        <f>_xll.qlRateHelperEarliestDate($E134,Trigger)</f>
        <v>41766</v>
      </c>
      <c r="L134" s="10">
        <f>_xll.qlRateHelperLatestDate($E134,Trigger)</f>
        <v>47246</v>
      </c>
    </row>
    <row r="135" spans="2:12" x14ac:dyDescent="0.2">
      <c r="B135" s="16" t="str">
        <f t="shared" si="9"/>
        <v>AM</v>
      </c>
      <c r="C135" s="15" t="str">
        <f t="shared" si="11"/>
        <v>6LBASIS</v>
      </c>
      <c r="D135" s="14" t="s">
        <v>18</v>
      </c>
      <c r="E135" s="14" t="str">
        <f t="shared" si="10"/>
        <v>USD_YC6MRH_AM6LBASIS16Y</v>
      </c>
      <c r="F135" s="13">
        <f>_xll.qlRateHelperQuoteValue($E135,Trigger)</f>
        <v>3.2728774275314128E-2</v>
      </c>
      <c r="G135" s="13">
        <f>_xll.qlSwapRateHelperSpread($E135,Trigger)</f>
        <v>0</v>
      </c>
      <c r="H135" s="12" t="b">
        <v>0</v>
      </c>
      <c r="I135" s="12">
        <v>40</v>
      </c>
      <c r="J135" s="12">
        <v>1</v>
      </c>
      <c r="K135" s="11">
        <f>_xll.qlRateHelperEarliestDate($E135,Trigger)</f>
        <v>41766</v>
      </c>
      <c r="L135" s="10">
        <f>_xll.qlRateHelperLatestDate($E135,Trigger)</f>
        <v>47610</v>
      </c>
    </row>
    <row r="136" spans="2:12" x14ac:dyDescent="0.2">
      <c r="B136" s="16" t="str">
        <f t="shared" si="9"/>
        <v>AM</v>
      </c>
      <c r="C136" s="15" t="str">
        <f t="shared" si="11"/>
        <v>6LBASIS</v>
      </c>
      <c r="D136" s="14" t="s">
        <v>17</v>
      </c>
      <c r="E136" s="14" t="str">
        <f t="shared" si="10"/>
        <v>USD_YC6MRH_AM6LBASIS17Y</v>
      </c>
      <c r="F136" s="13">
        <f>_xll.qlRateHelperQuoteValue($E136,Trigger)</f>
        <v>3.3117733680418024E-2</v>
      </c>
      <c r="G136" s="13">
        <f>_xll.qlSwapRateHelperSpread($E136,Trigger)</f>
        <v>0</v>
      </c>
      <c r="H136" s="12" t="b">
        <v>0</v>
      </c>
      <c r="I136" s="12">
        <v>40</v>
      </c>
      <c r="J136" s="12">
        <v>1</v>
      </c>
      <c r="K136" s="11">
        <f>_xll.qlRateHelperEarliestDate($E136,Trigger)</f>
        <v>41766</v>
      </c>
      <c r="L136" s="10">
        <f>_xll.qlRateHelperLatestDate($E136,Trigger)</f>
        <v>47975</v>
      </c>
    </row>
    <row r="137" spans="2:12" x14ac:dyDescent="0.2">
      <c r="B137" s="16" t="str">
        <f t="shared" si="9"/>
        <v>AM</v>
      </c>
      <c r="C137" s="15" t="str">
        <f t="shared" si="11"/>
        <v>6LBASIS</v>
      </c>
      <c r="D137" s="14" t="s">
        <v>16</v>
      </c>
      <c r="E137" s="14" t="str">
        <f t="shared" si="10"/>
        <v>USD_YC6MRH_AM6LBASIS18Y</v>
      </c>
      <c r="F137" s="13">
        <f>_xll.qlRateHelperQuoteValue($E137,Trigger)</f>
        <v>3.3449482659635862E-2</v>
      </c>
      <c r="G137" s="13">
        <f>_xll.qlSwapRateHelperSpread($E137,Trigger)</f>
        <v>0</v>
      </c>
      <c r="H137" s="12" t="b">
        <v>0</v>
      </c>
      <c r="I137" s="12">
        <v>40</v>
      </c>
      <c r="J137" s="12">
        <v>1</v>
      </c>
      <c r="K137" s="11">
        <f>_xll.qlRateHelperEarliestDate($E137,Trigger)</f>
        <v>41766</v>
      </c>
      <c r="L137" s="10">
        <f>_xll.qlRateHelperLatestDate($E137,Trigger)</f>
        <v>48341</v>
      </c>
    </row>
    <row r="138" spans="2:12" x14ac:dyDescent="0.2">
      <c r="B138" s="16" t="str">
        <f t="shared" si="9"/>
        <v>AM</v>
      </c>
      <c r="C138" s="15" t="str">
        <f t="shared" si="11"/>
        <v>6LBASIS</v>
      </c>
      <c r="D138" s="14" t="s">
        <v>15</v>
      </c>
      <c r="E138" s="14" t="str">
        <f t="shared" si="10"/>
        <v>USD_YC6MRH_AM6LBASIS19Y</v>
      </c>
      <c r="F138" s="13">
        <f>_xll.qlRateHelperQuoteValue($E138,Trigger)</f>
        <v>3.3732807138619661E-2</v>
      </c>
      <c r="G138" s="13">
        <f>_xll.qlSwapRateHelperSpread($E138,Trigger)</f>
        <v>0</v>
      </c>
      <c r="H138" s="12" t="b">
        <v>0</v>
      </c>
      <c r="I138" s="12">
        <v>40</v>
      </c>
      <c r="J138" s="12">
        <v>1</v>
      </c>
      <c r="K138" s="11">
        <f>_xll.qlRateHelperEarliestDate($E138,Trigger)</f>
        <v>41766</v>
      </c>
      <c r="L138" s="10">
        <f>_xll.qlRateHelperLatestDate($E138,Trigger)</f>
        <v>48708</v>
      </c>
    </row>
    <row r="139" spans="2:12" x14ac:dyDescent="0.2">
      <c r="B139" s="16" t="str">
        <f t="shared" si="9"/>
        <v>AM</v>
      </c>
      <c r="C139" s="15" t="str">
        <f t="shared" si="11"/>
        <v>6LBASIS</v>
      </c>
      <c r="D139" s="14" t="s">
        <v>14</v>
      </c>
      <c r="E139" s="14" t="str">
        <f t="shared" si="10"/>
        <v>USD_YC6MRH_AM6LBASIS20Y</v>
      </c>
      <c r="F139" s="13">
        <f>_xll.qlRateHelperQuoteValue($E139,Trigger)</f>
        <v>3.3972069216463611E-2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41766</v>
      </c>
      <c r="L139" s="10">
        <f>_xll.qlRateHelperLatestDate($E139,Trigger)</f>
        <v>49072</v>
      </c>
    </row>
    <row r="140" spans="2:12" x14ac:dyDescent="0.2">
      <c r="B140" s="16" t="str">
        <f t="shared" si="9"/>
        <v>AM</v>
      </c>
      <c r="C140" s="15" t="str">
        <f t="shared" si="11"/>
        <v>6LBASIS</v>
      </c>
      <c r="D140" s="14" t="s">
        <v>13</v>
      </c>
      <c r="E140" s="14" t="str">
        <f t="shared" si="10"/>
        <v>USD_YC6MRH_AM6LBASIS21Y</v>
      </c>
      <c r="F140" s="13">
        <f>_xll.qlRateHelperQuoteValue($E140,Trigger)</f>
        <v>3.4176478697520732E-2</v>
      </c>
      <c r="G140" s="13">
        <f>_xll.qlSwapRateHelperSpread($E140,Trigger)</f>
        <v>0</v>
      </c>
      <c r="H140" s="12" t="b">
        <v>0</v>
      </c>
      <c r="I140" s="12">
        <v>40</v>
      </c>
      <c r="J140" s="12">
        <v>1</v>
      </c>
      <c r="K140" s="11">
        <f>_xll.qlRateHelperEarliestDate($E140,Trigger)</f>
        <v>41766</v>
      </c>
      <c r="L140" s="10">
        <f>_xll.qlRateHelperLatestDate($E140,Trigger)</f>
        <v>49437</v>
      </c>
    </row>
    <row r="141" spans="2:12" x14ac:dyDescent="0.2">
      <c r="B141" s="16" t="str">
        <f t="shared" si="9"/>
        <v>AM</v>
      </c>
      <c r="C141" s="15" t="str">
        <f t="shared" si="11"/>
        <v>6LBASIS</v>
      </c>
      <c r="D141" s="14" t="s">
        <v>12</v>
      </c>
      <c r="E141" s="14" t="str">
        <f t="shared" si="10"/>
        <v>USD_YC6MRH_AM6LBASIS22Y</v>
      </c>
      <c r="F141" s="13">
        <f>_xll.qlRateHelperQuoteValue($E141,Trigger)</f>
        <v>3.4350554196420059E-2</v>
      </c>
      <c r="G141" s="13">
        <f>_xll.qlSwapRateHelperSpread($E141,Trigger)</f>
        <v>0</v>
      </c>
      <c r="H141" s="12" t="b">
        <v>0</v>
      </c>
      <c r="I141" s="12">
        <v>40</v>
      </c>
      <c r="J141" s="12">
        <v>1</v>
      </c>
      <c r="K141" s="11">
        <f>_xll.qlRateHelperEarliestDate($E141,Trigger)</f>
        <v>41766</v>
      </c>
      <c r="L141" s="10">
        <f>_xll.qlRateHelperLatestDate($E141,Trigger)</f>
        <v>49802</v>
      </c>
    </row>
    <row r="142" spans="2:12" x14ac:dyDescent="0.2">
      <c r="B142" s="16" t="str">
        <f t="shared" si="9"/>
        <v>AM</v>
      </c>
      <c r="C142" s="15" t="str">
        <f t="shared" si="11"/>
        <v>6LBASIS</v>
      </c>
      <c r="D142" s="14" t="s">
        <v>11</v>
      </c>
      <c r="E142" s="14" t="str">
        <f t="shared" si="10"/>
        <v>USD_YC6MRH_AM6LBASIS23Y</v>
      </c>
      <c r="F142" s="13">
        <f>_xll.qlRateHelperQuoteValue($E142,Trigger)</f>
        <v>3.449875452708618E-2</v>
      </c>
      <c r="G142" s="13">
        <f>_xll.qlSwapRateHelperSpread($E142,Trigger)</f>
        <v>0</v>
      </c>
      <c r="H142" s="12" t="b">
        <v>0</v>
      </c>
      <c r="I142" s="12">
        <v>40</v>
      </c>
      <c r="J142" s="12">
        <v>1</v>
      </c>
      <c r="K142" s="11">
        <f>_xll.qlRateHelperEarliestDate($E142,Trigger)</f>
        <v>41766</v>
      </c>
      <c r="L142" s="10">
        <f>_xll.qlRateHelperLatestDate($E142,Trigger)</f>
        <v>50167</v>
      </c>
    </row>
    <row r="143" spans="2:12" x14ac:dyDescent="0.2">
      <c r="B143" s="16" t="str">
        <f t="shared" si="9"/>
        <v>AM</v>
      </c>
      <c r="C143" s="15" t="str">
        <f t="shared" si="11"/>
        <v>6LBASIS</v>
      </c>
      <c r="D143" s="14" t="s">
        <v>10</v>
      </c>
      <c r="E143" s="14" t="str">
        <f t="shared" si="10"/>
        <v>USD_YC6MRH_AM6LBASIS24Y</v>
      </c>
      <c r="F143" s="13">
        <f>_xll.qlRateHelperQuoteValue($E143,Trigger)</f>
        <v>3.4624778498375502E-2</v>
      </c>
      <c r="G143" s="13">
        <f>_xll.qlSwapRateHelperSpread($E143,Trigger)</f>
        <v>0</v>
      </c>
      <c r="H143" s="12" t="b">
        <v>0</v>
      </c>
      <c r="I143" s="12">
        <v>40</v>
      </c>
      <c r="J143" s="12">
        <v>1</v>
      </c>
      <c r="K143" s="11">
        <f>_xll.qlRateHelperEarliestDate($E143,Trigger)</f>
        <v>41766</v>
      </c>
      <c r="L143" s="10">
        <f>_xll.qlRateHelperLatestDate($E143,Trigger)</f>
        <v>50532</v>
      </c>
    </row>
    <row r="144" spans="2:12" x14ac:dyDescent="0.2">
      <c r="B144" s="16" t="str">
        <f t="shared" ref="B144:B153" si="12">SwapFixedFreq</f>
        <v>AM</v>
      </c>
      <c r="C144" s="15" t="str">
        <f t="shared" si="11"/>
        <v>6LBASIS</v>
      </c>
      <c r="D144" s="14" t="s">
        <v>9</v>
      </c>
      <c r="E144" s="14" t="str">
        <f t="shared" si="10"/>
        <v>USD_YC6MRH_AM6LBASIS25Y</v>
      </c>
      <c r="F144" s="13">
        <f>_xll.qlRateHelperQuoteValue($E144,Trigger)</f>
        <v>3.4732339873564673E-2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41766</v>
      </c>
      <c r="L144" s="10">
        <f>_xll.qlRateHelperLatestDate($E144,Trigger)</f>
        <v>50899</v>
      </c>
    </row>
    <row r="145" spans="2:12" x14ac:dyDescent="0.2">
      <c r="B145" s="16" t="str">
        <f t="shared" si="12"/>
        <v>AM</v>
      </c>
      <c r="C145" s="15" t="str">
        <f t="shared" si="11"/>
        <v>6LBASIS</v>
      </c>
      <c r="D145" s="14" t="s">
        <v>8</v>
      </c>
      <c r="E145" s="14" t="str">
        <f t="shared" si="10"/>
        <v>USD_YC6MRH_AM6LBASIS26Y</v>
      </c>
      <c r="F145" s="13">
        <f>_xll.qlRateHelperQuoteValue($E145,Trigger)</f>
        <v>3.4822199027607532E-2</v>
      </c>
      <c r="G145" s="13">
        <f>_xll.qlSwapRateHelperSpread($E145,Trigger)</f>
        <v>0</v>
      </c>
      <c r="H145" s="12" t="b">
        <v>0</v>
      </c>
      <c r="I145" s="12">
        <v>40</v>
      </c>
      <c r="J145" s="12">
        <v>1</v>
      </c>
      <c r="K145" s="11">
        <f>_xll.qlRateHelperEarliestDate($E145,Trigger)</f>
        <v>41766</v>
      </c>
      <c r="L145" s="10">
        <f>_xll.qlRateHelperLatestDate($E145,Trigger)</f>
        <v>51264</v>
      </c>
    </row>
    <row r="146" spans="2:12" x14ac:dyDescent="0.2">
      <c r="B146" s="16" t="str">
        <f t="shared" si="12"/>
        <v>AM</v>
      </c>
      <c r="C146" s="15" t="str">
        <f t="shared" si="11"/>
        <v>6LBASIS</v>
      </c>
      <c r="D146" s="14" t="s">
        <v>7</v>
      </c>
      <c r="E146" s="14" t="str">
        <f t="shared" ref="E146:E153" si="13">RateHelperPrefix&amp;"_"&amp;$B146&amp;$C146&amp;$D146</f>
        <v>USD_YC6MRH_AM6LBASIS27Y</v>
      </c>
      <c r="F146" s="13">
        <f>_xll.qlRateHelperQuoteValue($E146,Trigger)</f>
        <v>3.4897234820014535E-2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41766</v>
      </c>
      <c r="L146" s="10">
        <f>_xll.qlRateHelperLatestDate($E146,Trigger)</f>
        <v>51628</v>
      </c>
    </row>
    <row r="147" spans="2:12" x14ac:dyDescent="0.2">
      <c r="B147" s="16" t="str">
        <f t="shared" si="12"/>
        <v>AM</v>
      </c>
      <c r="C147" s="15" t="str">
        <f t="shared" si="11"/>
        <v>6LBASIS</v>
      </c>
      <c r="D147" s="14" t="s">
        <v>6</v>
      </c>
      <c r="E147" s="14" t="str">
        <f t="shared" si="13"/>
        <v>USD_YC6MRH_AM6LBASIS28Y</v>
      </c>
      <c r="F147" s="13">
        <f>_xll.qlRateHelperQuoteValue($E147,Trigger)</f>
        <v>3.4960751536675987E-2</v>
      </c>
      <c r="G147" s="13">
        <f>_xll.qlSwapRateHelperSpread($E147,Trigger)</f>
        <v>0</v>
      </c>
      <c r="H147" s="12" t="b">
        <v>0</v>
      </c>
      <c r="I147" s="12">
        <v>40</v>
      </c>
      <c r="J147" s="12">
        <v>1</v>
      </c>
      <c r="K147" s="11">
        <f>_xll.qlRateHelperEarliestDate($E147,Trigger)</f>
        <v>41766</v>
      </c>
      <c r="L147" s="10">
        <f>_xll.qlRateHelperLatestDate($E147,Trigger)</f>
        <v>51993</v>
      </c>
    </row>
    <row r="148" spans="2:12" x14ac:dyDescent="0.2">
      <c r="B148" s="16" t="str">
        <f t="shared" si="12"/>
        <v>AM</v>
      </c>
      <c r="C148" s="15" t="str">
        <f t="shared" si="11"/>
        <v>6LBASIS</v>
      </c>
      <c r="D148" s="14" t="s">
        <v>5</v>
      </c>
      <c r="E148" s="14" t="str">
        <f t="shared" si="13"/>
        <v>USD_YC6MRH_AM6LBASIS29Y</v>
      </c>
      <c r="F148" s="13">
        <f>_xll.qlRateHelperQuoteValue($E148,Trigger)</f>
        <v>3.5014913866305321E-2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41766</v>
      </c>
      <c r="L148" s="10">
        <f>_xll.qlRateHelperLatestDate($E148,Trigger)</f>
        <v>52358</v>
      </c>
    </row>
    <row r="149" spans="2:12" x14ac:dyDescent="0.2">
      <c r="B149" s="16" t="str">
        <f t="shared" si="12"/>
        <v>AM</v>
      </c>
      <c r="C149" s="15" t="str">
        <f t="shared" si="11"/>
        <v>6LBASIS</v>
      </c>
      <c r="D149" s="14" t="s">
        <v>4</v>
      </c>
      <c r="E149" s="14" t="str">
        <f t="shared" si="13"/>
        <v>USD_YC6MRH_AM6LBASIS30Y</v>
      </c>
      <c r="F149" s="13">
        <f>_xll.qlRateHelperQuoteValue($E149,Trigger)</f>
        <v>3.5062310789737594E-2</v>
      </c>
      <c r="G149" s="13">
        <f>_xll.qlSwapRateHelperSpread($E149,Trigger)</f>
        <v>0</v>
      </c>
      <c r="H149" s="12" t="b">
        <v>1</v>
      </c>
      <c r="I149" s="12">
        <v>40</v>
      </c>
      <c r="J149" s="12">
        <v>1</v>
      </c>
      <c r="K149" s="11">
        <f>_xll.qlRateHelperEarliestDate($E149,Trigger)</f>
        <v>41766</v>
      </c>
      <c r="L149" s="10">
        <f>_xll.qlRateHelperLatestDate($E149,Trigger)</f>
        <v>52726</v>
      </c>
    </row>
    <row r="150" spans="2:12" x14ac:dyDescent="0.2">
      <c r="B150" s="16" t="str">
        <f t="shared" si="12"/>
        <v>AM</v>
      </c>
      <c r="C150" s="15" t="str">
        <f t="shared" si="11"/>
        <v>6LBASIS</v>
      </c>
      <c r="D150" s="14" t="s">
        <v>3</v>
      </c>
      <c r="E150" s="14" t="str">
        <f t="shared" si="13"/>
        <v>USD_YC6MRH_AM6LBASIS35Y</v>
      </c>
      <c r="F150" s="13">
        <f>_xll.qlRateHelperQuoteValue($E150,Trigger)</f>
        <v>3.5224373942773161E-2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41766</v>
      </c>
      <c r="L150" s="10">
        <f>_xll.qlRateHelperLatestDate($E150,Trigger)</f>
        <v>54550</v>
      </c>
    </row>
    <row r="151" spans="2:12" x14ac:dyDescent="0.2">
      <c r="B151" s="16" t="str">
        <f t="shared" si="12"/>
        <v>AM</v>
      </c>
      <c r="C151" s="15" t="str">
        <f t="shared" si="11"/>
        <v>6LBASIS</v>
      </c>
      <c r="D151" s="14" t="s">
        <v>2</v>
      </c>
      <c r="E151" s="14" t="str">
        <f t="shared" si="13"/>
        <v>USD_YC6MRH_AM6LBASIS40Y</v>
      </c>
      <c r="F151" s="13">
        <f>_xll.qlRateHelperQuoteValue($E151,Trigger)</f>
        <v>3.5252338428872362E-2</v>
      </c>
      <c r="G151" s="13">
        <f>_xll.qlSwapRateHelperSpread($E151,Trigger)</f>
        <v>0</v>
      </c>
      <c r="H151" s="12" t="b">
        <v>1</v>
      </c>
      <c r="I151" s="12">
        <v>40</v>
      </c>
      <c r="J151" s="12">
        <v>1</v>
      </c>
      <c r="K151" s="11">
        <f>_xll.qlRateHelperEarliestDate($E151,Trigger)</f>
        <v>41766</v>
      </c>
      <c r="L151" s="10">
        <f>_xll.qlRateHelperLatestDate($E151,Trigger)</f>
        <v>56376</v>
      </c>
    </row>
    <row r="152" spans="2:12" x14ac:dyDescent="0.2">
      <c r="B152" s="16" t="str">
        <f t="shared" si="12"/>
        <v>AM</v>
      </c>
      <c r="C152" s="15" t="str">
        <f t="shared" si="11"/>
        <v>6LBASIS</v>
      </c>
      <c r="D152" s="14" t="s">
        <v>1</v>
      </c>
      <c r="E152" s="14" t="str">
        <f t="shared" si="13"/>
        <v>USD_YC6MRH_AM6LBASIS50Y</v>
      </c>
      <c r="F152" s="13">
        <f>_xll.qlRateHelperQuoteValue($E152,Trigger)</f>
        <v>3.5062254589268552E-2</v>
      </c>
      <c r="G152" s="13">
        <f>_xll.qlSwapRateHelperSpread($E152,Trigger)</f>
        <v>0</v>
      </c>
      <c r="H152" s="12" t="b">
        <v>1</v>
      </c>
      <c r="I152" s="12">
        <v>40</v>
      </c>
      <c r="J152" s="12">
        <v>1</v>
      </c>
      <c r="K152" s="11">
        <f>_xll.qlRateHelperEarliestDate($E152,Trigger)</f>
        <v>41766</v>
      </c>
      <c r="L152" s="10">
        <f>_xll.qlRateHelperLatestDate($E152,Trigger)</f>
        <v>60029</v>
      </c>
    </row>
    <row r="153" spans="2:12" x14ac:dyDescent="0.2">
      <c r="B153" s="9" t="str">
        <f t="shared" si="12"/>
        <v>AM</v>
      </c>
      <c r="C153" s="8" t="str">
        <f t="shared" si="11"/>
        <v>6LBASIS</v>
      </c>
      <c r="D153" s="7" t="s">
        <v>0</v>
      </c>
      <c r="E153" s="7" t="str">
        <f t="shared" si="13"/>
        <v>USD_YC6MRH_AM6LBASIS60Y</v>
      </c>
      <c r="F153" s="6" t="e">
        <f>_xll.qlRateHelperQuoteValue($E153,Trigger)</f>
        <v>#NUM!</v>
      </c>
      <c r="G153" s="6">
        <f>_xll.qlSwapRateHelperSpread($E153,Trigger)</f>
        <v>0</v>
      </c>
      <c r="H153" s="5" t="b">
        <v>0</v>
      </c>
      <c r="I153" s="5">
        <v>40</v>
      </c>
      <c r="J153" s="5">
        <v>1</v>
      </c>
      <c r="K153" s="4">
        <f>_xll.qlRateHelperEarliestDate($E153,Trigger)</f>
        <v>41766</v>
      </c>
      <c r="L153" s="3">
        <f>_xll.qlRateHelperLatestDate($E153,Trigger)</f>
        <v>63682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69" bestFit="1" customWidth="1"/>
    <col min="2" max="2" width="9" style="169" bestFit="1" customWidth="1"/>
    <col min="3" max="3" width="5.28515625" style="169" customWidth="1"/>
    <col min="4" max="4" width="24.42578125" style="186" bestFit="1" customWidth="1"/>
    <col min="5" max="5" width="8" style="186" customWidth="1"/>
    <col min="6" max="6" width="8" style="186" bestFit="1" customWidth="1"/>
    <col min="7" max="8" width="17.28515625" style="186" bestFit="1" customWidth="1"/>
    <col min="9" max="9" width="12" style="169" bestFit="1" customWidth="1"/>
    <col min="10" max="10" width="9.140625" style="169"/>
    <col min="11" max="11" width="12" style="169" bestFit="1" customWidth="1"/>
    <col min="12" max="16384" width="9.140625" style="169"/>
  </cols>
  <sheetData>
    <row r="1" spans="1:9" ht="23.25" customHeight="1" thickBot="1" x14ac:dyDescent="0.25">
      <c r="A1" s="199" t="s">
        <v>75</v>
      </c>
      <c r="B1" s="200"/>
      <c r="D1" s="170" t="s">
        <v>74</v>
      </c>
      <c r="E1" s="171" t="s">
        <v>73</v>
      </c>
      <c r="F1" s="171"/>
      <c r="G1" s="171" t="s">
        <v>59</v>
      </c>
      <c r="H1" s="172" t="s">
        <v>58</v>
      </c>
      <c r="I1" s="173">
        <f t="array" ref="I1:I126">_xll.qlPiecewiseYieldCurveData(YieldCurve)</f>
        <v>1</v>
      </c>
    </row>
    <row r="2" spans="1:9" x14ac:dyDescent="0.2">
      <c r="A2" s="174" t="s">
        <v>72</v>
      </c>
      <c r="B2" s="175">
        <v>8</v>
      </c>
      <c r="D2" s="17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USD_YC6MRH_SWD</v>
      </c>
      <c r="E2" s="177">
        <f>_xll.qlRateHelperRate($D2)</f>
        <v>3.3960000000000001E-3</v>
      </c>
      <c r="F2" s="177" t="str">
        <f>IF(ISERROR(_xll.qlSwapRateHelperSpread($D2)),IF(ISERROR(_xll.qlFuturesRateHelperConvexityAdjustment($D2)),"--",_xll.qlFuturesRateHelperConvexityAdjustment($D2)),_xll.qlSwapRateHelperSpread($D2))</f>
        <v>--</v>
      </c>
      <c r="G2" s="187">
        <f>_xll.qlRateHelperEarliestDate($D2)</f>
        <v>41766</v>
      </c>
      <c r="H2" s="188">
        <f>_xll.qlRateHelperLatestDate($D2)</f>
        <v>41773</v>
      </c>
      <c r="I2" s="173">
        <v>0.99993397102677961</v>
      </c>
    </row>
    <row r="3" spans="1:9" x14ac:dyDescent="0.2">
      <c r="A3" s="178" t="s">
        <v>71</v>
      </c>
      <c r="B3" s="179">
        <v>0</v>
      </c>
      <c r="D3" s="176" t="str">
        <v>USD_YC6MRH_1MD</v>
      </c>
      <c r="E3" s="177">
        <f>_xll.qlRateHelperRate($D3)</f>
        <v>3.3310000000000002E-3</v>
      </c>
      <c r="F3" s="177" t="str">
        <f>IF(ISERROR(_xll.qlSwapRateHelperSpread($D3)),IF(ISERROR(_xll.qlFuturesRateHelperConvexityAdjustment($D3)),"--",_xll.qlFuturesRateHelperConvexityAdjustment($D3)),_xll.qlSwapRateHelperSpread($D3))</f>
        <v>--</v>
      </c>
      <c r="G3" s="187">
        <f>_xll.qlRateHelperEarliestDate($D3)</f>
        <v>41766</v>
      </c>
      <c r="H3" s="188">
        <f>_xll.qlRateHelperLatestDate($D3)</f>
        <v>41799</v>
      </c>
      <c r="I3" s="173">
        <v>0.99969475153840737</v>
      </c>
    </row>
    <row r="4" spans="1:9" x14ac:dyDescent="0.2">
      <c r="A4" s="178" t="s">
        <v>70</v>
      </c>
      <c r="B4" s="179">
        <v>1</v>
      </c>
      <c r="D4" s="176" t="str">
        <v>USD_YC6MRH_2MD</v>
      </c>
      <c r="E4" s="177">
        <f>_xll.qlRateHelperRate($D4)</f>
        <v>3.29E-3</v>
      </c>
      <c r="F4" s="177" t="str">
        <f>IF(ISERROR(_xll.qlSwapRateHelperSpread($D4)),IF(ISERROR(_xll.qlFuturesRateHelperConvexityAdjustment($D4)),"--",_xll.qlFuturesRateHelperConvexityAdjustment($D4)),_xll.qlSwapRateHelperSpread($D4))</f>
        <v>--</v>
      </c>
      <c r="G4" s="187">
        <f>_xll.qlRateHelperEarliestDate($D4)</f>
        <v>41766</v>
      </c>
      <c r="H4" s="188">
        <f>_xll.qlRateHelperLatestDate($D4)</f>
        <v>41827</v>
      </c>
      <c r="I4" s="173">
        <v>0.99944283837990422</v>
      </c>
    </row>
    <row r="5" spans="1:9" x14ac:dyDescent="0.2">
      <c r="A5" s="178" t="s">
        <v>69</v>
      </c>
      <c r="B5" s="180" t="s">
        <v>68</v>
      </c>
      <c r="D5" s="176" t="str">
        <v>USD_YC6MRH_3MD</v>
      </c>
      <c r="E5" s="177">
        <f>_xll.qlRateHelperRate($D5)</f>
        <v>3.2439999999999999E-3</v>
      </c>
      <c r="F5" s="177" t="str">
        <f>IF(ISERROR(_xll.qlSwapRateHelperSpread($D5)),IF(ISERROR(_xll.qlFuturesRateHelperConvexityAdjustment($D5)),"--",_xll.qlFuturesRateHelperConvexityAdjustment($D5)),_xll.qlSwapRateHelperSpread($D5))</f>
        <v>--</v>
      </c>
      <c r="G5" s="187">
        <f>_xll.qlRateHelperEarliestDate($D5)</f>
        <v>41766</v>
      </c>
      <c r="H5" s="188">
        <f>_xll.qlRateHelperLatestDate($D5)</f>
        <v>41858</v>
      </c>
      <c r="I5" s="173">
        <v>0.99917166448632611</v>
      </c>
    </row>
    <row r="6" spans="1:9" x14ac:dyDescent="0.2">
      <c r="A6" s="178" t="s">
        <v>67</v>
      </c>
      <c r="B6" s="181" t="str">
        <f>_xll.ohRangeRetrieveError(Selected!D2)</f>
        <v/>
      </c>
      <c r="D6" s="176" t="str">
        <v>USD_YC6MRH_6MD</v>
      </c>
      <c r="E6" s="177">
        <f>_xll.qlRateHelperRate($D6)</f>
        <v>3.2160000000000001E-3</v>
      </c>
      <c r="F6" s="177" t="str">
        <f>IF(ISERROR(_xll.qlSwapRateHelperSpread($D6)),IF(ISERROR(_xll.qlFuturesRateHelperConvexityAdjustment($D6)),"--",_xll.qlFuturesRateHelperConvexityAdjustment($D6)),_xll.qlSwapRateHelperSpread($D6))</f>
        <v>--</v>
      </c>
      <c r="G6" s="187">
        <f>_xll.qlRateHelperEarliestDate($D6)</f>
        <v>41766</v>
      </c>
      <c r="H6" s="188">
        <f>_xll.qlRateHelperLatestDate($D6)</f>
        <v>41950</v>
      </c>
      <c r="I6" s="173">
        <v>0.9983589640920898</v>
      </c>
    </row>
    <row r="7" spans="1:9" ht="12" thickBot="1" x14ac:dyDescent="0.25">
      <c r="A7" s="182" t="str">
        <f>_xll.ohGroup(RateHelperPrefix&amp;"_RateHelpersSelected",_xll.ohPack(Selected!D2:D126),TRUE,,ObjectOverwrite)</f>
        <v>USD_YC6MRH_RateHelpersSelected#0001</v>
      </c>
      <c r="B7" s="183" t="str">
        <f>_xll.ohRangeRetrieveError(RateHelpersSelected)</f>
        <v/>
      </c>
      <c r="D7" s="176" t="str">
        <v>USD_YC6MRH_1x7F</v>
      </c>
      <c r="E7" s="177">
        <f>_xll.qlRateHelperRate($D7)</f>
        <v>3.2199999999999993E-3</v>
      </c>
      <c r="F7" s="177" t="str">
        <f>IF(ISERROR(_xll.qlSwapRateHelperSpread($D7)),IF(ISERROR(_xll.qlFuturesRateHelperConvexityAdjustment($D7)),"--",_xll.qlFuturesRateHelperConvexityAdjustment($D7)),_xll.qlSwapRateHelperSpread($D7))</f>
        <v>--</v>
      </c>
      <c r="G7" s="187">
        <f>_xll.qlRateHelperEarliestDate($D7)</f>
        <v>41799</v>
      </c>
      <c r="H7" s="188">
        <f>_xll.qlRateHelperLatestDate($D7)</f>
        <v>41982</v>
      </c>
      <c r="I7" s="173">
        <v>0.99806109187452419</v>
      </c>
    </row>
    <row r="8" spans="1:9" x14ac:dyDescent="0.2">
      <c r="D8" s="176" t="str">
        <v>USD_YC6MRH_2x8F</v>
      </c>
      <c r="E8" s="177">
        <f>_xll.qlRateHelperRate($D8)</f>
        <v>3.2599999999999994E-3</v>
      </c>
      <c r="F8" s="177" t="str">
        <f>IF(ISERROR(_xll.qlSwapRateHelperSpread($D8)),IF(ISERROR(_xll.qlFuturesRateHelperConvexityAdjustment($D8)),"--",_xll.qlFuturesRateHelperConvexityAdjustment($D8)),_xll.qlSwapRateHelperSpread($D8))</f>
        <v>--</v>
      </c>
      <c r="G8" s="187">
        <f>_xll.qlRateHelperEarliestDate($D8)</f>
        <v>41827</v>
      </c>
      <c r="H8" s="188">
        <f>_xll.qlRateHelperLatestDate($D8)</f>
        <v>42011</v>
      </c>
      <c r="I8" s="173">
        <v>0.99778031464674399</v>
      </c>
    </row>
    <row r="9" spans="1:9" x14ac:dyDescent="0.2">
      <c r="D9" s="176" t="str">
        <v>USD_YC6MRH_3x9F</v>
      </c>
      <c r="E9" s="177">
        <f>_xll.qlRateHelperRate($D9)</f>
        <v>3.3199999999999996E-3</v>
      </c>
      <c r="F9" s="177" t="str">
        <f>IF(ISERROR(_xll.qlSwapRateHelperSpread($D9)),IF(ISERROR(_xll.qlFuturesRateHelperConvexityAdjustment($D9)),"--",_xll.qlFuturesRateHelperConvexityAdjustment($D9)),_xll.qlSwapRateHelperSpread($D9))</f>
        <v>--</v>
      </c>
      <c r="G9" s="187">
        <f>_xll.qlRateHelperEarliestDate($D9)</f>
        <v>41858</v>
      </c>
      <c r="H9" s="188">
        <f>_xll.qlRateHelperLatestDate($D9)</f>
        <v>42044</v>
      </c>
      <c r="I9" s="173">
        <v>0.99746068692136036</v>
      </c>
    </row>
    <row r="10" spans="1:9" x14ac:dyDescent="0.2">
      <c r="D10" s="176" t="str">
        <v>USD_YC6MRH_6x12F</v>
      </c>
      <c r="E10" s="177">
        <f>_xll.qlRateHelperRate($D10)</f>
        <v>3.7799999999999999E-3</v>
      </c>
      <c r="F10" s="177" t="str">
        <f>IF(ISERROR(_xll.qlSwapRateHelperSpread($D10)),IF(ISERROR(_xll.qlFuturesRateHelperConvexityAdjustment($D10)),"--",_xll.qlFuturesRateHelperConvexityAdjustment($D10)),_xll.qlSwapRateHelperSpread($D10))</f>
        <v>--</v>
      </c>
      <c r="G10" s="187">
        <f>_xll.qlRateHelperEarliestDate($D10)</f>
        <v>41950</v>
      </c>
      <c r="H10" s="188">
        <f>_xll.qlRateHelperLatestDate($D10)</f>
        <v>42131</v>
      </c>
      <c r="I10" s="173">
        <v>0.99646518201375134</v>
      </c>
    </row>
    <row r="11" spans="1:9" x14ac:dyDescent="0.2">
      <c r="D11" s="176" t="str">
        <v>USD_YC6MRH_AM6LBASIS2Y</v>
      </c>
      <c r="E11" s="177">
        <f>_xll.qlRateHelperRate($D11)</f>
        <v>6.2747361800808438E-3</v>
      </c>
      <c r="F11" s="177">
        <f>IF(ISERROR(_xll.qlSwapRateHelperSpread($D11)),IF(ISERROR(_xll.qlFuturesRateHelperConvexityAdjustment($D11)),"--",_xll.qlFuturesRateHelperConvexityAdjustment($D11)),_xll.qlSwapRateHelperSpread($D11))</f>
        <v>0</v>
      </c>
      <c r="G11" s="187">
        <f>_xll.qlRateHelperEarliestDate($D11)</f>
        <v>41766</v>
      </c>
      <c r="H11" s="188">
        <f>_xll.qlRateHelperLatestDate($D11)</f>
        <v>42499</v>
      </c>
      <c r="I11" s="173">
        <v>0.98732887452401463</v>
      </c>
    </row>
    <row r="12" spans="1:9" x14ac:dyDescent="0.2">
      <c r="D12" s="176" t="str">
        <v>USD_YC6MRH_AM6LBASIS3Y</v>
      </c>
      <c r="E12" s="177">
        <f>_xll.qlRateHelperRate($D12)</f>
        <v>1.0613243752659226E-2</v>
      </c>
      <c r="F12" s="177">
        <f>IF(ISERROR(_xll.qlSwapRateHelperSpread($D12)),IF(ISERROR(_xll.qlFuturesRateHelperConvexityAdjustment($D12)),"--",_xll.qlFuturesRateHelperConvexityAdjustment($D12)),_xll.qlSwapRateHelperSpread($D12))</f>
        <v>0</v>
      </c>
      <c r="G12" s="187">
        <f>_xll.qlRateHelperEarliestDate($D12)</f>
        <v>41766</v>
      </c>
      <c r="H12" s="188">
        <f>_xll.qlRateHelperLatestDate($D12)</f>
        <v>42863</v>
      </c>
      <c r="I12" s="173">
        <v>0.96820284502495424</v>
      </c>
    </row>
    <row r="13" spans="1:9" x14ac:dyDescent="0.2">
      <c r="D13" s="176" t="str">
        <v>USD_YC6MRH_AM6LBASIS4Y</v>
      </c>
      <c r="E13" s="177">
        <f>_xll.qlRateHelperRate($D13)</f>
        <v>1.4794610454705709E-2</v>
      </c>
      <c r="F13" s="177">
        <f>IF(ISERROR(_xll.qlSwapRateHelperSpread($D13)),IF(ISERROR(_xll.qlFuturesRateHelperConvexityAdjustment($D13)),"--",_xll.qlFuturesRateHelperConvexityAdjustment($D13)),_xll.qlSwapRateHelperSpread($D13))</f>
        <v>0</v>
      </c>
      <c r="G13" s="187">
        <f>_xll.qlRateHelperEarliestDate($D13)</f>
        <v>41766</v>
      </c>
      <c r="H13" s="188">
        <f>_xll.qlRateHelperLatestDate($D13)</f>
        <v>43228</v>
      </c>
      <c r="I13" s="173">
        <v>0.94159807380577742</v>
      </c>
    </row>
    <row r="14" spans="1:9" x14ac:dyDescent="0.2">
      <c r="D14" s="176" t="str">
        <v>USD_YC6MRH_AM6LBASIS5Y</v>
      </c>
      <c r="E14" s="177">
        <f>_xll.qlRateHelperRate($D14)</f>
        <v>1.8305761003297498E-2</v>
      </c>
      <c r="F14" s="177">
        <f>IF(ISERROR(_xll.qlSwapRateHelperSpread($D14)),IF(ISERROR(_xll.qlFuturesRateHelperConvexityAdjustment($D14)),"--",_xll.qlFuturesRateHelperConvexityAdjustment($D14)),_xll.qlSwapRateHelperSpread($D14))</f>
        <v>0</v>
      </c>
      <c r="G14" s="187">
        <f>_xll.qlRateHelperEarliestDate($D14)</f>
        <v>41766</v>
      </c>
      <c r="H14" s="188">
        <f>_xll.qlRateHelperLatestDate($D14)</f>
        <v>43592</v>
      </c>
      <c r="I14" s="173">
        <v>0.91094212762016824</v>
      </c>
    </row>
    <row r="15" spans="1:9" x14ac:dyDescent="0.2">
      <c r="D15" s="176" t="str">
        <v>USD_YC6MRH_AM6LBASIS6Y</v>
      </c>
      <c r="E15" s="177">
        <f>_xll.qlRateHelperRate($D15)</f>
        <v>2.1186812438221476E-2</v>
      </c>
      <c r="F15" s="177">
        <f>IF(ISERROR(_xll.qlSwapRateHelperSpread($D15)),IF(ISERROR(_xll.qlFuturesRateHelperConvexityAdjustment($D15)),"--",_xll.qlFuturesRateHelperConvexityAdjustment($D15)),_xll.qlSwapRateHelperSpread($D15))</f>
        <v>0</v>
      </c>
      <c r="G15" s="187">
        <f>_xll.qlRateHelperEarliestDate($D15)</f>
        <v>41766</v>
      </c>
      <c r="H15" s="188">
        <f>_xll.qlRateHelperLatestDate($D15)</f>
        <v>43958</v>
      </c>
      <c r="I15" s="173">
        <v>0.87809357359703066</v>
      </c>
    </row>
    <row r="16" spans="1:9" x14ac:dyDescent="0.2">
      <c r="D16" s="176" t="str">
        <v>USD_YC6MRH_AM6LBASIS7Y</v>
      </c>
      <c r="E16" s="177">
        <f>_xll.qlRateHelperRate($D16)</f>
        <v>2.3537708839040911E-2</v>
      </c>
      <c r="F16" s="177">
        <f>IF(ISERROR(_xll.qlSwapRateHelperSpread($D16)),IF(ISERROR(_xll.qlFuturesRateHelperConvexityAdjustment($D16)),"--",_xll.qlFuturesRateHelperConvexityAdjustment($D16)),_xll.qlSwapRateHelperSpread($D16))</f>
        <v>0</v>
      </c>
      <c r="G16" s="187">
        <f>_xll.qlRateHelperEarliestDate($D16)</f>
        <v>41766</v>
      </c>
      <c r="H16" s="188">
        <f>_xll.qlRateHelperLatestDate($D16)</f>
        <v>44323</v>
      </c>
      <c r="I16" s="173">
        <v>0.84451440191262006</v>
      </c>
    </row>
    <row r="17" spans="4:9" x14ac:dyDescent="0.2">
      <c r="D17" s="176" t="str">
        <v>USD_YC6MRH_AM6LBASIS8Y</v>
      </c>
      <c r="E17" s="177">
        <f>_xll.qlRateHelperRate($D17)</f>
        <v>2.5438483006057507E-2</v>
      </c>
      <c r="F17" s="177">
        <f>IF(ISERROR(_xll.qlSwapRateHelperSpread($D17)),IF(ISERROR(_xll.qlFuturesRateHelperConvexityAdjustment($D17)),"--",_xll.qlFuturesRateHelperConvexityAdjustment($D17)),_xll.qlSwapRateHelperSpread($D17))</f>
        <v>0</v>
      </c>
      <c r="G17" s="187">
        <f>_xll.qlRateHelperEarliestDate($D17)</f>
        <v>41766</v>
      </c>
      <c r="H17" s="188">
        <f>_xll.qlRateHelperLatestDate($D17)</f>
        <v>44690</v>
      </c>
      <c r="I17" s="173">
        <v>0.81104605311442002</v>
      </c>
    </row>
    <row r="18" spans="4:9" x14ac:dyDescent="0.2">
      <c r="D18" s="176" t="str">
        <v>USD_YC6MRH_AM6LBASIS9Y</v>
      </c>
      <c r="E18" s="177">
        <f>_xll.qlRateHelperRate($D18)</f>
        <v>2.6979198810427259E-2</v>
      </c>
      <c r="F18" s="177">
        <f>IF(ISERROR(_xll.qlSwapRateHelperSpread($D18)),IF(ISERROR(_xll.qlFuturesRateHelperConvexityAdjustment($D18)),"--",_xll.qlFuturesRateHelperConvexityAdjustment($D18)),_xll.qlSwapRateHelperSpread($D18))</f>
        <v>0</v>
      </c>
      <c r="G18" s="187">
        <f>_xll.qlRateHelperEarliestDate($D18)</f>
        <v>41766</v>
      </c>
      <c r="H18" s="188">
        <f>_xll.qlRateHelperLatestDate($D18)</f>
        <v>45054</v>
      </c>
      <c r="I18" s="173">
        <v>0.77849784829758994</v>
      </c>
    </row>
    <row r="19" spans="4:9" x14ac:dyDescent="0.2">
      <c r="D19" s="176" t="str">
        <v>USD_YC6MRH_AM6LBASIS10Y</v>
      </c>
      <c r="E19" s="177">
        <f>_xll.qlRateHelperRate($D19)</f>
        <v>2.8249732506665421E-2</v>
      </c>
      <c r="F19" s="177">
        <f>IF(ISERROR(_xll.qlSwapRateHelperSpread($D19)),IF(ISERROR(_xll.qlFuturesRateHelperConvexityAdjustment($D19)),"--",_xll.qlFuturesRateHelperConvexityAdjustment($D19)),_xll.qlSwapRateHelperSpread($D19))</f>
        <v>0</v>
      </c>
      <c r="G19" s="187">
        <f>_xll.qlRateHelperEarliestDate($D19)</f>
        <v>41766</v>
      </c>
      <c r="H19" s="188">
        <f>_xll.qlRateHelperLatestDate($D19)</f>
        <v>45419</v>
      </c>
      <c r="I19" s="173">
        <v>0.74680760505476762</v>
      </c>
    </row>
    <row r="20" spans="4:9" x14ac:dyDescent="0.2">
      <c r="D20" s="176" t="str">
        <v>USD_YC6MRH_AM6LBASIS12Y</v>
      </c>
      <c r="E20" s="177">
        <f>_xll.qlRateHelperRate($D20)</f>
        <v>3.0290627208507091E-2</v>
      </c>
      <c r="F20" s="177">
        <f>IF(ISERROR(_xll.qlSwapRateHelperSpread($D20)),IF(ISERROR(_xll.qlFuturesRateHelperConvexityAdjustment($D20)),"--",_xll.qlFuturesRateHelperConvexityAdjustment($D20)),_xll.qlSwapRateHelperSpread($D20))</f>
        <v>0</v>
      </c>
      <c r="G20" s="187">
        <f>_xll.qlRateHelperEarliestDate($D20)</f>
        <v>41766</v>
      </c>
      <c r="H20" s="188">
        <f>_xll.qlRateHelperLatestDate($D20)</f>
        <v>46149</v>
      </c>
      <c r="I20" s="173">
        <v>0.68576675921983199</v>
      </c>
    </row>
    <row r="21" spans="4:9" x14ac:dyDescent="0.2">
      <c r="D21" s="176" t="str">
        <v>USD_YC6MRH_AM6LBASIS15Y</v>
      </c>
      <c r="E21" s="177">
        <f>_xll.qlRateHelperRate($D21)</f>
        <v>3.2271464080777863E-2</v>
      </c>
      <c r="F21" s="177">
        <f>IF(ISERROR(_xll.qlSwapRateHelperSpread($D21)),IF(ISERROR(_xll.qlFuturesRateHelperConvexityAdjustment($D21)),"--",_xll.qlFuturesRateHelperConvexityAdjustment($D21)),_xll.qlSwapRateHelperSpread($D21))</f>
        <v>0</v>
      </c>
      <c r="G21" s="187">
        <f>_xll.qlRateHelperEarliestDate($D21)</f>
        <v>41766</v>
      </c>
      <c r="H21" s="188">
        <f>_xll.qlRateHelperLatestDate($D21)</f>
        <v>47246</v>
      </c>
      <c r="I21" s="173">
        <v>0.60368322528885365</v>
      </c>
    </row>
    <row r="22" spans="4:9" x14ac:dyDescent="0.2">
      <c r="D22" s="176" t="str">
        <v>USD_YC6MRH_AM6LBASIS20Y</v>
      </c>
      <c r="E22" s="177">
        <f>_xll.qlRateHelperRate($D22)</f>
        <v>3.3972069216463611E-2</v>
      </c>
      <c r="F22" s="177">
        <f>IF(ISERROR(_xll.qlSwapRateHelperSpread($D22)),IF(ISERROR(_xll.qlFuturesRateHelperConvexityAdjustment($D22)),"--",_xll.qlFuturesRateHelperConvexityAdjustment($D22)),_xll.qlSwapRateHelperSpread($D22))</f>
        <v>0</v>
      </c>
      <c r="G22" s="187">
        <f>_xll.qlRateHelperEarliestDate($D22)</f>
        <v>41766</v>
      </c>
      <c r="H22" s="188">
        <f>_xll.qlRateHelperLatestDate($D22)</f>
        <v>49072</v>
      </c>
      <c r="I22" s="173">
        <v>0.49134057508181761</v>
      </c>
    </row>
    <row r="23" spans="4:9" x14ac:dyDescent="0.2">
      <c r="D23" s="176" t="str">
        <v>USD_YC6MRH_AM6LBASIS25Y</v>
      </c>
      <c r="E23" s="177">
        <f>_xll.qlRateHelperRate($D23)</f>
        <v>3.4732339873564673E-2</v>
      </c>
      <c r="F23" s="177">
        <f>IF(ISERROR(_xll.qlSwapRateHelperSpread($D23)),IF(ISERROR(_xll.qlFuturesRateHelperConvexityAdjustment($D23)),"--",_xll.qlFuturesRateHelperConvexityAdjustment($D23)),_xll.qlSwapRateHelperSpread($D23))</f>
        <v>0</v>
      </c>
      <c r="G23" s="187">
        <f>_xll.qlRateHelperEarliestDate($D23)</f>
        <v>41766</v>
      </c>
      <c r="H23" s="188">
        <f>_xll.qlRateHelperLatestDate($D23)</f>
        <v>50899</v>
      </c>
      <c r="I23" s="173">
        <v>0.40335185004636431</v>
      </c>
    </row>
    <row r="24" spans="4:9" x14ac:dyDescent="0.2">
      <c r="D24" s="176" t="str">
        <v>USD_YC6MRH_AM6LBASIS30Y</v>
      </c>
      <c r="E24" s="177">
        <f>_xll.qlRateHelperRate($D24)</f>
        <v>3.5062310789737594E-2</v>
      </c>
      <c r="F24" s="177">
        <f>IF(ISERROR(_xll.qlSwapRateHelperSpread($D24)),IF(ISERROR(_xll.qlFuturesRateHelperConvexityAdjustment($D24)),"--",_xll.qlFuturesRateHelperConvexityAdjustment($D24)),_xll.qlSwapRateHelperSpread($D24))</f>
        <v>0</v>
      </c>
      <c r="G24" s="187">
        <f>_xll.qlRateHelperEarliestDate($D24)</f>
        <v>41766</v>
      </c>
      <c r="H24" s="188">
        <f>_xll.qlRateHelperLatestDate($D24)</f>
        <v>52726</v>
      </c>
      <c r="I24" s="173">
        <v>0.33378244759846137</v>
      </c>
    </row>
    <row r="25" spans="4:9" x14ac:dyDescent="0.2">
      <c r="D25" s="176" t="str">
        <v>USD_YC6MRH_AM6LBASIS35Y</v>
      </c>
      <c r="E25" s="177">
        <f>_xll.qlRateHelperRate($D25)</f>
        <v>3.5224373942773161E-2</v>
      </c>
      <c r="F25" s="177">
        <f>IF(ISERROR(_xll.qlSwapRateHelperSpread($D25)),IF(ISERROR(_xll.qlFuturesRateHelperConvexityAdjustment($D25)),"--",_xll.qlFuturesRateHelperConvexityAdjustment($D25)),_xll.qlSwapRateHelperSpread($D25))</f>
        <v>0</v>
      </c>
      <c r="G25" s="187">
        <f>_xll.qlRateHelperEarliestDate($D25)</f>
        <v>41766</v>
      </c>
      <c r="H25" s="188">
        <f>_xll.qlRateHelperLatestDate($D25)</f>
        <v>54550</v>
      </c>
      <c r="I25" s="173">
        <v>0.27747528577617941</v>
      </c>
    </row>
    <row r="26" spans="4:9" x14ac:dyDescent="0.2">
      <c r="D26" s="176" t="str">
        <v>USD_YC6MRH_AM6LBASIS40Y</v>
      </c>
      <c r="E26" s="177">
        <f>_xll.qlRateHelperRate($D26)</f>
        <v>3.5252338428872362E-2</v>
      </c>
      <c r="F26" s="177">
        <f>IF(ISERROR(_xll.qlSwapRateHelperSpread($D26)),IF(ISERROR(_xll.qlFuturesRateHelperConvexityAdjustment($D26)),"--",_xll.qlFuturesRateHelperConvexityAdjustment($D26)),_xll.qlSwapRateHelperSpread($D26))</f>
        <v>0</v>
      </c>
      <c r="G26" s="187">
        <f>_xll.qlRateHelperEarliestDate($D26)</f>
        <v>41766</v>
      </c>
      <c r="H26" s="188">
        <f>_xll.qlRateHelperLatestDate($D26)</f>
        <v>56376</v>
      </c>
      <c r="I26" s="173">
        <v>0.23228669292935578</v>
      </c>
    </row>
    <row r="27" spans="4:9" x14ac:dyDescent="0.2">
      <c r="D27" s="176" t="str">
        <v>USD_YC6MRH_AM6LBASIS50Y</v>
      </c>
      <c r="E27" s="177">
        <f>_xll.qlRateHelperRate($D27)</f>
        <v>3.5062254589268552E-2</v>
      </c>
      <c r="F27" s="177">
        <f>IF(ISERROR(_xll.qlSwapRateHelperSpread($D27)),IF(ISERROR(_xll.qlFuturesRateHelperConvexityAdjustment($D27)),"--",_xll.qlFuturesRateHelperConvexityAdjustment($D27)),_xll.qlSwapRateHelperSpread($D27))</f>
        <v>0</v>
      </c>
      <c r="G27" s="187">
        <f>_xll.qlRateHelperEarliestDate($D27)</f>
        <v>41766</v>
      </c>
      <c r="H27" s="188">
        <f>_xll.qlRateHelperLatestDate($D27)</f>
        <v>60029</v>
      </c>
      <c r="I27" s="173">
        <v>0.16687027512719005</v>
      </c>
    </row>
    <row r="28" spans="4:9" x14ac:dyDescent="0.2">
      <c r="D28" s="176" t="e">
        <v>#N/A</v>
      </c>
      <c r="E28" s="177" t="e">
        <f>_xll.qlRateHelperRate($D28)</f>
        <v>#VALUE!</v>
      </c>
      <c r="F28" s="177" t="str">
        <f>IF(ISERROR(_xll.qlSwapRateHelperSpread($D28)),IF(ISERROR(_xll.qlFuturesRateHelperConvexityAdjustment($D28)),"--",_xll.qlFuturesRateHelperConvexityAdjustment($D28)),_xll.qlSwapRateHelperSpread($D28))</f>
        <v>--</v>
      </c>
      <c r="G28" s="187" t="e">
        <f>_xll.qlRateHelperEarliestDate($D28)</f>
        <v>#VALUE!</v>
      </c>
      <c r="H28" s="188" t="e">
        <f>_xll.qlRateHelperLatestDate($D28)</f>
        <v>#VALUE!</v>
      </c>
      <c r="I28" s="173" t="e">
        <v>#N/A</v>
      </c>
    </row>
    <row r="29" spans="4:9" x14ac:dyDescent="0.2">
      <c r="D29" s="176" t="e">
        <v>#N/A</v>
      </c>
      <c r="E29" s="177" t="e">
        <f>_xll.qlRateHelperRate($D29)</f>
        <v>#VALUE!</v>
      </c>
      <c r="F29" s="177" t="str">
        <f>IF(ISERROR(_xll.qlSwapRateHelperSpread($D29)),IF(ISERROR(_xll.qlFuturesRateHelperConvexityAdjustment($D29)),"--",_xll.qlFuturesRateHelperConvexityAdjustment($D29)),_xll.qlSwapRateHelperSpread($D29))</f>
        <v>--</v>
      </c>
      <c r="G29" s="187" t="e">
        <f>_xll.qlRateHelperEarliestDate($D29)</f>
        <v>#VALUE!</v>
      </c>
      <c r="H29" s="188" t="e">
        <f>_xll.qlRateHelperLatestDate($D29)</f>
        <v>#VALUE!</v>
      </c>
      <c r="I29" s="173" t="e">
        <v>#N/A</v>
      </c>
    </row>
    <row r="30" spans="4:9" x14ac:dyDescent="0.2">
      <c r="D30" s="176" t="e">
        <v>#N/A</v>
      </c>
      <c r="E30" s="177" t="e">
        <f>_xll.qlRateHelperRate($D30)</f>
        <v>#VALUE!</v>
      </c>
      <c r="F30" s="177" t="str">
        <f>IF(ISERROR(_xll.qlSwapRateHelperSpread($D30)),IF(ISERROR(_xll.qlFuturesRateHelperConvexityAdjustment($D30)),"--",_xll.qlFuturesRateHelperConvexityAdjustment($D30)),_xll.qlSwapRateHelperSpread($D30))</f>
        <v>--</v>
      </c>
      <c r="G30" s="187" t="e">
        <f>_xll.qlRateHelperEarliestDate($D30)</f>
        <v>#VALUE!</v>
      </c>
      <c r="H30" s="188" t="e">
        <f>_xll.qlRateHelperLatestDate($D30)</f>
        <v>#VALUE!</v>
      </c>
      <c r="I30" s="173" t="e">
        <v>#N/A</v>
      </c>
    </row>
    <row r="31" spans="4:9" x14ac:dyDescent="0.2">
      <c r="D31" s="176" t="e">
        <v>#N/A</v>
      </c>
      <c r="E31" s="177" t="e">
        <f>_xll.qlRateHelperRate($D31)</f>
        <v>#VALUE!</v>
      </c>
      <c r="F31" s="177" t="str">
        <f>IF(ISERROR(_xll.qlSwapRateHelperSpread($D31)),IF(ISERROR(_xll.qlFuturesRateHelperConvexityAdjustment($D31)),"--",_xll.qlFuturesRateHelperConvexityAdjustment($D31)),_xll.qlSwapRateHelperSpread($D31))</f>
        <v>--</v>
      </c>
      <c r="G31" s="187" t="e">
        <f>_xll.qlRateHelperEarliestDate($D31)</f>
        <v>#VALUE!</v>
      </c>
      <c r="H31" s="188" t="e">
        <f>_xll.qlRateHelperLatestDate($D31)</f>
        <v>#VALUE!</v>
      </c>
      <c r="I31" s="173" t="e">
        <v>#N/A</v>
      </c>
    </row>
    <row r="32" spans="4:9" x14ac:dyDescent="0.2">
      <c r="D32" s="176" t="e">
        <v>#N/A</v>
      </c>
      <c r="E32" s="177" t="e">
        <f>_xll.qlRateHelperRate($D32)</f>
        <v>#VALUE!</v>
      </c>
      <c r="F32" s="177" t="str">
        <f>IF(ISERROR(_xll.qlSwapRateHelperSpread($D32)),IF(ISERROR(_xll.qlFuturesRateHelperConvexityAdjustment($D32)),"--",_xll.qlFuturesRateHelperConvexityAdjustment($D32)),_xll.qlSwapRateHelperSpread($D32))</f>
        <v>--</v>
      </c>
      <c r="G32" s="187" t="e">
        <f>_xll.qlRateHelperEarliestDate($D32)</f>
        <v>#VALUE!</v>
      </c>
      <c r="H32" s="188" t="e">
        <f>_xll.qlRateHelperLatestDate($D32)</f>
        <v>#VALUE!</v>
      </c>
      <c r="I32" s="173" t="e">
        <v>#N/A</v>
      </c>
    </row>
    <row r="33" spans="4:9" x14ac:dyDescent="0.2">
      <c r="D33" s="176" t="e">
        <v>#N/A</v>
      </c>
      <c r="E33" s="177" t="e">
        <f>_xll.qlRateHelperRate($D33)</f>
        <v>#VALUE!</v>
      </c>
      <c r="F33" s="177" t="str">
        <f>IF(ISERROR(_xll.qlSwapRateHelperSpread($D33)),IF(ISERROR(_xll.qlFuturesRateHelperConvexityAdjustment($D33)),"--",_xll.qlFuturesRateHelperConvexityAdjustment($D33)),_xll.qlSwapRateHelperSpread($D33))</f>
        <v>--</v>
      </c>
      <c r="G33" s="187" t="e">
        <f>_xll.qlRateHelperEarliestDate($D33)</f>
        <v>#VALUE!</v>
      </c>
      <c r="H33" s="188" t="e">
        <f>_xll.qlRateHelperLatestDate($D33)</f>
        <v>#VALUE!</v>
      </c>
      <c r="I33" s="173" t="e">
        <v>#N/A</v>
      </c>
    </row>
    <row r="34" spans="4:9" x14ac:dyDescent="0.2">
      <c r="D34" s="176" t="e">
        <v>#N/A</v>
      </c>
      <c r="E34" s="177" t="e">
        <f>_xll.qlRateHelperRate($D34)</f>
        <v>#VALUE!</v>
      </c>
      <c r="F34" s="177" t="str">
        <f>IF(ISERROR(_xll.qlSwapRateHelperSpread($D34)),IF(ISERROR(_xll.qlFuturesRateHelperConvexityAdjustment($D34)),"--",_xll.qlFuturesRateHelperConvexityAdjustment($D34)),_xll.qlSwapRateHelperSpread($D34))</f>
        <v>--</v>
      </c>
      <c r="G34" s="187" t="e">
        <f>_xll.qlRateHelperEarliestDate($D34)</f>
        <v>#VALUE!</v>
      </c>
      <c r="H34" s="188" t="e">
        <f>_xll.qlRateHelperLatestDate($D34)</f>
        <v>#VALUE!</v>
      </c>
      <c r="I34" s="173" t="e">
        <v>#N/A</v>
      </c>
    </row>
    <row r="35" spans="4:9" x14ac:dyDescent="0.2">
      <c r="D35" s="176" t="e">
        <v>#N/A</v>
      </c>
      <c r="E35" s="177" t="e">
        <f>_xll.qlRateHelperRate($D35)</f>
        <v>#VALUE!</v>
      </c>
      <c r="F35" s="177" t="str">
        <f>IF(ISERROR(_xll.qlSwapRateHelperSpread($D35)),IF(ISERROR(_xll.qlFuturesRateHelperConvexityAdjustment($D35)),"--",_xll.qlFuturesRateHelperConvexityAdjustment($D35)),_xll.qlSwapRateHelperSpread($D35))</f>
        <v>--</v>
      </c>
      <c r="G35" s="187" t="e">
        <f>_xll.qlRateHelperEarliestDate($D35)</f>
        <v>#VALUE!</v>
      </c>
      <c r="H35" s="188" t="e">
        <f>_xll.qlRateHelperLatestDate($D35)</f>
        <v>#VALUE!</v>
      </c>
      <c r="I35" s="173" t="e">
        <v>#N/A</v>
      </c>
    </row>
    <row r="36" spans="4:9" x14ac:dyDescent="0.2">
      <c r="D36" s="176" t="e">
        <v>#N/A</v>
      </c>
      <c r="E36" s="177" t="e">
        <f>_xll.qlRateHelperRate($D36)</f>
        <v>#VALUE!</v>
      </c>
      <c r="F36" s="177" t="str">
        <f>IF(ISERROR(_xll.qlSwapRateHelperSpread($D36)),IF(ISERROR(_xll.qlFuturesRateHelperConvexityAdjustment($D36)),"--",_xll.qlFuturesRateHelperConvexityAdjustment($D36)),_xll.qlSwapRateHelperSpread($D36))</f>
        <v>--</v>
      </c>
      <c r="G36" s="187" t="e">
        <f>_xll.qlRateHelperEarliestDate($D36)</f>
        <v>#VALUE!</v>
      </c>
      <c r="H36" s="188" t="e">
        <f>_xll.qlRateHelperLatestDate($D36)</f>
        <v>#VALUE!</v>
      </c>
      <c r="I36" s="173" t="e">
        <v>#N/A</v>
      </c>
    </row>
    <row r="37" spans="4:9" x14ac:dyDescent="0.2">
      <c r="D37" s="176" t="e">
        <v>#N/A</v>
      </c>
      <c r="E37" s="177" t="e">
        <f>_xll.qlRateHelperRate($D37)</f>
        <v>#VALUE!</v>
      </c>
      <c r="F37" s="177" t="str">
        <f>IF(ISERROR(_xll.qlSwapRateHelperSpread($D37)),IF(ISERROR(_xll.qlFuturesRateHelperConvexityAdjustment($D37)),"--",_xll.qlFuturesRateHelperConvexityAdjustment($D37)),_xll.qlSwapRateHelperSpread($D37))</f>
        <v>--</v>
      </c>
      <c r="G37" s="187" t="e">
        <f>_xll.qlRateHelperEarliestDate($D37)</f>
        <v>#VALUE!</v>
      </c>
      <c r="H37" s="188" t="e">
        <f>_xll.qlRateHelperLatestDate($D37)</f>
        <v>#VALUE!</v>
      </c>
      <c r="I37" s="173" t="e">
        <v>#N/A</v>
      </c>
    </row>
    <row r="38" spans="4:9" x14ac:dyDescent="0.2">
      <c r="D38" s="176" t="e">
        <v>#N/A</v>
      </c>
      <c r="E38" s="177" t="e">
        <f>_xll.qlRateHelperRate($D38)</f>
        <v>#VALUE!</v>
      </c>
      <c r="F38" s="177" t="str">
        <f>IF(ISERROR(_xll.qlSwapRateHelperSpread($D38)),IF(ISERROR(_xll.qlFuturesRateHelperConvexityAdjustment($D38)),"--",_xll.qlFuturesRateHelperConvexityAdjustment($D38)),_xll.qlSwapRateHelperSpread($D38))</f>
        <v>--</v>
      </c>
      <c r="G38" s="187" t="e">
        <f>_xll.qlRateHelperEarliestDate($D38)</f>
        <v>#VALUE!</v>
      </c>
      <c r="H38" s="188" t="e">
        <f>_xll.qlRateHelperLatestDate($D38)</f>
        <v>#VALUE!</v>
      </c>
      <c r="I38" s="173" t="e">
        <v>#N/A</v>
      </c>
    </row>
    <row r="39" spans="4:9" x14ac:dyDescent="0.2">
      <c r="D39" s="176" t="e">
        <v>#N/A</v>
      </c>
      <c r="E39" s="177" t="e">
        <f>_xll.qlRateHelperRate($D39)</f>
        <v>#VALUE!</v>
      </c>
      <c r="F39" s="177" t="str">
        <f>IF(ISERROR(_xll.qlSwapRateHelperSpread($D39)),IF(ISERROR(_xll.qlFuturesRateHelperConvexityAdjustment($D39)),"--",_xll.qlFuturesRateHelperConvexityAdjustment($D39)),_xll.qlSwapRateHelperSpread($D39))</f>
        <v>--</v>
      </c>
      <c r="G39" s="187" t="e">
        <f>_xll.qlRateHelperEarliestDate($D39)</f>
        <v>#VALUE!</v>
      </c>
      <c r="H39" s="188" t="e">
        <f>_xll.qlRateHelperLatestDate($D39)</f>
        <v>#VALUE!</v>
      </c>
      <c r="I39" s="173" t="e">
        <v>#N/A</v>
      </c>
    </row>
    <row r="40" spans="4:9" x14ac:dyDescent="0.2">
      <c r="D40" s="176" t="e">
        <v>#N/A</v>
      </c>
      <c r="E40" s="177" t="e">
        <f>_xll.qlRateHelperRate($D40)</f>
        <v>#VALUE!</v>
      </c>
      <c r="F40" s="177" t="str">
        <f>IF(ISERROR(_xll.qlSwapRateHelperSpread($D40)),IF(ISERROR(_xll.qlFuturesRateHelperConvexityAdjustment($D40)),"--",_xll.qlFuturesRateHelperConvexityAdjustment($D40)),_xll.qlSwapRateHelperSpread($D40))</f>
        <v>--</v>
      </c>
      <c r="G40" s="187" t="e">
        <f>_xll.qlRateHelperEarliestDate($D40)</f>
        <v>#VALUE!</v>
      </c>
      <c r="H40" s="188" t="e">
        <f>_xll.qlRateHelperLatestDate($D40)</f>
        <v>#VALUE!</v>
      </c>
      <c r="I40" s="173" t="e">
        <v>#N/A</v>
      </c>
    </row>
    <row r="41" spans="4:9" x14ac:dyDescent="0.2">
      <c r="D41" s="176" t="e">
        <v>#N/A</v>
      </c>
      <c r="E41" s="177" t="e">
        <f>_xll.qlRateHelperRate($D41)</f>
        <v>#VALUE!</v>
      </c>
      <c r="F41" s="177" t="str">
        <f>IF(ISERROR(_xll.qlSwapRateHelperSpread($D41)),IF(ISERROR(_xll.qlFuturesRateHelperConvexityAdjustment($D41)),"--",_xll.qlFuturesRateHelperConvexityAdjustment($D41)),_xll.qlSwapRateHelperSpread($D41))</f>
        <v>--</v>
      </c>
      <c r="G41" s="187" t="e">
        <f>_xll.qlRateHelperEarliestDate($D41)</f>
        <v>#VALUE!</v>
      </c>
      <c r="H41" s="188" t="e">
        <f>_xll.qlRateHelperLatestDate($D41)</f>
        <v>#VALUE!</v>
      </c>
      <c r="I41" s="173" t="e">
        <v>#N/A</v>
      </c>
    </row>
    <row r="42" spans="4:9" x14ac:dyDescent="0.2">
      <c r="D42" s="176" t="e">
        <v>#N/A</v>
      </c>
      <c r="E42" s="177" t="e">
        <f>_xll.qlRateHelperRate($D42)</f>
        <v>#VALUE!</v>
      </c>
      <c r="F42" s="177" t="str">
        <f>IF(ISERROR(_xll.qlSwapRateHelperSpread($D42)),IF(ISERROR(_xll.qlFuturesRateHelperConvexityAdjustment($D42)),"--",_xll.qlFuturesRateHelperConvexityAdjustment($D42)),_xll.qlSwapRateHelperSpread($D42))</f>
        <v>--</v>
      </c>
      <c r="G42" s="187" t="e">
        <f>_xll.qlRateHelperEarliestDate($D42)</f>
        <v>#VALUE!</v>
      </c>
      <c r="H42" s="188" t="e">
        <f>_xll.qlRateHelperLatestDate($D42)</f>
        <v>#VALUE!</v>
      </c>
      <c r="I42" s="173" t="e">
        <v>#N/A</v>
      </c>
    </row>
    <row r="43" spans="4:9" x14ac:dyDescent="0.2">
      <c r="D43" s="176" t="e">
        <v>#N/A</v>
      </c>
      <c r="E43" s="177" t="e">
        <f>_xll.qlRateHelperRate($D43)</f>
        <v>#VALUE!</v>
      </c>
      <c r="F43" s="177" t="str">
        <f>IF(ISERROR(_xll.qlSwapRateHelperSpread($D43)),IF(ISERROR(_xll.qlFuturesRateHelperConvexityAdjustment($D43)),"--",_xll.qlFuturesRateHelperConvexityAdjustment($D43)),_xll.qlSwapRateHelperSpread($D43))</f>
        <v>--</v>
      </c>
      <c r="G43" s="187" t="e">
        <f>_xll.qlRateHelperEarliestDate($D43)</f>
        <v>#VALUE!</v>
      </c>
      <c r="H43" s="188" t="e">
        <f>_xll.qlRateHelperLatestDate($D43)</f>
        <v>#VALUE!</v>
      </c>
      <c r="I43" s="173" t="e">
        <v>#N/A</v>
      </c>
    </row>
    <row r="44" spans="4:9" x14ac:dyDescent="0.2">
      <c r="D44" s="176" t="e">
        <v>#N/A</v>
      </c>
      <c r="E44" s="177" t="e">
        <f>_xll.qlRateHelperRate($D44)</f>
        <v>#VALUE!</v>
      </c>
      <c r="F44" s="177" t="str">
        <f>IF(ISERROR(_xll.qlSwapRateHelperSpread($D44)),IF(ISERROR(_xll.qlFuturesRateHelperConvexityAdjustment($D44)),"--",_xll.qlFuturesRateHelperConvexityAdjustment($D44)),_xll.qlSwapRateHelperSpread($D44))</f>
        <v>--</v>
      </c>
      <c r="G44" s="187" t="e">
        <f>_xll.qlRateHelperEarliestDate($D44)</f>
        <v>#VALUE!</v>
      </c>
      <c r="H44" s="188" t="e">
        <f>_xll.qlRateHelperLatestDate($D44)</f>
        <v>#VALUE!</v>
      </c>
      <c r="I44" s="173" t="e">
        <v>#N/A</v>
      </c>
    </row>
    <row r="45" spans="4:9" x14ac:dyDescent="0.2">
      <c r="D45" s="176" t="e">
        <v>#N/A</v>
      </c>
      <c r="E45" s="177" t="e">
        <f>_xll.qlRateHelperRate($D45)</f>
        <v>#VALUE!</v>
      </c>
      <c r="F45" s="177" t="str">
        <f>IF(ISERROR(_xll.qlSwapRateHelperSpread($D45)),IF(ISERROR(_xll.qlFuturesRateHelperConvexityAdjustment($D45)),"--",_xll.qlFuturesRateHelperConvexityAdjustment($D45)),_xll.qlSwapRateHelperSpread($D45))</f>
        <v>--</v>
      </c>
      <c r="G45" s="187" t="e">
        <f>_xll.qlRateHelperEarliestDate($D45)</f>
        <v>#VALUE!</v>
      </c>
      <c r="H45" s="188" t="e">
        <f>_xll.qlRateHelperLatestDate($D45)</f>
        <v>#VALUE!</v>
      </c>
      <c r="I45" s="173" t="e">
        <v>#N/A</v>
      </c>
    </row>
    <row r="46" spans="4:9" x14ac:dyDescent="0.2">
      <c r="D46" s="176" t="e">
        <v>#N/A</v>
      </c>
      <c r="E46" s="177" t="e">
        <f>_xll.qlRateHelperRate($D46)</f>
        <v>#VALUE!</v>
      </c>
      <c r="F46" s="177" t="str">
        <f>IF(ISERROR(_xll.qlSwapRateHelperSpread($D46)),IF(ISERROR(_xll.qlFuturesRateHelperConvexityAdjustment($D46)),"--",_xll.qlFuturesRateHelperConvexityAdjustment($D46)),_xll.qlSwapRateHelperSpread($D46))</f>
        <v>--</v>
      </c>
      <c r="G46" s="187" t="e">
        <f>_xll.qlRateHelperEarliestDate($D46)</f>
        <v>#VALUE!</v>
      </c>
      <c r="H46" s="188" t="e">
        <f>_xll.qlRateHelperLatestDate($D46)</f>
        <v>#VALUE!</v>
      </c>
      <c r="I46" s="173" t="e">
        <v>#N/A</v>
      </c>
    </row>
    <row r="47" spans="4:9" x14ac:dyDescent="0.2">
      <c r="D47" s="176" t="e">
        <v>#N/A</v>
      </c>
      <c r="E47" s="177" t="e">
        <f>_xll.qlRateHelperRate($D47)</f>
        <v>#VALUE!</v>
      </c>
      <c r="F47" s="177" t="str">
        <f>IF(ISERROR(_xll.qlSwapRateHelperSpread($D47)),IF(ISERROR(_xll.qlFuturesRateHelperConvexityAdjustment($D47)),"--",_xll.qlFuturesRateHelperConvexityAdjustment($D47)),_xll.qlSwapRateHelperSpread($D47))</f>
        <v>--</v>
      </c>
      <c r="G47" s="187" t="e">
        <f>_xll.qlRateHelperEarliestDate($D47)</f>
        <v>#VALUE!</v>
      </c>
      <c r="H47" s="188" t="e">
        <f>_xll.qlRateHelperLatestDate($D47)</f>
        <v>#VALUE!</v>
      </c>
      <c r="I47" s="173" t="e">
        <v>#N/A</v>
      </c>
    </row>
    <row r="48" spans="4:9" x14ac:dyDescent="0.2">
      <c r="D48" s="176" t="e">
        <v>#N/A</v>
      </c>
      <c r="E48" s="177" t="e">
        <f>_xll.qlRateHelperRate($D48)</f>
        <v>#VALUE!</v>
      </c>
      <c r="F48" s="177" t="str">
        <f>IF(ISERROR(_xll.qlSwapRateHelperSpread($D48)),IF(ISERROR(_xll.qlFuturesRateHelperConvexityAdjustment($D48)),"--",_xll.qlFuturesRateHelperConvexityAdjustment($D48)),_xll.qlSwapRateHelperSpread($D48))</f>
        <v>--</v>
      </c>
      <c r="G48" s="187" t="e">
        <f>_xll.qlRateHelperEarliestDate($D48)</f>
        <v>#VALUE!</v>
      </c>
      <c r="H48" s="188" t="e">
        <f>_xll.qlRateHelperLatestDate($D48)</f>
        <v>#VALUE!</v>
      </c>
      <c r="I48" s="173" t="e">
        <v>#N/A</v>
      </c>
    </row>
    <row r="49" spans="4:9" x14ac:dyDescent="0.2">
      <c r="D49" s="176" t="e">
        <v>#N/A</v>
      </c>
      <c r="E49" s="177" t="e">
        <f>_xll.qlRateHelperRate($D49)</f>
        <v>#VALUE!</v>
      </c>
      <c r="F49" s="177" t="str">
        <f>IF(ISERROR(_xll.qlSwapRateHelperSpread($D49)),IF(ISERROR(_xll.qlFuturesRateHelperConvexityAdjustment($D49)),"--",_xll.qlFuturesRateHelperConvexityAdjustment($D49)),_xll.qlSwapRateHelperSpread($D49))</f>
        <v>--</v>
      </c>
      <c r="G49" s="187" t="e">
        <f>_xll.qlRateHelperEarliestDate($D49)</f>
        <v>#VALUE!</v>
      </c>
      <c r="H49" s="188" t="e">
        <f>_xll.qlRateHelperLatestDate($D49)</f>
        <v>#VALUE!</v>
      </c>
      <c r="I49" s="173" t="e">
        <v>#N/A</v>
      </c>
    </row>
    <row r="50" spans="4:9" x14ac:dyDescent="0.2">
      <c r="D50" s="176" t="e">
        <v>#N/A</v>
      </c>
      <c r="E50" s="177" t="e">
        <f>_xll.qlRateHelperRate($D50)</f>
        <v>#VALUE!</v>
      </c>
      <c r="F50" s="177" t="str">
        <f>IF(ISERROR(_xll.qlSwapRateHelperSpread($D50)),IF(ISERROR(_xll.qlFuturesRateHelperConvexityAdjustment($D50)),"--",_xll.qlFuturesRateHelperConvexityAdjustment($D50)),_xll.qlSwapRateHelperSpread($D50))</f>
        <v>--</v>
      </c>
      <c r="G50" s="187" t="e">
        <f>_xll.qlRateHelperEarliestDate($D50)</f>
        <v>#VALUE!</v>
      </c>
      <c r="H50" s="188" t="e">
        <f>_xll.qlRateHelperLatestDate($D50)</f>
        <v>#VALUE!</v>
      </c>
      <c r="I50" s="173" t="e">
        <v>#N/A</v>
      </c>
    </row>
    <row r="51" spans="4:9" x14ac:dyDescent="0.2">
      <c r="D51" s="176" t="e">
        <v>#N/A</v>
      </c>
      <c r="E51" s="177" t="e">
        <f>_xll.qlRateHelperRate($D51)</f>
        <v>#VALUE!</v>
      </c>
      <c r="F51" s="177" t="str">
        <f>IF(ISERROR(_xll.qlSwapRateHelperSpread($D51)),IF(ISERROR(_xll.qlFuturesRateHelperConvexityAdjustment($D51)),"--",_xll.qlFuturesRateHelperConvexityAdjustment($D51)),_xll.qlSwapRateHelperSpread($D51))</f>
        <v>--</v>
      </c>
      <c r="G51" s="187" t="e">
        <f>_xll.qlRateHelperEarliestDate($D51)</f>
        <v>#VALUE!</v>
      </c>
      <c r="H51" s="188" t="e">
        <f>_xll.qlRateHelperLatestDate($D51)</f>
        <v>#VALUE!</v>
      </c>
      <c r="I51" s="173" t="e">
        <v>#N/A</v>
      </c>
    </row>
    <row r="52" spans="4:9" x14ac:dyDescent="0.2">
      <c r="D52" s="176" t="e">
        <v>#N/A</v>
      </c>
      <c r="E52" s="177" t="e">
        <f>_xll.qlRateHelperRate($D52)</f>
        <v>#VALUE!</v>
      </c>
      <c r="F52" s="177" t="str">
        <f>IF(ISERROR(_xll.qlSwapRateHelperSpread($D52)),IF(ISERROR(_xll.qlFuturesRateHelperConvexityAdjustment($D52)),"--",_xll.qlFuturesRateHelperConvexityAdjustment($D52)),_xll.qlSwapRateHelperSpread($D52))</f>
        <v>--</v>
      </c>
      <c r="G52" s="187" t="e">
        <f>_xll.qlRateHelperEarliestDate($D52)</f>
        <v>#VALUE!</v>
      </c>
      <c r="H52" s="188" t="e">
        <f>_xll.qlRateHelperLatestDate($D52)</f>
        <v>#VALUE!</v>
      </c>
      <c r="I52" s="173" t="e">
        <v>#N/A</v>
      </c>
    </row>
    <row r="53" spans="4:9" x14ac:dyDescent="0.2">
      <c r="D53" s="176" t="e">
        <v>#N/A</v>
      </c>
      <c r="E53" s="177" t="e">
        <f>_xll.qlRateHelperRate($D53)</f>
        <v>#VALUE!</v>
      </c>
      <c r="F53" s="177" t="str">
        <f>IF(ISERROR(_xll.qlSwapRateHelperSpread($D53)),IF(ISERROR(_xll.qlFuturesRateHelperConvexityAdjustment($D53)),"--",_xll.qlFuturesRateHelperConvexityAdjustment($D53)),_xll.qlSwapRateHelperSpread($D53))</f>
        <v>--</v>
      </c>
      <c r="G53" s="187" t="e">
        <f>_xll.qlRateHelperEarliestDate($D53)</f>
        <v>#VALUE!</v>
      </c>
      <c r="H53" s="188" t="e">
        <f>_xll.qlRateHelperLatestDate($D53)</f>
        <v>#VALUE!</v>
      </c>
      <c r="I53" s="173" t="e">
        <v>#N/A</v>
      </c>
    </row>
    <row r="54" spans="4:9" x14ac:dyDescent="0.2">
      <c r="D54" s="176" t="e">
        <v>#N/A</v>
      </c>
      <c r="E54" s="177" t="e">
        <f>_xll.qlRateHelperRate($D54)</f>
        <v>#VALUE!</v>
      </c>
      <c r="F54" s="177" t="str">
        <f>IF(ISERROR(_xll.qlSwapRateHelperSpread($D54)),IF(ISERROR(_xll.qlFuturesRateHelperConvexityAdjustment($D54)),"--",_xll.qlFuturesRateHelperConvexityAdjustment($D54)),_xll.qlSwapRateHelperSpread($D54))</f>
        <v>--</v>
      </c>
      <c r="G54" s="187" t="e">
        <f>_xll.qlRateHelperEarliestDate($D54)</f>
        <v>#VALUE!</v>
      </c>
      <c r="H54" s="188" t="e">
        <f>_xll.qlRateHelperLatestDate($D54)</f>
        <v>#VALUE!</v>
      </c>
      <c r="I54" s="173" t="e">
        <v>#N/A</v>
      </c>
    </row>
    <row r="55" spans="4:9" x14ac:dyDescent="0.2">
      <c r="D55" s="176" t="e">
        <v>#N/A</v>
      </c>
      <c r="E55" s="177" t="e">
        <f>_xll.qlRateHelperRate($D55)</f>
        <v>#VALUE!</v>
      </c>
      <c r="F55" s="177" t="str">
        <f>IF(ISERROR(_xll.qlSwapRateHelperSpread($D55)),IF(ISERROR(_xll.qlFuturesRateHelperConvexityAdjustment($D55)),"--",_xll.qlFuturesRateHelperConvexityAdjustment($D55)),_xll.qlSwapRateHelperSpread($D55))</f>
        <v>--</v>
      </c>
      <c r="G55" s="187" t="e">
        <f>_xll.qlRateHelperEarliestDate($D55)</f>
        <v>#VALUE!</v>
      </c>
      <c r="H55" s="188" t="e">
        <f>_xll.qlRateHelperLatestDate($D55)</f>
        <v>#VALUE!</v>
      </c>
      <c r="I55" s="173" t="e">
        <v>#N/A</v>
      </c>
    </row>
    <row r="56" spans="4:9" x14ac:dyDescent="0.2">
      <c r="D56" s="176" t="e">
        <v>#N/A</v>
      </c>
      <c r="E56" s="177" t="e">
        <f>_xll.qlRateHelperRate($D56)</f>
        <v>#VALUE!</v>
      </c>
      <c r="F56" s="177" t="str">
        <f>IF(ISERROR(_xll.qlSwapRateHelperSpread($D56)),IF(ISERROR(_xll.qlFuturesRateHelperConvexityAdjustment($D56)),"--",_xll.qlFuturesRateHelperConvexityAdjustment($D56)),_xll.qlSwapRateHelperSpread($D56))</f>
        <v>--</v>
      </c>
      <c r="G56" s="187" t="e">
        <f>_xll.qlRateHelperEarliestDate($D56)</f>
        <v>#VALUE!</v>
      </c>
      <c r="H56" s="188" t="e">
        <f>_xll.qlRateHelperLatestDate($D56)</f>
        <v>#VALUE!</v>
      </c>
      <c r="I56" s="173" t="e">
        <v>#N/A</v>
      </c>
    </row>
    <row r="57" spans="4:9" x14ac:dyDescent="0.2">
      <c r="D57" s="176" t="e">
        <v>#N/A</v>
      </c>
      <c r="E57" s="177" t="e">
        <f>_xll.qlRateHelperRate($D57)</f>
        <v>#VALUE!</v>
      </c>
      <c r="F57" s="177" t="str">
        <f>IF(ISERROR(_xll.qlSwapRateHelperSpread($D57)),IF(ISERROR(_xll.qlFuturesRateHelperConvexityAdjustment($D57)),"--",_xll.qlFuturesRateHelperConvexityAdjustment($D57)),_xll.qlSwapRateHelperSpread($D57))</f>
        <v>--</v>
      </c>
      <c r="G57" s="187" t="e">
        <f>_xll.qlRateHelperEarliestDate($D57)</f>
        <v>#VALUE!</v>
      </c>
      <c r="H57" s="188" t="e">
        <f>_xll.qlRateHelperLatestDate($D57)</f>
        <v>#VALUE!</v>
      </c>
      <c r="I57" s="173" t="e">
        <v>#N/A</v>
      </c>
    </row>
    <row r="58" spans="4:9" x14ac:dyDescent="0.2">
      <c r="D58" s="176" t="e">
        <v>#N/A</v>
      </c>
      <c r="E58" s="177" t="e">
        <f>_xll.qlRateHelperRate($D58)</f>
        <v>#VALUE!</v>
      </c>
      <c r="F58" s="177" t="str">
        <f>IF(ISERROR(_xll.qlSwapRateHelperSpread($D58)),IF(ISERROR(_xll.qlFuturesRateHelperConvexityAdjustment($D58)),"--",_xll.qlFuturesRateHelperConvexityAdjustment($D58)),_xll.qlSwapRateHelperSpread($D58))</f>
        <v>--</v>
      </c>
      <c r="G58" s="187" t="e">
        <f>_xll.qlRateHelperEarliestDate($D58)</f>
        <v>#VALUE!</v>
      </c>
      <c r="H58" s="188" t="e">
        <f>_xll.qlRateHelperLatestDate($D58)</f>
        <v>#VALUE!</v>
      </c>
      <c r="I58" s="173" t="e">
        <v>#N/A</v>
      </c>
    </row>
    <row r="59" spans="4:9" x14ac:dyDescent="0.2">
      <c r="D59" s="176" t="e">
        <v>#N/A</v>
      </c>
      <c r="E59" s="177" t="e">
        <f>_xll.qlRateHelperRate($D59)</f>
        <v>#VALUE!</v>
      </c>
      <c r="F59" s="177" t="str">
        <f>IF(ISERROR(_xll.qlSwapRateHelperSpread($D59)),IF(ISERROR(_xll.qlFuturesRateHelperConvexityAdjustment($D59)),"--",_xll.qlFuturesRateHelperConvexityAdjustment($D59)),_xll.qlSwapRateHelperSpread($D59))</f>
        <v>--</v>
      </c>
      <c r="G59" s="187" t="e">
        <f>_xll.qlRateHelperEarliestDate($D59)</f>
        <v>#VALUE!</v>
      </c>
      <c r="H59" s="188" t="e">
        <f>_xll.qlRateHelperLatestDate($D59)</f>
        <v>#VALUE!</v>
      </c>
      <c r="I59" s="173" t="e">
        <v>#N/A</v>
      </c>
    </row>
    <row r="60" spans="4:9" x14ac:dyDescent="0.2">
      <c r="D60" s="176" t="e">
        <v>#N/A</v>
      </c>
      <c r="E60" s="177" t="e">
        <f>_xll.qlRateHelperRate($D60)</f>
        <v>#VALUE!</v>
      </c>
      <c r="F60" s="177" t="str">
        <f>IF(ISERROR(_xll.qlSwapRateHelperSpread($D60)),IF(ISERROR(_xll.qlFuturesRateHelperConvexityAdjustment($D60)),"--",_xll.qlFuturesRateHelperConvexityAdjustment($D60)),_xll.qlSwapRateHelperSpread($D60))</f>
        <v>--</v>
      </c>
      <c r="G60" s="187" t="e">
        <f>_xll.qlRateHelperEarliestDate($D60)</f>
        <v>#VALUE!</v>
      </c>
      <c r="H60" s="188" t="e">
        <f>_xll.qlRateHelperLatestDate($D60)</f>
        <v>#VALUE!</v>
      </c>
      <c r="I60" s="173" t="e">
        <v>#N/A</v>
      </c>
    </row>
    <row r="61" spans="4:9" x14ac:dyDescent="0.2">
      <c r="D61" s="176" t="e">
        <v>#N/A</v>
      </c>
      <c r="E61" s="177" t="e">
        <f>_xll.qlRateHelperRate($D61)</f>
        <v>#VALUE!</v>
      </c>
      <c r="F61" s="177" t="str">
        <f>IF(ISERROR(_xll.qlSwapRateHelperSpread($D61)),IF(ISERROR(_xll.qlFuturesRateHelperConvexityAdjustment($D61)),"--",_xll.qlFuturesRateHelperConvexityAdjustment($D61)),_xll.qlSwapRateHelperSpread($D61))</f>
        <v>--</v>
      </c>
      <c r="G61" s="187" t="e">
        <f>_xll.qlRateHelperEarliestDate($D61)</f>
        <v>#VALUE!</v>
      </c>
      <c r="H61" s="188" t="e">
        <f>_xll.qlRateHelperLatestDate($D61)</f>
        <v>#VALUE!</v>
      </c>
      <c r="I61" s="173" t="e">
        <v>#N/A</v>
      </c>
    </row>
    <row r="62" spans="4:9" x14ac:dyDescent="0.2">
      <c r="D62" s="176" t="e">
        <v>#N/A</v>
      </c>
      <c r="E62" s="177" t="e">
        <f>_xll.qlRateHelperRate($D62)</f>
        <v>#VALUE!</v>
      </c>
      <c r="F62" s="177" t="str">
        <f>IF(ISERROR(_xll.qlSwapRateHelperSpread($D62)),IF(ISERROR(_xll.qlFuturesRateHelperConvexityAdjustment($D62)),"--",_xll.qlFuturesRateHelperConvexityAdjustment($D62)),_xll.qlSwapRateHelperSpread($D62))</f>
        <v>--</v>
      </c>
      <c r="G62" s="187" t="e">
        <f>_xll.qlRateHelperEarliestDate($D62)</f>
        <v>#VALUE!</v>
      </c>
      <c r="H62" s="188" t="e">
        <f>_xll.qlRateHelperLatestDate($D62)</f>
        <v>#VALUE!</v>
      </c>
      <c r="I62" s="173" t="e">
        <v>#N/A</v>
      </c>
    </row>
    <row r="63" spans="4:9" x14ac:dyDescent="0.2">
      <c r="D63" s="176" t="e">
        <v>#N/A</v>
      </c>
      <c r="E63" s="177" t="e">
        <f>_xll.qlRateHelperRate($D63)</f>
        <v>#VALUE!</v>
      </c>
      <c r="F63" s="177" t="str">
        <f>IF(ISERROR(_xll.qlSwapRateHelperSpread($D63)),IF(ISERROR(_xll.qlFuturesRateHelperConvexityAdjustment($D63)),"--",_xll.qlFuturesRateHelperConvexityAdjustment($D63)),_xll.qlSwapRateHelperSpread($D63))</f>
        <v>--</v>
      </c>
      <c r="G63" s="187" t="e">
        <f>_xll.qlRateHelperEarliestDate($D63)</f>
        <v>#VALUE!</v>
      </c>
      <c r="H63" s="188" t="e">
        <f>_xll.qlRateHelperLatestDate($D63)</f>
        <v>#VALUE!</v>
      </c>
      <c r="I63" s="173" t="e">
        <v>#N/A</v>
      </c>
    </row>
    <row r="64" spans="4:9" x14ac:dyDescent="0.2">
      <c r="D64" s="176" t="e">
        <v>#N/A</v>
      </c>
      <c r="E64" s="177" t="e">
        <f>_xll.qlRateHelperRate($D64)</f>
        <v>#VALUE!</v>
      </c>
      <c r="F64" s="177" t="str">
        <f>IF(ISERROR(_xll.qlSwapRateHelperSpread($D64)),IF(ISERROR(_xll.qlFuturesRateHelperConvexityAdjustment($D64)),"--",_xll.qlFuturesRateHelperConvexityAdjustment($D64)),_xll.qlSwapRateHelperSpread($D64))</f>
        <v>--</v>
      </c>
      <c r="G64" s="187" t="e">
        <f>_xll.qlRateHelperEarliestDate($D64)</f>
        <v>#VALUE!</v>
      </c>
      <c r="H64" s="188" t="e">
        <f>_xll.qlRateHelperLatestDate($D64)</f>
        <v>#VALUE!</v>
      </c>
      <c r="I64" s="173" t="e">
        <v>#N/A</v>
      </c>
    </row>
    <row r="65" spans="4:9" x14ac:dyDescent="0.2">
      <c r="D65" s="176" t="e">
        <v>#N/A</v>
      </c>
      <c r="E65" s="177" t="e">
        <f>_xll.qlRateHelperRate($D65)</f>
        <v>#VALUE!</v>
      </c>
      <c r="F65" s="177" t="str">
        <f>IF(ISERROR(_xll.qlSwapRateHelperSpread($D65)),IF(ISERROR(_xll.qlFuturesRateHelperConvexityAdjustment($D65)),"--",_xll.qlFuturesRateHelperConvexityAdjustment($D65)),_xll.qlSwapRateHelperSpread($D65))</f>
        <v>--</v>
      </c>
      <c r="G65" s="187" t="e">
        <f>_xll.qlRateHelperEarliestDate($D65)</f>
        <v>#VALUE!</v>
      </c>
      <c r="H65" s="188" t="e">
        <f>_xll.qlRateHelperLatestDate($D65)</f>
        <v>#VALUE!</v>
      </c>
      <c r="I65" s="173" t="e">
        <v>#N/A</v>
      </c>
    </row>
    <row r="66" spans="4:9" x14ac:dyDescent="0.2">
      <c r="D66" s="176" t="e">
        <v>#N/A</v>
      </c>
      <c r="E66" s="177" t="e">
        <f>_xll.qlRateHelperRate($D66)</f>
        <v>#VALUE!</v>
      </c>
      <c r="F66" s="177" t="str">
        <f>IF(ISERROR(_xll.qlSwapRateHelperSpread($D66)),IF(ISERROR(_xll.qlFuturesRateHelperConvexityAdjustment($D66)),"--",_xll.qlFuturesRateHelperConvexityAdjustment($D66)),_xll.qlSwapRateHelperSpread($D66))</f>
        <v>--</v>
      </c>
      <c r="G66" s="187" t="e">
        <f>_xll.qlRateHelperEarliestDate($D66)</f>
        <v>#VALUE!</v>
      </c>
      <c r="H66" s="188" t="e">
        <f>_xll.qlRateHelperLatestDate($D66)</f>
        <v>#VALUE!</v>
      </c>
      <c r="I66" s="173" t="e">
        <v>#N/A</v>
      </c>
    </row>
    <row r="67" spans="4:9" x14ac:dyDescent="0.2">
      <c r="D67" s="176" t="e">
        <v>#N/A</v>
      </c>
      <c r="E67" s="177" t="e">
        <f>_xll.qlRateHelperRate($D67)</f>
        <v>#VALUE!</v>
      </c>
      <c r="F67" s="177" t="str">
        <f>IF(ISERROR(_xll.qlSwapRateHelperSpread($D67)),IF(ISERROR(_xll.qlFuturesRateHelperConvexityAdjustment($D67)),"--",_xll.qlFuturesRateHelperConvexityAdjustment($D67)),_xll.qlSwapRateHelperSpread($D67))</f>
        <v>--</v>
      </c>
      <c r="G67" s="187" t="e">
        <f>_xll.qlRateHelperEarliestDate($D67)</f>
        <v>#VALUE!</v>
      </c>
      <c r="H67" s="188" t="e">
        <f>_xll.qlRateHelperLatestDate($D67)</f>
        <v>#VALUE!</v>
      </c>
      <c r="I67" s="173" t="e">
        <v>#N/A</v>
      </c>
    </row>
    <row r="68" spans="4:9" x14ac:dyDescent="0.2">
      <c r="D68" s="176" t="e">
        <v>#N/A</v>
      </c>
      <c r="E68" s="177" t="e">
        <f>_xll.qlRateHelperRate($D68)</f>
        <v>#VALUE!</v>
      </c>
      <c r="F68" s="177" t="str">
        <f>IF(ISERROR(_xll.qlSwapRateHelperSpread($D68)),IF(ISERROR(_xll.qlFuturesRateHelperConvexityAdjustment($D68)),"--",_xll.qlFuturesRateHelperConvexityAdjustment($D68)),_xll.qlSwapRateHelperSpread($D68))</f>
        <v>--</v>
      </c>
      <c r="G68" s="187" t="e">
        <f>_xll.qlRateHelperEarliestDate($D68)</f>
        <v>#VALUE!</v>
      </c>
      <c r="H68" s="188" t="e">
        <f>_xll.qlRateHelperLatestDate($D68)</f>
        <v>#VALUE!</v>
      </c>
      <c r="I68" s="173" t="e">
        <v>#N/A</v>
      </c>
    </row>
    <row r="69" spans="4:9" x14ac:dyDescent="0.2">
      <c r="D69" s="176" t="e">
        <v>#N/A</v>
      </c>
      <c r="E69" s="177" t="e">
        <f>_xll.qlRateHelperRate($D69)</f>
        <v>#VALUE!</v>
      </c>
      <c r="F69" s="177" t="str">
        <f>IF(ISERROR(_xll.qlSwapRateHelperSpread($D69)),IF(ISERROR(_xll.qlFuturesRateHelperConvexityAdjustment($D69)),"--",_xll.qlFuturesRateHelperConvexityAdjustment($D69)),_xll.qlSwapRateHelperSpread($D69))</f>
        <v>--</v>
      </c>
      <c r="G69" s="187" t="e">
        <f>_xll.qlRateHelperEarliestDate($D69)</f>
        <v>#VALUE!</v>
      </c>
      <c r="H69" s="188" t="e">
        <f>_xll.qlRateHelperLatestDate($D69)</f>
        <v>#VALUE!</v>
      </c>
      <c r="I69" s="173" t="e">
        <v>#N/A</v>
      </c>
    </row>
    <row r="70" spans="4:9" x14ac:dyDescent="0.2">
      <c r="D70" s="176" t="e">
        <v>#N/A</v>
      </c>
      <c r="E70" s="177" t="e">
        <f>_xll.qlRateHelperRate($D70)</f>
        <v>#VALUE!</v>
      </c>
      <c r="F70" s="177" t="str">
        <f>IF(ISERROR(_xll.qlSwapRateHelperSpread($D70)),IF(ISERROR(_xll.qlFuturesRateHelperConvexityAdjustment($D70)),"--",_xll.qlFuturesRateHelperConvexityAdjustment($D70)),_xll.qlSwapRateHelperSpread($D70))</f>
        <v>--</v>
      </c>
      <c r="G70" s="187" t="e">
        <f>_xll.qlRateHelperEarliestDate($D70)</f>
        <v>#VALUE!</v>
      </c>
      <c r="H70" s="188" t="e">
        <f>_xll.qlRateHelperLatestDate($D70)</f>
        <v>#VALUE!</v>
      </c>
      <c r="I70" s="173" t="e">
        <v>#N/A</v>
      </c>
    </row>
    <row r="71" spans="4:9" x14ac:dyDescent="0.2">
      <c r="D71" s="176" t="e">
        <v>#N/A</v>
      </c>
      <c r="E71" s="177" t="e">
        <f>_xll.qlRateHelperRate($D71)</f>
        <v>#VALUE!</v>
      </c>
      <c r="F71" s="177" t="str">
        <f>IF(ISERROR(_xll.qlSwapRateHelperSpread($D71)),IF(ISERROR(_xll.qlFuturesRateHelperConvexityAdjustment($D71)),"--",_xll.qlFuturesRateHelperConvexityAdjustment($D71)),_xll.qlSwapRateHelperSpread($D71))</f>
        <v>--</v>
      </c>
      <c r="G71" s="187" t="e">
        <f>_xll.qlRateHelperEarliestDate($D71)</f>
        <v>#VALUE!</v>
      </c>
      <c r="H71" s="188" t="e">
        <f>_xll.qlRateHelperLatestDate($D71)</f>
        <v>#VALUE!</v>
      </c>
      <c r="I71" s="173" t="e">
        <v>#N/A</v>
      </c>
    </row>
    <row r="72" spans="4:9" x14ac:dyDescent="0.2">
      <c r="D72" s="176" t="e">
        <v>#N/A</v>
      </c>
      <c r="E72" s="177" t="e">
        <f>_xll.qlRateHelperRate($D72)</f>
        <v>#VALUE!</v>
      </c>
      <c r="F72" s="177" t="str">
        <f>IF(ISERROR(_xll.qlSwapRateHelperSpread($D72)),IF(ISERROR(_xll.qlFuturesRateHelperConvexityAdjustment($D72)),"--",_xll.qlFuturesRateHelperConvexityAdjustment($D72)),_xll.qlSwapRateHelperSpread($D72))</f>
        <v>--</v>
      </c>
      <c r="G72" s="187" t="e">
        <f>_xll.qlRateHelperEarliestDate($D72)</f>
        <v>#VALUE!</v>
      </c>
      <c r="H72" s="188" t="e">
        <f>_xll.qlRateHelperLatestDate($D72)</f>
        <v>#VALUE!</v>
      </c>
      <c r="I72" s="173" t="e">
        <v>#N/A</v>
      </c>
    </row>
    <row r="73" spans="4:9" x14ac:dyDescent="0.2">
      <c r="D73" s="176" t="e">
        <v>#N/A</v>
      </c>
      <c r="E73" s="177" t="e">
        <f>_xll.qlRateHelperRate($D73)</f>
        <v>#VALUE!</v>
      </c>
      <c r="F73" s="177" t="str">
        <f>IF(ISERROR(_xll.qlSwapRateHelperSpread($D73)),IF(ISERROR(_xll.qlFuturesRateHelperConvexityAdjustment($D73)),"--",_xll.qlFuturesRateHelperConvexityAdjustment($D73)),_xll.qlSwapRateHelperSpread($D73))</f>
        <v>--</v>
      </c>
      <c r="G73" s="187" t="e">
        <f>_xll.qlRateHelperEarliestDate($D73)</f>
        <v>#VALUE!</v>
      </c>
      <c r="H73" s="188" t="e">
        <f>_xll.qlRateHelperLatestDate($D73)</f>
        <v>#VALUE!</v>
      </c>
      <c r="I73" s="173" t="e">
        <v>#N/A</v>
      </c>
    </row>
    <row r="74" spans="4:9" x14ac:dyDescent="0.2">
      <c r="D74" s="176" t="e">
        <v>#N/A</v>
      </c>
      <c r="E74" s="177" t="e">
        <f>_xll.qlRateHelperRate($D74)</f>
        <v>#VALUE!</v>
      </c>
      <c r="F74" s="177" t="str">
        <f>IF(ISERROR(_xll.qlSwapRateHelperSpread($D74)),IF(ISERROR(_xll.qlFuturesRateHelperConvexityAdjustment($D74)),"--",_xll.qlFuturesRateHelperConvexityAdjustment($D74)),_xll.qlSwapRateHelperSpread($D74))</f>
        <v>--</v>
      </c>
      <c r="G74" s="187" t="e">
        <f>_xll.qlRateHelperEarliestDate($D74)</f>
        <v>#VALUE!</v>
      </c>
      <c r="H74" s="188" t="e">
        <f>_xll.qlRateHelperLatestDate($D74)</f>
        <v>#VALUE!</v>
      </c>
      <c r="I74" s="173" t="e">
        <v>#N/A</v>
      </c>
    </row>
    <row r="75" spans="4:9" x14ac:dyDescent="0.2">
      <c r="D75" s="176" t="e">
        <v>#N/A</v>
      </c>
      <c r="E75" s="177" t="e">
        <f>_xll.qlRateHelperRate($D75)</f>
        <v>#VALUE!</v>
      </c>
      <c r="F75" s="177" t="str">
        <f>IF(ISERROR(_xll.qlSwapRateHelperSpread($D75)),IF(ISERROR(_xll.qlFuturesRateHelperConvexityAdjustment($D75)),"--",_xll.qlFuturesRateHelperConvexityAdjustment($D75)),_xll.qlSwapRateHelperSpread($D75))</f>
        <v>--</v>
      </c>
      <c r="G75" s="187" t="e">
        <f>_xll.qlRateHelperEarliestDate($D75)</f>
        <v>#VALUE!</v>
      </c>
      <c r="H75" s="188" t="e">
        <f>_xll.qlRateHelperLatestDate($D75)</f>
        <v>#VALUE!</v>
      </c>
      <c r="I75" s="173" t="e">
        <v>#N/A</v>
      </c>
    </row>
    <row r="76" spans="4:9" x14ac:dyDescent="0.2">
      <c r="D76" s="176" t="e">
        <v>#N/A</v>
      </c>
      <c r="E76" s="177" t="e">
        <f>_xll.qlRateHelperRate($D76)</f>
        <v>#VALUE!</v>
      </c>
      <c r="F76" s="177" t="str">
        <f>IF(ISERROR(_xll.qlSwapRateHelperSpread($D76)),IF(ISERROR(_xll.qlFuturesRateHelperConvexityAdjustment($D76)),"--",_xll.qlFuturesRateHelperConvexityAdjustment($D76)),_xll.qlSwapRateHelperSpread($D76))</f>
        <v>--</v>
      </c>
      <c r="G76" s="187" t="e">
        <f>_xll.qlRateHelperEarliestDate($D76)</f>
        <v>#VALUE!</v>
      </c>
      <c r="H76" s="188" t="e">
        <f>_xll.qlRateHelperLatestDate($D76)</f>
        <v>#VALUE!</v>
      </c>
      <c r="I76" s="173" t="e">
        <v>#N/A</v>
      </c>
    </row>
    <row r="77" spans="4:9" x14ac:dyDescent="0.2">
      <c r="D77" s="176" t="e">
        <v>#N/A</v>
      </c>
      <c r="E77" s="177" t="e">
        <f>_xll.qlRateHelperRate($D77)</f>
        <v>#VALUE!</v>
      </c>
      <c r="F77" s="177" t="str">
        <f>IF(ISERROR(_xll.qlSwapRateHelperSpread($D77)),IF(ISERROR(_xll.qlFuturesRateHelperConvexityAdjustment($D77)),"--",_xll.qlFuturesRateHelperConvexityAdjustment($D77)),_xll.qlSwapRateHelperSpread($D77))</f>
        <v>--</v>
      </c>
      <c r="G77" s="187" t="e">
        <f>_xll.qlRateHelperEarliestDate($D77)</f>
        <v>#VALUE!</v>
      </c>
      <c r="H77" s="188" t="e">
        <f>_xll.qlRateHelperLatestDate($D77)</f>
        <v>#VALUE!</v>
      </c>
      <c r="I77" s="173" t="e">
        <v>#N/A</v>
      </c>
    </row>
    <row r="78" spans="4:9" x14ac:dyDescent="0.2">
      <c r="D78" s="176" t="e">
        <v>#N/A</v>
      </c>
      <c r="E78" s="177" t="e">
        <f>_xll.qlRateHelperRate($D78)</f>
        <v>#VALUE!</v>
      </c>
      <c r="F78" s="177" t="str">
        <f>IF(ISERROR(_xll.qlSwapRateHelperSpread($D78)),IF(ISERROR(_xll.qlFuturesRateHelperConvexityAdjustment($D78)),"--",_xll.qlFuturesRateHelperConvexityAdjustment($D78)),_xll.qlSwapRateHelperSpread($D78))</f>
        <v>--</v>
      </c>
      <c r="G78" s="187" t="e">
        <f>_xll.qlRateHelperEarliestDate($D78)</f>
        <v>#VALUE!</v>
      </c>
      <c r="H78" s="188" t="e">
        <f>_xll.qlRateHelperLatestDate($D78)</f>
        <v>#VALUE!</v>
      </c>
      <c r="I78" s="173" t="e">
        <v>#N/A</v>
      </c>
    </row>
    <row r="79" spans="4:9" x14ac:dyDescent="0.2">
      <c r="D79" s="176" t="e">
        <v>#N/A</v>
      </c>
      <c r="E79" s="177" t="e">
        <f>_xll.qlRateHelperRate($D79)</f>
        <v>#VALUE!</v>
      </c>
      <c r="F79" s="177" t="str">
        <f>IF(ISERROR(_xll.qlSwapRateHelperSpread($D79)),IF(ISERROR(_xll.qlFuturesRateHelperConvexityAdjustment($D79)),"--",_xll.qlFuturesRateHelperConvexityAdjustment($D79)),_xll.qlSwapRateHelperSpread($D79))</f>
        <v>--</v>
      </c>
      <c r="G79" s="187" t="e">
        <f>_xll.qlRateHelperEarliestDate($D79)</f>
        <v>#VALUE!</v>
      </c>
      <c r="H79" s="188" t="e">
        <f>_xll.qlRateHelperLatestDate($D79)</f>
        <v>#VALUE!</v>
      </c>
      <c r="I79" s="173" t="e">
        <v>#N/A</v>
      </c>
    </row>
    <row r="80" spans="4:9" x14ac:dyDescent="0.2">
      <c r="D80" s="176" t="e">
        <v>#N/A</v>
      </c>
      <c r="E80" s="177" t="e">
        <f>_xll.qlRateHelperRate($D80)</f>
        <v>#VALUE!</v>
      </c>
      <c r="F80" s="177" t="str">
        <f>IF(ISERROR(_xll.qlSwapRateHelperSpread($D80)),IF(ISERROR(_xll.qlFuturesRateHelperConvexityAdjustment($D80)),"--",_xll.qlFuturesRateHelperConvexityAdjustment($D80)),_xll.qlSwapRateHelperSpread($D80))</f>
        <v>--</v>
      </c>
      <c r="G80" s="187" t="e">
        <f>_xll.qlRateHelperEarliestDate($D80)</f>
        <v>#VALUE!</v>
      </c>
      <c r="H80" s="188" t="e">
        <f>_xll.qlRateHelperLatestDate($D80)</f>
        <v>#VALUE!</v>
      </c>
      <c r="I80" s="173" t="e">
        <v>#N/A</v>
      </c>
    </row>
    <row r="81" spans="4:9" x14ac:dyDescent="0.2">
      <c r="D81" s="176" t="e">
        <v>#N/A</v>
      </c>
      <c r="E81" s="177" t="e">
        <f>_xll.qlRateHelperRate($D81)</f>
        <v>#VALUE!</v>
      </c>
      <c r="F81" s="177" t="str">
        <f>IF(ISERROR(_xll.qlSwapRateHelperSpread($D81)),IF(ISERROR(_xll.qlFuturesRateHelperConvexityAdjustment($D81)),"--",_xll.qlFuturesRateHelperConvexityAdjustment($D81)),_xll.qlSwapRateHelperSpread($D81))</f>
        <v>--</v>
      </c>
      <c r="G81" s="187" t="e">
        <f>_xll.qlRateHelperEarliestDate($D81)</f>
        <v>#VALUE!</v>
      </c>
      <c r="H81" s="188" t="e">
        <f>_xll.qlRateHelperLatestDate($D81)</f>
        <v>#VALUE!</v>
      </c>
      <c r="I81" s="173" t="e">
        <v>#N/A</v>
      </c>
    </row>
    <row r="82" spans="4:9" x14ac:dyDescent="0.2">
      <c r="D82" s="176" t="e">
        <v>#N/A</v>
      </c>
      <c r="E82" s="177" t="e">
        <f>_xll.qlRateHelperRate($D82)</f>
        <v>#VALUE!</v>
      </c>
      <c r="F82" s="177" t="str">
        <f>IF(ISERROR(_xll.qlSwapRateHelperSpread($D82)),IF(ISERROR(_xll.qlFuturesRateHelperConvexityAdjustment($D82)),"--",_xll.qlFuturesRateHelperConvexityAdjustment($D82)),_xll.qlSwapRateHelperSpread($D82))</f>
        <v>--</v>
      </c>
      <c r="G82" s="187" t="e">
        <f>_xll.qlRateHelperEarliestDate($D82)</f>
        <v>#VALUE!</v>
      </c>
      <c r="H82" s="188" t="e">
        <f>_xll.qlRateHelperLatestDate($D82)</f>
        <v>#VALUE!</v>
      </c>
      <c r="I82" s="173" t="e">
        <v>#N/A</v>
      </c>
    </row>
    <row r="83" spans="4:9" x14ac:dyDescent="0.2">
      <c r="D83" s="176" t="e">
        <v>#N/A</v>
      </c>
      <c r="E83" s="177" t="e">
        <f>_xll.qlRateHelperRate($D83)</f>
        <v>#VALUE!</v>
      </c>
      <c r="F83" s="177" t="str">
        <f>IF(ISERROR(_xll.qlSwapRateHelperSpread($D83)),IF(ISERROR(_xll.qlFuturesRateHelperConvexityAdjustment($D83)),"--",_xll.qlFuturesRateHelperConvexityAdjustment($D83)),_xll.qlSwapRateHelperSpread($D83))</f>
        <v>--</v>
      </c>
      <c r="G83" s="187" t="e">
        <f>_xll.qlRateHelperEarliestDate($D83)</f>
        <v>#VALUE!</v>
      </c>
      <c r="H83" s="188" t="e">
        <f>_xll.qlRateHelperLatestDate($D83)</f>
        <v>#VALUE!</v>
      </c>
      <c r="I83" s="173" t="e">
        <v>#N/A</v>
      </c>
    </row>
    <row r="84" spans="4:9" x14ac:dyDescent="0.2">
      <c r="D84" s="176" t="e">
        <v>#N/A</v>
      </c>
      <c r="E84" s="177" t="e">
        <f>_xll.qlRateHelperRate($D84)</f>
        <v>#VALUE!</v>
      </c>
      <c r="F84" s="177" t="str">
        <f>IF(ISERROR(_xll.qlSwapRateHelperSpread($D84)),IF(ISERROR(_xll.qlFuturesRateHelperConvexityAdjustment($D84)),"--",_xll.qlFuturesRateHelperConvexityAdjustment($D84)),_xll.qlSwapRateHelperSpread($D84))</f>
        <v>--</v>
      </c>
      <c r="G84" s="187" t="e">
        <f>_xll.qlRateHelperEarliestDate($D84)</f>
        <v>#VALUE!</v>
      </c>
      <c r="H84" s="188" t="e">
        <f>_xll.qlRateHelperLatestDate($D84)</f>
        <v>#VALUE!</v>
      </c>
      <c r="I84" s="173" t="e">
        <v>#N/A</v>
      </c>
    </row>
    <row r="85" spans="4:9" x14ac:dyDescent="0.2">
      <c r="D85" s="176" t="e">
        <v>#N/A</v>
      </c>
      <c r="E85" s="177" t="e">
        <f>_xll.qlRateHelperRate($D85)</f>
        <v>#VALUE!</v>
      </c>
      <c r="F85" s="177" t="str">
        <f>IF(ISERROR(_xll.qlSwapRateHelperSpread($D85)),IF(ISERROR(_xll.qlFuturesRateHelperConvexityAdjustment($D85)),"--",_xll.qlFuturesRateHelperConvexityAdjustment($D85)),_xll.qlSwapRateHelperSpread($D85))</f>
        <v>--</v>
      </c>
      <c r="G85" s="187" t="e">
        <f>_xll.qlRateHelperEarliestDate($D85)</f>
        <v>#VALUE!</v>
      </c>
      <c r="H85" s="188" t="e">
        <f>_xll.qlRateHelperLatestDate($D85)</f>
        <v>#VALUE!</v>
      </c>
      <c r="I85" s="173" t="e">
        <v>#N/A</v>
      </c>
    </row>
    <row r="86" spans="4:9" x14ac:dyDescent="0.2">
      <c r="D86" s="176" t="e">
        <v>#N/A</v>
      </c>
      <c r="E86" s="177" t="e">
        <f>_xll.qlRateHelperRate($D86)</f>
        <v>#VALUE!</v>
      </c>
      <c r="F86" s="177" t="str">
        <f>IF(ISERROR(_xll.qlSwapRateHelperSpread($D86)),IF(ISERROR(_xll.qlFuturesRateHelperConvexityAdjustment($D86)),"--",_xll.qlFuturesRateHelperConvexityAdjustment($D86)),_xll.qlSwapRateHelperSpread($D86))</f>
        <v>--</v>
      </c>
      <c r="G86" s="187" t="e">
        <f>_xll.qlRateHelperEarliestDate($D86)</f>
        <v>#VALUE!</v>
      </c>
      <c r="H86" s="188" t="e">
        <f>_xll.qlRateHelperLatestDate($D86)</f>
        <v>#VALUE!</v>
      </c>
      <c r="I86" s="173" t="e">
        <v>#N/A</v>
      </c>
    </row>
    <row r="87" spans="4:9" x14ac:dyDescent="0.2">
      <c r="D87" s="176" t="e">
        <v>#N/A</v>
      </c>
      <c r="E87" s="177" t="e">
        <f>_xll.qlRateHelperRate($D87)</f>
        <v>#VALUE!</v>
      </c>
      <c r="F87" s="177" t="str">
        <f>IF(ISERROR(_xll.qlSwapRateHelperSpread($D87)),IF(ISERROR(_xll.qlFuturesRateHelperConvexityAdjustment($D87)),"--",_xll.qlFuturesRateHelperConvexityAdjustment($D87)),_xll.qlSwapRateHelperSpread($D87))</f>
        <v>--</v>
      </c>
      <c r="G87" s="187" t="e">
        <f>_xll.qlRateHelperEarliestDate($D87)</f>
        <v>#VALUE!</v>
      </c>
      <c r="H87" s="188" t="e">
        <f>_xll.qlRateHelperLatestDate($D87)</f>
        <v>#VALUE!</v>
      </c>
      <c r="I87" s="173" t="e">
        <v>#N/A</v>
      </c>
    </row>
    <row r="88" spans="4:9" x14ac:dyDescent="0.2">
      <c r="D88" s="176" t="e">
        <v>#N/A</v>
      </c>
      <c r="E88" s="177" t="e">
        <f>_xll.qlRateHelperRate($D88)</f>
        <v>#VALUE!</v>
      </c>
      <c r="F88" s="177" t="str">
        <f>IF(ISERROR(_xll.qlSwapRateHelperSpread($D88)),IF(ISERROR(_xll.qlFuturesRateHelperConvexityAdjustment($D88)),"--",_xll.qlFuturesRateHelperConvexityAdjustment($D88)),_xll.qlSwapRateHelperSpread($D88))</f>
        <v>--</v>
      </c>
      <c r="G88" s="187" t="e">
        <f>_xll.qlRateHelperEarliestDate($D88)</f>
        <v>#VALUE!</v>
      </c>
      <c r="H88" s="188" t="e">
        <f>_xll.qlRateHelperLatestDate($D88)</f>
        <v>#VALUE!</v>
      </c>
      <c r="I88" s="173" t="e">
        <v>#N/A</v>
      </c>
    </row>
    <row r="89" spans="4:9" x14ac:dyDescent="0.2">
      <c r="D89" s="176" t="e">
        <v>#N/A</v>
      </c>
      <c r="E89" s="177" t="e">
        <f>_xll.qlRateHelperRate($D89)</f>
        <v>#VALUE!</v>
      </c>
      <c r="F89" s="177" t="str">
        <f>IF(ISERROR(_xll.qlSwapRateHelperSpread($D89)),IF(ISERROR(_xll.qlFuturesRateHelperConvexityAdjustment($D89)),"--",_xll.qlFuturesRateHelperConvexityAdjustment($D89)),_xll.qlSwapRateHelperSpread($D89))</f>
        <v>--</v>
      </c>
      <c r="G89" s="187" t="e">
        <f>_xll.qlRateHelperEarliestDate($D89)</f>
        <v>#VALUE!</v>
      </c>
      <c r="H89" s="188" t="e">
        <f>_xll.qlRateHelperLatestDate($D89)</f>
        <v>#VALUE!</v>
      </c>
      <c r="I89" s="173" t="e">
        <v>#N/A</v>
      </c>
    </row>
    <row r="90" spans="4:9" x14ac:dyDescent="0.2">
      <c r="D90" s="176" t="e">
        <v>#N/A</v>
      </c>
      <c r="E90" s="177" t="e">
        <f>_xll.qlRateHelperRate($D90)</f>
        <v>#VALUE!</v>
      </c>
      <c r="F90" s="177" t="str">
        <f>IF(ISERROR(_xll.qlSwapRateHelperSpread($D90)),IF(ISERROR(_xll.qlFuturesRateHelperConvexityAdjustment($D90)),"--",_xll.qlFuturesRateHelperConvexityAdjustment($D90)),_xll.qlSwapRateHelperSpread($D90))</f>
        <v>--</v>
      </c>
      <c r="G90" s="187" t="e">
        <f>_xll.qlRateHelperEarliestDate($D90)</f>
        <v>#VALUE!</v>
      </c>
      <c r="H90" s="188" t="e">
        <f>_xll.qlRateHelperLatestDate($D90)</f>
        <v>#VALUE!</v>
      </c>
      <c r="I90" s="173" t="e">
        <v>#N/A</v>
      </c>
    </row>
    <row r="91" spans="4:9" x14ac:dyDescent="0.2">
      <c r="D91" s="176" t="e">
        <v>#N/A</v>
      </c>
      <c r="E91" s="177" t="e">
        <f>_xll.qlRateHelperRate($D91)</f>
        <v>#VALUE!</v>
      </c>
      <c r="F91" s="177" t="str">
        <f>IF(ISERROR(_xll.qlSwapRateHelperSpread($D91)),IF(ISERROR(_xll.qlFuturesRateHelperConvexityAdjustment($D91)),"--",_xll.qlFuturesRateHelperConvexityAdjustment($D91)),_xll.qlSwapRateHelperSpread($D91))</f>
        <v>--</v>
      </c>
      <c r="G91" s="187" t="e">
        <f>_xll.qlRateHelperEarliestDate($D91)</f>
        <v>#VALUE!</v>
      </c>
      <c r="H91" s="188" t="e">
        <f>_xll.qlRateHelperLatestDate($D91)</f>
        <v>#VALUE!</v>
      </c>
      <c r="I91" s="173" t="e">
        <v>#N/A</v>
      </c>
    </row>
    <row r="92" spans="4:9" x14ac:dyDescent="0.2">
      <c r="D92" s="176" t="e">
        <v>#N/A</v>
      </c>
      <c r="E92" s="177" t="e">
        <f>_xll.qlRateHelperRate($D92)</f>
        <v>#VALUE!</v>
      </c>
      <c r="F92" s="177" t="str">
        <f>IF(ISERROR(_xll.qlSwapRateHelperSpread($D92)),IF(ISERROR(_xll.qlFuturesRateHelperConvexityAdjustment($D92)),"--",_xll.qlFuturesRateHelperConvexityAdjustment($D92)),_xll.qlSwapRateHelperSpread($D92))</f>
        <v>--</v>
      </c>
      <c r="G92" s="187" t="e">
        <f>_xll.qlRateHelperEarliestDate($D92)</f>
        <v>#VALUE!</v>
      </c>
      <c r="H92" s="188" t="e">
        <f>_xll.qlRateHelperLatestDate($D92)</f>
        <v>#VALUE!</v>
      </c>
      <c r="I92" s="173" t="e">
        <v>#N/A</v>
      </c>
    </row>
    <row r="93" spans="4:9" x14ac:dyDescent="0.2">
      <c r="D93" s="176" t="e">
        <v>#N/A</v>
      </c>
      <c r="E93" s="177" t="e">
        <f>_xll.qlRateHelperRate($D93)</f>
        <v>#VALUE!</v>
      </c>
      <c r="F93" s="177" t="str">
        <f>IF(ISERROR(_xll.qlSwapRateHelperSpread($D93)),IF(ISERROR(_xll.qlFuturesRateHelperConvexityAdjustment($D93)),"--",_xll.qlFuturesRateHelperConvexityAdjustment($D93)),_xll.qlSwapRateHelperSpread($D93))</f>
        <v>--</v>
      </c>
      <c r="G93" s="187" t="e">
        <f>_xll.qlRateHelperEarliestDate($D93)</f>
        <v>#VALUE!</v>
      </c>
      <c r="H93" s="188" t="e">
        <f>_xll.qlRateHelperLatestDate($D93)</f>
        <v>#VALUE!</v>
      </c>
      <c r="I93" s="173" t="e">
        <v>#N/A</v>
      </c>
    </row>
    <row r="94" spans="4:9" x14ac:dyDescent="0.2">
      <c r="D94" s="176" t="e">
        <v>#N/A</v>
      </c>
      <c r="E94" s="177" t="e">
        <f>_xll.qlRateHelperRate($D94)</f>
        <v>#VALUE!</v>
      </c>
      <c r="F94" s="177" t="str">
        <f>IF(ISERROR(_xll.qlSwapRateHelperSpread($D94)),IF(ISERROR(_xll.qlFuturesRateHelperConvexityAdjustment($D94)),"--",_xll.qlFuturesRateHelperConvexityAdjustment($D94)),_xll.qlSwapRateHelperSpread($D94))</f>
        <v>--</v>
      </c>
      <c r="G94" s="187" t="e">
        <f>_xll.qlRateHelperEarliestDate($D94)</f>
        <v>#VALUE!</v>
      </c>
      <c r="H94" s="188" t="e">
        <f>_xll.qlRateHelperLatestDate($D94)</f>
        <v>#VALUE!</v>
      </c>
      <c r="I94" s="173" t="e">
        <v>#N/A</v>
      </c>
    </row>
    <row r="95" spans="4:9" x14ac:dyDescent="0.2">
      <c r="D95" s="176" t="e">
        <v>#N/A</v>
      </c>
      <c r="E95" s="177" t="e">
        <f>_xll.qlRateHelperRate($D95)</f>
        <v>#VALUE!</v>
      </c>
      <c r="F95" s="177" t="str">
        <f>IF(ISERROR(_xll.qlSwapRateHelperSpread($D95)),IF(ISERROR(_xll.qlFuturesRateHelperConvexityAdjustment($D95)),"--",_xll.qlFuturesRateHelperConvexityAdjustment($D95)),_xll.qlSwapRateHelperSpread($D95))</f>
        <v>--</v>
      </c>
      <c r="G95" s="187" t="e">
        <f>_xll.qlRateHelperEarliestDate($D95)</f>
        <v>#VALUE!</v>
      </c>
      <c r="H95" s="188" t="e">
        <f>_xll.qlRateHelperLatestDate($D95)</f>
        <v>#VALUE!</v>
      </c>
      <c r="I95" s="173" t="e">
        <v>#N/A</v>
      </c>
    </row>
    <row r="96" spans="4:9" x14ac:dyDescent="0.2">
      <c r="D96" s="176" t="e">
        <v>#N/A</v>
      </c>
      <c r="E96" s="177" t="e">
        <f>_xll.qlRateHelperRate($D96)</f>
        <v>#VALUE!</v>
      </c>
      <c r="F96" s="177" t="str">
        <f>IF(ISERROR(_xll.qlSwapRateHelperSpread($D96)),IF(ISERROR(_xll.qlFuturesRateHelperConvexityAdjustment($D96)),"--",_xll.qlFuturesRateHelperConvexityAdjustment($D96)),_xll.qlSwapRateHelperSpread($D96))</f>
        <v>--</v>
      </c>
      <c r="G96" s="187" t="e">
        <f>_xll.qlRateHelperEarliestDate($D96)</f>
        <v>#VALUE!</v>
      </c>
      <c r="H96" s="188" t="e">
        <f>_xll.qlRateHelperLatestDate($D96)</f>
        <v>#VALUE!</v>
      </c>
      <c r="I96" s="173" t="e">
        <v>#N/A</v>
      </c>
    </row>
    <row r="97" spans="4:9" x14ac:dyDescent="0.2">
      <c r="D97" s="176" t="e">
        <v>#N/A</v>
      </c>
      <c r="E97" s="177" t="e">
        <f>_xll.qlRateHelperRate($D97)</f>
        <v>#VALUE!</v>
      </c>
      <c r="F97" s="177" t="str">
        <f>IF(ISERROR(_xll.qlSwapRateHelperSpread($D97)),IF(ISERROR(_xll.qlFuturesRateHelperConvexityAdjustment($D97)),"--",_xll.qlFuturesRateHelperConvexityAdjustment($D97)),_xll.qlSwapRateHelperSpread($D97))</f>
        <v>--</v>
      </c>
      <c r="G97" s="187" t="e">
        <f>_xll.qlRateHelperEarliestDate($D97)</f>
        <v>#VALUE!</v>
      </c>
      <c r="H97" s="188" t="e">
        <f>_xll.qlRateHelperLatestDate($D97)</f>
        <v>#VALUE!</v>
      </c>
      <c r="I97" s="173" t="e">
        <v>#N/A</v>
      </c>
    </row>
    <row r="98" spans="4:9" x14ac:dyDescent="0.2">
      <c r="D98" s="176" t="e">
        <v>#N/A</v>
      </c>
      <c r="E98" s="177" t="e">
        <f>_xll.qlRateHelperRate($D98)</f>
        <v>#VALUE!</v>
      </c>
      <c r="F98" s="177" t="str">
        <f>IF(ISERROR(_xll.qlSwapRateHelperSpread($D98)),IF(ISERROR(_xll.qlFuturesRateHelperConvexityAdjustment($D98)),"--",_xll.qlFuturesRateHelperConvexityAdjustment($D98)),_xll.qlSwapRateHelperSpread($D98))</f>
        <v>--</v>
      </c>
      <c r="G98" s="187" t="e">
        <f>_xll.qlRateHelperEarliestDate($D98)</f>
        <v>#VALUE!</v>
      </c>
      <c r="H98" s="188" t="e">
        <f>_xll.qlRateHelperLatestDate($D98)</f>
        <v>#VALUE!</v>
      </c>
      <c r="I98" s="173" t="e">
        <v>#N/A</v>
      </c>
    </row>
    <row r="99" spans="4:9" x14ac:dyDescent="0.2">
      <c r="D99" s="176" t="e">
        <v>#N/A</v>
      </c>
      <c r="E99" s="177" t="e">
        <f>_xll.qlRateHelperRate($D99)</f>
        <v>#VALUE!</v>
      </c>
      <c r="F99" s="177" t="str">
        <f>IF(ISERROR(_xll.qlSwapRateHelperSpread($D99)),IF(ISERROR(_xll.qlFuturesRateHelperConvexityAdjustment($D99)),"--",_xll.qlFuturesRateHelperConvexityAdjustment($D99)),_xll.qlSwapRateHelperSpread($D99))</f>
        <v>--</v>
      </c>
      <c r="G99" s="187" t="e">
        <f>_xll.qlRateHelperEarliestDate($D99)</f>
        <v>#VALUE!</v>
      </c>
      <c r="H99" s="188" t="e">
        <f>_xll.qlRateHelperLatestDate($D99)</f>
        <v>#VALUE!</v>
      </c>
      <c r="I99" s="173" t="e">
        <v>#N/A</v>
      </c>
    </row>
    <row r="100" spans="4:9" x14ac:dyDescent="0.2">
      <c r="D100" s="176" t="e">
        <v>#N/A</v>
      </c>
      <c r="E100" s="177" t="e">
        <f>_xll.qlRateHelperRate($D100)</f>
        <v>#VALUE!</v>
      </c>
      <c r="F100" s="177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87" t="e">
        <f>_xll.qlRateHelperEarliestDate($D100)</f>
        <v>#VALUE!</v>
      </c>
      <c r="H100" s="188" t="e">
        <f>_xll.qlRateHelperLatestDate($D100)</f>
        <v>#VALUE!</v>
      </c>
      <c r="I100" s="173" t="e">
        <v>#N/A</v>
      </c>
    </row>
    <row r="101" spans="4:9" x14ac:dyDescent="0.2">
      <c r="D101" s="176" t="e">
        <v>#N/A</v>
      </c>
      <c r="E101" s="177" t="e">
        <f>_xll.qlRateHelperRate($D101)</f>
        <v>#VALUE!</v>
      </c>
      <c r="F101" s="177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87" t="e">
        <f>_xll.qlRateHelperEarliestDate($D101)</f>
        <v>#VALUE!</v>
      </c>
      <c r="H101" s="188" t="e">
        <f>_xll.qlRateHelperLatestDate($D101)</f>
        <v>#VALUE!</v>
      </c>
      <c r="I101" s="173" t="e">
        <v>#N/A</v>
      </c>
    </row>
    <row r="102" spans="4:9" x14ac:dyDescent="0.2">
      <c r="D102" s="176" t="e">
        <v>#N/A</v>
      </c>
      <c r="E102" s="177" t="e">
        <f>_xll.qlRateHelperRate($D102)</f>
        <v>#VALUE!</v>
      </c>
      <c r="F102" s="177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87" t="e">
        <f>_xll.qlRateHelperEarliestDate($D102)</f>
        <v>#VALUE!</v>
      </c>
      <c r="H102" s="188" t="e">
        <f>_xll.qlRateHelperLatestDate($D102)</f>
        <v>#VALUE!</v>
      </c>
      <c r="I102" s="173" t="e">
        <v>#N/A</v>
      </c>
    </row>
    <row r="103" spans="4:9" x14ac:dyDescent="0.2">
      <c r="D103" s="176" t="e">
        <v>#N/A</v>
      </c>
      <c r="E103" s="177" t="e">
        <f>_xll.qlRateHelperRate($D103)</f>
        <v>#VALUE!</v>
      </c>
      <c r="F103" s="177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87" t="e">
        <f>_xll.qlRateHelperEarliestDate($D103)</f>
        <v>#VALUE!</v>
      </c>
      <c r="H103" s="188" t="e">
        <f>_xll.qlRateHelperLatestDate($D103)</f>
        <v>#VALUE!</v>
      </c>
      <c r="I103" s="173" t="e">
        <v>#N/A</v>
      </c>
    </row>
    <row r="104" spans="4:9" x14ac:dyDescent="0.2">
      <c r="D104" s="176" t="e">
        <v>#N/A</v>
      </c>
      <c r="E104" s="177" t="e">
        <f>_xll.qlRateHelperRate($D104)</f>
        <v>#VALUE!</v>
      </c>
      <c r="F104" s="177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87" t="e">
        <f>_xll.qlRateHelperEarliestDate($D104)</f>
        <v>#VALUE!</v>
      </c>
      <c r="H104" s="188" t="e">
        <f>_xll.qlRateHelperLatestDate($D104)</f>
        <v>#VALUE!</v>
      </c>
      <c r="I104" s="173" t="e">
        <v>#N/A</v>
      </c>
    </row>
    <row r="105" spans="4:9" x14ac:dyDescent="0.2">
      <c r="D105" s="176" t="e">
        <v>#N/A</v>
      </c>
      <c r="E105" s="177" t="e">
        <f>_xll.qlRateHelperRate($D105)</f>
        <v>#VALUE!</v>
      </c>
      <c r="F105" s="177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87" t="e">
        <f>_xll.qlRateHelperEarliestDate($D105)</f>
        <v>#VALUE!</v>
      </c>
      <c r="H105" s="188" t="e">
        <f>_xll.qlRateHelperLatestDate($D105)</f>
        <v>#VALUE!</v>
      </c>
      <c r="I105" s="173" t="e">
        <v>#N/A</v>
      </c>
    </row>
    <row r="106" spans="4:9" x14ac:dyDescent="0.2">
      <c r="D106" s="176" t="e">
        <v>#N/A</v>
      </c>
      <c r="E106" s="177" t="e">
        <f>_xll.qlRateHelperRate($D106)</f>
        <v>#VALUE!</v>
      </c>
      <c r="F106" s="177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87" t="e">
        <f>_xll.qlRateHelperEarliestDate($D106)</f>
        <v>#VALUE!</v>
      </c>
      <c r="H106" s="188" t="e">
        <f>_xll.qlRateHelperLatestDate($D106)</f>
        <v>#VALUE!</v>
      </c>
      <c r="I106" s="173" t="e">
        <v>#N/A</v>
      </c>
    </row>
    <row r="107" spans="4:9" x14ac:dyDescent="0.2">
      <c r="D107" s="176" t="e">
        <v>#N/A</v>
      </c>
      <c r="E107" s="177" t="e">
        <f>_xll.qlRateHelperRate($D107)</f>
        <v>#VALUE!</v>
      </c>
      <c r="F107" s="177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87" t="e">
        <f>_xll.qlRateHelperEarliestDate($D107)</f>
        <v>#VALUE!</v>
      </c>
      <c r="H107" s="188" t="e">
        <f>_xll.qlRateHelperLatestDate($D107)</f>
        <v>#VALUE!</v>
      </c>
      <c r="I107" s="173" t="e">
        <v>#N/A</v>
      </c>
    </row>
    <row r="108" spans="4:9" x14ac:dyDescent="0.2">
      <c r="D108" s="176" t="e">
        <v>#N/A</v>
      </c>
      <c r="E108" s="177" t="e">
        <f>_xll.qlRateHelperRate($D108)</f>
        <v>#VALUE!</v>
      </c>
      <c r="F108" s="177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87" t="e">
        <f>_xll.qlRateHelperEarliestDate($D108)</f>
        <v>#VALUE!</v>
      </c>
      <c r="H108" s="188" t="e">
        <f>_xll.qlRateHelperLatestDate($D108)</f>
        <v>#VALUE!</v>
      </c>
      <c r="I108" s="173" t="e">
        <v>#N/A</v>
      </c>
    </row>
    <row r="109" spans="4:9" x14ac:dyDescent="0.2">
      <c r="D109" s="176" t="e">
        <v>#N/A</v>
      </c>
      <c r="E109" s="177" t="e">
        <f>_xll.qlRateHelperRate($D109)</f>
        <v>#VALUE!</v>
      </c>
      <c r="F109" s="177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87" t="e">
        <f>_xll.qlRateHelperEarliestDate($D109)</f>
        <v>#VALUE!</v>
      </c>
      <c r="H109" s="188" t="e">
        <f>_xll.qlRateHelperLatestDate($D109)</f>
        <v>#VALUE!</v>
      </c>
      <c r="I109" s="173" t="e">
        <v>#N/A</v>
      </c>
    </row>
    <row r="110" spans="4:9" x14ac:dyDescent="0.2">
      <c r="D110" s="176" t="e">
        <v>#N/A</v>
      </c>
      <c r="E110" s="177" t="e">
        <f>_xll.qlRateHelperRate($D110)</f>
        <v>#VALUE!</v>
      </c>
      <c r="F110" s="177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87" t="e">
        <f>_xll.qlRateHelperEarliestDate($D110)</f>
        <v>#VALUE!</v>
      </c>
      <c r="H110" s="188" t="e">
        <f>_xll.qlRateHelperLatestDate($D110)</f>
        <v>#VALUE!</v>
      </c>
      <c r="I110" s="173" t="e">
        <v>#N/A</v>
      </c>
    </row>
    <row r="111" spans="4:9" x14ac:dyDescent="0.2">
      <c r="D111" s="176" t="e">
        <v>#N/A</v>
      </c>
      <c r="E111" s="177" t="e">
        <f>_xll.qlRateHelperRate($D111)</f>
        <v>#VALUE!</v>
      </c>
      <c r="F111" s="177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87" t="e">
        <f>_xll.qlRateHelperEarliestDate($D111)</f>
        <v>#VALUE!</v>
      </c>
      <c r="H111" s="188" t="e">
        <f>_xll.qlRateHelperLatestDate($D111)</f>
        <v>#VALUE!</v>
      </c>
      <c r="I111" s="173" t="e">
        <v>#N/A</v>
      </c>
    </row>
    <row r="112" spans="4:9" x14ac:dyDescent="0.2">
      <c r="D112" s="176" t="e">
        <v>#N/A</v>
      </c>
      <c r="E112" s="177" t="e">
        <f>_xll.qlRateHelperRate($D112)</f>
        <v>#VALUE!</v>
      </c>
      <c r="F112" s="177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87" t="e">
        <f>_xll.qlRateHelperEarliestDate($D112)</f>
        <v>#VALUE!</v>
      </c>
      <c r="H112" s="188" t="e">
        <f>_xll.qlRateHelperLatestDate($D112)</f>
        <v>#VALUE!</v>
      </c>
      <c r="I112" s="173" t="e">
        <v>#N/A</v>
      </c>
    </row>
    <row r="113" spans="4:9" x14ac:dyDescent="0.2">
      <c r="D113" s="176" t="e">
        <v>#N/A</v>
      </c>
      <c r="E113" s="177" t="e">
        <f>_xll.qlRateHelperRate($D113)</f>
        <v>#VALUE!</v>
      </c>
      <c r="F113" s="177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87" t="e">
        <f>_xll.qlRateHelperEarliestDate($D113)</f>
        <v>#VALUE!</v>
      </c>
      <c r="H113" s="188" t="e">
        <f>_xll.qlRateHelperLatestDate($D113)</f>
        <v>#VALUE!</v>
      </c>
      <c r="I113" s="173" t="e">
        <v>#N/A</v>
      </c>
    </row>
    <row r="114" spans="4:9" x14ac:dyDescent="0.2">
      <c r="D114" s="176" t="e">
        <v>#N/A</v>
      </c>
      <c r="E114" s="177" t="e">
        <f>_xll.qlRateHelperRate($D114)</f>
        <v>#VALUE!</v>
      </c>
      <c r="F114" s="177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87" t="e">
        <f>_xll.qlRateHelperEarliestDate($D114)</f>
        <v>#VALUE!</v>
      </c>
      <c r="H114" s="188" t="e">
        <f>_xll.qlRateHelperLatestDate($D114)</f>
        <v>#VALUE!</v>
      </c>
      <c r="I114" s="173" t="e">
        <v>#N/A</v>
      </c>
    </row>
    <row r="115" spans="4:9" x14ac:dyDescent="0.2">
      <c r="D115" s="176" t="e">
        <v>#N/A</v>
      </c>
      <c r="E115" s="177" t="e">
        <f>_xll.qlRateHelperRate($D115)</f>
        <v>#VALUE!</v>
      </c>
      <c r="F115" s="177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87" t="e">
        <f>_xll.qlRateHelperEarliestDate($D115)</f>
        <v>#VALUE!</v>
      </c>
      <c r="H115" s="188" t="e">
        <f>_xll.qlRateHelperLatestDate($D115)</f>
        <v>#VALUE!</v>
      </c>
      <c r="I115" s="173" t="e">
        <v>#N/A</v>
      </c>
    </row>
    <row r="116" spans="4:9" x14ac:dyDescent="0.2">
      <c r="D116" s="176" t="e">
        <v>#N/A</v>
      </c>
      <c r="E116" s="177" t="e">
        <f>_xll.qlRateHelperRate($D116)</f>
        <v>#VALUE!</v>
      </c>
      <c r="F116" s="177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87" t="e">
        <f>_xll.qlRateHelperEarliestDate($D116)</f>
        <v>#VALUE!</v>
      </c>
      <c r="H116" s="188" t="e">
        <f>_xll.qlRateHelperLatestDate($D116)</f>
        <v>#VALUE!</v>
      </c>
      <c r="I116" s="173" t="e">
        <v>#N/A</v>
      </c>
    </row>
    <row r="117" spans="4:9" x14ac:dyDescent="0.2">
      <c r="D117" s="176" t="e">
        <v>#N/A</v>
      </c>
      <c r="E117" s="177" t="e">
        <f>_xll.qlRateHelperRate($D117)</f>
        <v>#VALUE!</v>
      </c>
      <c r="F117" s="177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87" t="e">
        <f>_xll.qlRateHelperEarliestDate($D117)</f>
        <v>#VALUE!</v>
      </c>
      <c r="H117" s="188" t="e">
        <f>_xll.qlRateHelperLatestDate($D117)</f>
        <v>#VALUE!</v>
      </c>
      <c r="I117" s="173" t="e">
        <v>#N/A</v>
      </c>
    </row>
    <row r="118" spans="4:9" x14ac:dyDescent="0.2">
      <c r="D118" s="176" t="e">
        <v>#N/A</v>
      </c>
      <c r="E118" s="177" t="e">
        <f>_xll.qlRateHelperRate($D118)</f>
        <v>#VALUE!</v>
      </c>
      <c r="F118" s="177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87" t="e">
        <f>_xll.qlRateHelperEarliestDate($D118)</f>
        <v>#VALUE!</v>
      </c>
      <c r="H118" s="188" t="e">
        <f>_xll.qlRateHelperLatestDate($D118)</f>
        <v>#VALUE!</v>
      </c>
      <c r="I118" s="173" t="e">
        <v>#N/A</v>
      </c>
    </row>
    <row r="119" spans="4:9" x14ac:dyDescent="0.2">
      <c r="D119" s="176" t="e">
        <v>#N/A</v>
      </c>
      <c r="E119" s="177" t="e">
        <f>_xll.qlRateHelperRate($D119)</f>
        <v>#VALUE!</v>
      </c>
      <c r="F119" s="177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87" t="e">
        <f>_xll.qlRateHelperEarliestDate($D119)</f>
        <v>#VALUE!</v>
      </c>
      <c r="H119" s="188" t="e">
        <f>_xll.qlRateHelperLatestDate($D119)</f>
        <v>#VALUE!</v>
      </c>
      <c r="I119" s="173" t="e">
        <v>#N/A</v>
      </c>
    </row>
    <row r="120" spans="4:9" x14ac:dyDescent="0.2">
      <c r="D120" s="176" t="e">
        <v>#N/A</v>
      </c>
      <c r="E120" s="177" t="e">
        <f>_xll.qlRateHelperRate($D120)</f>
        <v>#VALUE!</v>
      </c>
      <c r="F120" s="177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87" t="e">
        <f>_xll.qlRateHelperEarliestDate($D120)</f>
        <v>#VALUE!</v>
      </c>
      <c r="H120" s="188" t="e">
        <f>_xll.qlRateHelperLatestDate($D120)</f>
        <v>#VALUE!</v>
      </c>
      <c r="I120" s="173" t="e">
        <v>#N/A</v>
      </c>
    </row>
    <row r="121" spans="4:9" x14ac:dyDescent="0.2">
      <c r="D121" s="176" t="e">
        <v>#N/A</v>
      </c>
      <c r="E121" s="177" t="e">
        <f>_xll.qlRateHelperRate($D121)</f>
        <v>#VALUE!</v>
      </c>
      <c r="F121" s="177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87" t="e">
        <f>_xll.qlRateHelperEarliestDate($D121)</f>
        <v>#VALUE!</v>
      </c>
      <c r="H121" s="188" t="e">
        <f>_xll.qlRateHelperLatestDate($D121)</f>
        <v>#VALUE!</v>
      </c>
      <c r="I121" s="173" t="e">
        <v>#N/A</v>
      </c>
    </row>
    <row r="122" spans="4:9" x14ac:dyDescent="0.2">
      <c r="D122" s="176" t="e">
        <v>#N/A</v>
      </c>
      <c r="E122" s="177" t="e">
        <f>_xll.qlRateHelperRate($D122)</f>
        <v>#VALUE!</v>
      </c>
      <c r="F122" s="177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87" t="e">
        <f>_xll.qlRateHelperEarliestDate($D122)</f>
        <v>#VALUE!</v>
      </c>
      <c r="H122" s="188" t="e">
        <f>_xll.qlRateHelperLatestDate($D122)</f>
        <v>#VALUE!</v>
      </c>
      <c r="I122" s="173" t="e">
        <v>#N/A</v>
      </c>
    </row>
    <row r="123" spans="4:9" x14ac:dyDescent="0.2">
      <c r="D123" s="176" t="e">
        <v>#N/A</v>
      </c>
      <c r="E123" s="177" t="e">
        <f>_xll.qlRateHelperRate($D123)</f>
        <v>#VALUE!</v>
      </c>
      <c r="F123" s="177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87" t="e">
        <f>_xll.qlRateHelperEarliestDate($D123)</f>
        <v>#VALUE!</v>
      </c>
      <c r="H123" s="188" t="e">
        <f>_xll.qlRateHelperLatestDate($D123)</f>
        <v>#VALUE!</v>
      </c>
      <c r="I123" s="173" t="e">
        <v>#N/A</v>
      </c>
    </row>
    <row r="124" spans="4:9" x14ac:dyDescent="0.2">
      <c r="D124" s="176" t="e">
        <v>#N/A</v>
      </c>
      <c r="E124" s="177" t="e">
        <f>_xll.qlRateHelperRate($D124)</f>
        <v>#VALUE!</v>
      </c>
      <c r="F124" s="177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87" t="e">
        <f>_xll.qlRateHelperEarliestDate($D124)</f>
        <v>#VALUE!</v>
      </c>
      <c r="H124" s="188" t="e">
        <f>_xll.qlRateHelperLatestDate($D124)</f>
        <v>#VALUE!</v>
      </c>
      <c r="I124" s="173" t="e">
        <v>#N/A</v>
      </c>
    </row>
    <row r="125" spans="4:9" x14ac:dyDescent="0.2">
      <c r="D125" s="176" t="e">
        <v>#N/A</v>
      </c>
      <c r="E125" s="177" t="e">
        <f>_xll.qlRateHelperRate($D125)</f>
        <v>#VALUE!</v>
      </c>
      <c r="F125" s="177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87" t="e">
        <f>_xll.qlRateHelperEarliestDate($D125)</f>
        <v>#VALUE!</v>
      </c>
      <c r="H125" s="188" t="e">
        <f>_xll.qlRateHelperLatestDate($D125)</f>
        <v>#VALUE!</v>
      </c>
      <c r="I125" s="173" t="e">
        <v>#N/A</v>
      </c>
    </row>
    <row r="126" spans="4:9" ht="12" thickBot="1" x14ac:dyDescent="0.25">
      <c r="D126" s="184" t="e">
        <v>#N/A</v>
      </c>
      <c r="E126" s="185" t="e">
        <f>_xll.qlRateHelperRate($D126)</f>
        <v>#VALUE!</v>
      </c>
      <c r="F126" s="18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89" t="e">
        <f>_xll.qlRateHelperEarliestDate($D126)</f>
        <v>#VALUE!</v>
      </c>
      <c r="H126" s="190" t="e">
        <f>_xll.qlRateHelperLatestDate($D126)</f>
        <v>#VALUE!</v>
      </c>
      <c r="I126" s="17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8"/>
  <sheetViews>
    <sheetView workbookViewId="0">
      <selection activeCell="F2" sqref="F2"/>
    </sheetView>
  </sheetViews>
  <sheetFormatPr defaultRowHeight="12.75" x14ac:dyDescent="0.2"/>
  <cols>
    <col min="1" max="1" width="3" style="68" customWidth="1"/>
    <col min="2" max="2" width="6.7109375" style="68" customWidth="1"/>
    <col min="3" max="3" width="11.7109375" style="68" customWidth="1"/>
    <col min="4" max="4" width="20.42578125" style="68" bestFit="1" customWidth="1"/>
    <col min="5" max="5" width="21.85546875" style="68" bestFit="1" customWidth="1"/>
    <col min="6" max="6" width="19.7109375" style="68" bestFit="1" customWidth="1"/>
    <col min="7" max="7" width="23.5703125" style="68" customWidth="1"/>
    <col min="8" max="8" width="4.7109375" style="68" customWidth="1"/>
    <col min="9" max="16384" width="9.140625" style="68"/>
  </cols>
  <sheetData>
    <row r="1" spans="1:8" x14ac:dyDescent="0.2">
      <c r="A1" s="86" t="s">
        <v>141</v>
      </c>
      <c r="B1" s="85"/>
      <c r="C1" s="85"/>
      <c r="D1" s="12" t="s">
        <v>108</v>
      </c>
      <c r="E1" s="84" t="str">
        <f>Currency&amp;"_YC"&amp;$D$1&amp;"RH"</f>
        <v>USD_YC6MRH</v>
      </c>
      <c r="F1" s="83"/>
      <c r="G1" s="83"/>
      <c r="H1" s="72"/>
    </row>
    <row r="2" spans="1:8" ht="23.25" customHeight="1" x14ac:dyDescent="0.2">
      <c r="A2" s="78"/>
      <c r="B2" s="82" t="s">
        <v>145</v>
      </c>
      <c r="C2" s="82" t="s">
        <v>146</v>
      </c>
      <c r="D2" s="82" t="s">
        <v>113</v>
      </c>
      <c r="E2" s="81" t="str">
        <f>$E$1&amp;"_Deposits.xml"</f>
        <v>USD_YC6MRH_Deposits.xml</v>
      </c>
      <c r="F2" s="80" t="str">
        <f>IF(Serialize,_xll.ohObjectSave(F3:F7,SerializationPath&amp;E2,FileOverwrite,Serialize),"---")</f>
        <v>---</v>
      </c>
      <c r="G2" s="79" t="str">
        <f>_xll.ohRangeRetrieveError(F2)</f>
        <v/>
      </c>
      <c r="H2" s="72"/>
    </row>
    <row r="3" spans="1:8" x14ac:dyDescent="0.2">
      <c r="A3" s="78"/>
      <c r="B3" s="77" t="s">
        <v>112</v>
      </c>
      <c r="C3" s="191" t="str">
        <f>Currency&amp;FamilyName&amp;B3</f>
        <v>USDLiborSW</v>
      </c>
      <c r="D3" s="76" t="str">
        <f>Currency&amp;B3&amp;"D_SYNTH"&amp;$D$1&amp;QuoteSuffix</f>
        <v>USDSWD_SYNTH6M_Quote</v>
      </c>
      <c r="E3" s="75" t="str">
        <f>$E$1&amp;"_"&amp;$B3&amp;"D"</f>
        <v>USD_YC6MRH_SWD</v>
      </c>
      <c r="F3" s="74" t="str">
        <f>_xll.qlDepositRateHelper(E3,D3,C3,Permanent,Trigger,ObjectOverwrite)</f>
        <v>USD_YC6MRH_SWD#0001</v>
      </c>
      <c r="G3" s="73" t="str">
        <f>_xll.ohRangeRetrieveError(F3)</f>
        <v/>
      </c>
      <c r="H3" s="72"/>
    </row>
    <row r="4" spans="1:8" x14ac:dyDescent="0.2">
      <c r="A4" s="78"/>
      <c r="B4" s="77" t="s">
        <v>111</v>
      </c>
      <c r="C4" s="191" t="str">
        <f>Currency&amp;FamilyName&amp;B4</f>
        <v>USDLibor1M</v>
      </c>
      <c r="D4" s="76" t="str">
        <f>Currency&amp;B4&amp;"D_SYNTH"&amp;$D$1&amp;QuoteSuffix</f>
        <v>USD1MD_SYNTH6M_Quote</v>
      </c>
      <c r="E4" s="75" t="str">
        <f>$E$1&amp;"_"&amp;$B4&amp;"D"</f>
        <v>USD_YC6MRH_1MD</v>
      </c>
      <c r="F4" s="74" t="str">
        <f>_xll.qlDepositRateHelper(E4,D4,C4,Permanent,Trigger,ObjectOverwrite)</f>
        <v>USD_YC6MRH_1MD#0001</v>
      </c>
      <c r="G4" s="73" t="str">
        <f>_xll.ohRangeRetrieveError(F4)</f>
        <v/>
      </c>
      <c r="H4" s="72"/>
    </row>
    <row r="5" spans="1:8" x14ac:dyDescent="0.2">
      <c r="A5" s="78"/>
      <c r="B5" s="77" t="s">
        <v>110</v>
      </c>
      <c r="C5" s="191" t="str">
        <f>Currency&amp;FamilyName&amp;B5</f>
        <v>USDLibor2M</v>
      </c>
      <c r="D5" s="76" t="str">
        <f>Currency&amp;B5&amp;"D_SYNTH"&amp;$D$1&amp;QuoteSuffix</f>
        <v>USD2MD_SYNTH6M_Quote</v>
      </c>
      <c r="E5" s="75" t="str">
        <f>$E$1&amp;"_"&amp;$B5&amp;"D"</f>
        <v>USD_YC6MRH_2MD</v>
      </c>
      <c r="F5" s="74" t="str">
        <f>_xll.qlDepositRateHelper(E5,D5,C5,Permanent,Trigger,ObjectOverwrite)</f>
        <v>USD_YC6MRH_2MD#0001</v>
      </c>
      <c r="G5" s="73" t="str">
        <f>_xll.ohRangeRetrieveError(F5)</f>
        <v/>
      </c>
      <c r="H5" s="72"/>
    </row>
    <row r="6" spans="1:8" x14ac:dyDescent="0.2">
      <c r="A6" s="78"/>
      <c r="B6" s="77" t="s">
        <v>109</v>
      </c>
      <c r="C6" s="191" t="str">
        <f>Currency&amp;FamilyName&amp;B6</f>
        <v>USDLibor3M</v>
      </c>
      <c r="D6" s="76" t="str">
        <f>Currency&amp;B6&amp;"D_SYNTH"&amp;$D$1&amp;QuoteSuffix</f>
        <v>USD3MD_SYNTH6M_Quote</v>
      </c>
      <c r="E6" s="75" t="str">
        <f>$E$1&amp;"_"&amp;$B6&amp;"D"</f>
        <v>USD_YC6MRH_3MD</v>
      </c>
      <c r="F6" s="74" t="str">
        <f>_xll.qlDepositRateHelper(E6,D6,C6,Permanent,Trigger,ObjectOverwrite)</f>
        <v>USD_YC6MRH_3MD#0001</v>
      </c>
      <c r="G6" s="73" t="str">
        <f>_xll.ohRangeRetrieveError(F6)</f>
        <v/>
      </c>
      <c r="H6" s="72"/>
    </row>
    <row r="7" spans="1:8" x14ac:dyDescent="0.2">
      <c r="A7" s="78"/>
      <c r="B7" s="77" t="s">
        <v>108</v>
      </c>
      <c r="C7" s="191" t="str">
        <f>Currency&amp;FamilyName&amp;B7</f>
        <v>USDLibor6M</v>
      </c>
      <c r="D7" s="76" t="str">
        <f>Currency&amp;B7&amp;"D_SYNTH"&amp;$D$1&amp;QuoteSuffix</f>
        <v>USD6MD_SYNTH6M_Quote</v>
      </c>
      <c r="E7" s="75" t="str">
        <f>$E$1&amp;"_"&amp;$B7&amp;"D"</f>
        <v>USD_YC6MRH_6MD</v>
      </c>
      <c r="F7" s="74" t="str">
        <f>_xll.qlDepositRateHelper(E7,D7,C7,Permanent,Trigger,ObjectOverwrite)</f>
        <v>USD_YC6MRH_6MD#0001</v>
      </c>
      <c r="G7" s="73" t="str">
        <f>_xll.ohRangeRetrieveError(F7)</f>
        <v/>
      </c>
      <c r="H7" s="72"/>
    </row>
    <row r="8" spans="1:8" ht="13.5" thickBot="1" x14ac:dyDescent="0.25">
      <c r="A8" s="71"/>
      <c r="B8" s="70"/>
      <c r="C8" s="70"/>
      <c r="D8" s="70"/>
      <c r="E8" s="70"/>
      <c r="F8" s="70"/>
      <c r="G8" s="70"/>
      <c r="H8" s="6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I2" sqref="I2"/>
    </sheetView>
  </sheetViews>
  <sheetFormatPr defaultRowHeight="11.25" x14ac:dyDescent="0.2"/>
  <cols>
    <col min="1" max="2" width="3.7109375" style="83" customWidth="1"/>
    <col min="3" max="3" width="5" style="83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83" bestFit="1" customWidth="1"/>
    <col min="8" max="8" width="19.5703125" style="83" bestFit="1" customWidth="1"/>
    <col min="9" max="9" width="23" style="105" bestFit="1" customWidth="1"/>
    <col min="10" max="10" width="38.28515625" style="83" customWidth="1"/>
    <col min="11" max="11" width="3" style="83" customWidth="1"/>
    <col min="12" max="16384" width="9.140625" style="83"/>
  </cols>
  <sheetData>
    <row r="1" spans="1:11" x14ac:dyDescent="0.2">
      <c r="A1" s="156" t="s">
        <v>142</v>
      </c>
      <c r="B1" s="129"/>
      <c r="C1" s="130"/>
      <c r="D1" s="130">
        <v>6</v>
      </c>
      <c r="E1" s="129" t="str">
        <f>_xll.qlPeriodEquivalent(D1&amp;"M")</f>
        <v>6M</v>
      </c>
      <c r="F1" s="12"/>
      <c r="H1" s="128" t="str">
        <f>Currency&amp;"_YC"&amp;$E$1&amp;"RH"</f>
        <v>USD_YC6MRH</v>
      </c>
      <c r="I1" s="127"/>
      <c r="J1" s="126"/>
      <c r="K1" s="125"/>
    </row>
    <row r="2" spans="1:11" ht="23.25" customHeight="1" x14ac:dyDescent="0.2">
      <c r="A2" s="78"/>
      <c r="B2" s="124"/>
      <c r="C2" s="123"/>
      <c r="D2" s="122"/>
      <c r="E2" s="121" t="s">
        <v>114</v>
      </c>
      <c r="F2" s="121" t="s">
        <v>125</v>
      </c>
      <c r="G2" s="121" t="s">
        <v>113</v>
      </c>
      <c r="H2" s="120" t="str">
        <f>$H$1&amp;"_FRAs.xml"</f>
        <v>USD_YC6MRH_FRAs.xml</v>
      </c>
      <c r="I2" s="119" t="str">
        <f>IF(Serialize,_xll.ohObjectSave(I3:I10,SerializationPath&amp;H2,FileOverwrite,Serialize),"---")</f>
        <v>---</v>
      </c>
      <c r="J2" s="118" t="str">
        <f>_xll.ohRangeRetrieveError(I2)</f>
        <v/>
      </c>
      <c r="K2" s="72"/>
    </row>
    <row r="3" spans="1:11" x14ac:dyDescent="0.2">
      <c r="A3" s="78"/>
      <c r="B3" s="114" t="str">
        <f t="shared" ref="B3:B10" si="0">C3&amp;"M"</f>
        <v>1M</v>
      </c>
      <c r="C3" s="117">
        <v>1</v>
      </c>
      <c r="D3" s="116" t="str">
        <f t="shared" ref="D3:D10" si="1">"x"&amp;C3+$D$1&amp;"F"</f>
        <v>x7F</v>
      </c>
      <c r="E3" s="114" t="str">
        <f t="shared" ref="E3:E10" si="2">PROPER(Currency)&amp;FamilyName&amp;$E$1</f>
        <v>UsdLibor6M</v>
      </c>
      <c r="F3" s="115" t="b">
        <v>0</v>
      </c>
      <c r="G3" s="114" t="str">
        <f t="shared" ref="G3:G10" si="3">Currency&amp;C3&amp;D3&amp;IF(F3,"_SYNTH"&amp;$E$1,"")&amp;"_Quote"</f>
        <v>USD1x7F_Quote</v>
      </c>
      <c r="H3" s="114" t="str">
        <f t="shared" ref="H3:H10" si="4">$H$1&amp;"_"&amp;$C3&amp;$D3</f>
        <v>USD_YC6MRH_1x7F</v>
      </c>
      <c r="I3" s="114" t="str">
        <f>_xll.qlFraRateHelper(H3,G3,B3,E3,Permanent,Trigger,ObjectOverwrite)</f>
        <v>USD_YC6MRH_1x7F#0001</v>
      </c>
      <c r="J3" s="113" t="str">
        <f>_xll.ohRangeRetrieveError(I3)</f>
        <v/>
      </c>
      <c r="K3" s="72"/>
    </row>
    <row r="4" spans="1:11" x14ac:dyDescent="0.2">
      <c r="A4" s="78"/>
      <c r="B4" s="109" t="str">
        <f t="shared" si="0"/>
        <v>2M</v>
      </c>
      <c r="C4" s="112">
        <v>2</v>
      </c>
      <c r="D4" s="111" t="str">
        <f t="shared" si="1"/>
        <v>x8F</v>
      </c>
      <c r="E4" s="109" t="str">
        <f t="shared" si="2"/>
        <v>UsdLibor6M</v>
      </c>
      <c r="F4" s="110" t="b">
        <v>0</v>
      </c>
      <c r="G4" s="109" t="str">
        <f t="shared" si="3"/>
        <v>USD2x8F_Quote</v>
      </c>
      <c r="H4" s="109" t="str">
        <f t="shared" si="4"/>
        <v>USD_YC6MRH_2x8F</v>
      </c>
      <c r="I4" s="109" t="str">
        <f>_xll.qlFraRateHelper(H4,G4,B4,E4,Permanent,Trigger,ObjectOverwrite)</f>
        <v>USD_YC6MRH_2x8F#0001</v>
      </c>
      <c r="J4" s="108" t="str">
        <f>_xll.ohRangeRetrieveError(I4)</f>
        <v/>
      </c>
      <c r="K4" s="72"/>
    </row>
    <row r="5" spans="1:11" x14ac:dyDescent="0.2">
      <c r="A5" s="78"/>
      <c r="B5" s="109" t="str">
        <f t="shared" si="0"/>
        <v>3M</v>
      </c>
      <c r="C5" s="112">
        <v>3</v>
      </c>
      <c r="D5" s="111" t="str">
        <f t="shared" si="1"/>
        <v>x9F</v>
      </c>
      <c r="E5" s="109" t="str">
        <f t="shared" si="2"/>
        <v>UsdLibor6M</v>
      </c>
      <c r="F5" s="110" t="b">
        <v>0</v>
      </c>
      <c r="G5" s="109" t="str">
        <f t="shared" si="3"/>
        <v>USD3x9F_Quote</v>
      </c>
      <c r="H5" s="109" t="str">
        <f t="shared" si="4"/>
        <v>USD_YC6MRH_3x9F</v>
      </c>
      <c r="I5" s="109" t="str">
        <f>_xll.qlFraRateHelper(H5,G5,B5,E5,Permanent,Trigger,ObjectOverwrite)</f>
        <v>USD_YC6MRH_3x9F#0001</v>
      </c>
      <c r="J5" s="108" t="str">
        <f>_xll.ohRangeRetrieveError(I5)</f>
        <v/>
      </c>
      <c r="K5" s="72"/>
    </row>
    <row r="6" spans="1:11" x14ac:dyDescent="0.2">
      <c r="A6" s="78"/>
      <c r="B6" s="109" t="str">
        <f t="shared" si="0"/>
        <v>4M</v>
      </c>
      <c r="C6" s="112">
        <v>4</v>
      </c>
      <c r="D6" s="111" t="str">
        <f t="shared" si="1"/>
        <v>x10F</v>
      </c>
      <c r="E6" s="109" t="str">
        <f t="shared" si="2"/>
        <v>UsdLibor6M</v>
      </c>
      <c r="F6" s="110" t="b">
        <v>0</v>
      </c>
      <c r="G6" s="109" t="str">
        <f t="shared" si="3"/>
        <v>USD4x10F_Quote</v>
      </c>
      <c r="H6" s="109" t="str">
        <f t="shared" si="4"/>
        <v>USD_YC6MRH_4x10F</v>
      </c>
      <c r="I6" s="109" t="str">
        <f>_xll.qlFraRateHelper(H6,G6,B6,E6,Permanent,Trigger,ObjectOverwrite)</f>
        <v>USD_YC6MRH_4x10F#0001</v>
      </c>
      <c r="J6" s="108" t="str">
        <f>_xll.ohRangeRetrieveError(I6)</f>
        <v/>
      </c>
      <c r="K6" s="72"/>
    </row>
    <row r="7" spans="1:11" x14ac:dyDescent="0.2">
      <c r="A7" s="78"/>
      <c r="B7" s="109" t="str">
        <f t="shared" si="0"/>
        <v>5M</v>
      </c>
      <c r="C7" s="112">
        <v>5</v>
      </c>
      <c r="D7" s="111" t="str">
        <f t="shared" si="1"/>
        <v>x11F</v>
      </c>
      <c r="E7" s="109" t="str">
        <f t="shared" si="2"/>
        <v>UsdLibor6M</v>
      </c>
      <c r="F7" s="110" t="b">
        <v>0</v>
      </c>
      <c r="G7" s="109" t="str">
        <f t="shared" si="3"/>
        <v>USD5x11F_Quote</v>
      </c>
      <c r="H7" s="109" t="str">
        <f t="shared" si="4"/>
        <v>USD_YC6MRH_5x11F</v>
      </c>
      <c r="I7" s="109" t="str">
        <f>_xll.qlFraRateHelper(H7,G7,B7,E7,Permanent,Trigger,ObjectOverwrite)</f>
        <v>USD_YC6MRH_5x11F#0001</v>
      </c>
      <c r="J7" s="108" t="str">
        <f>_xll.ohRangeRetrieveError(I7)</f>
        <v/>
      </c>
      <c r="K7" s="72"/>
    </row>
    <row r="8" spans="1:11" x14ac:dyDescent="0.2">
      <c r="A8" s="78"/>
      <c r="B8" s="109" t="str">
        <f t="shared" si="0"/>
        <v>6M</v>
      </c>
      <c r="C8" s="112">
        <v>6</v>
      </c>
      <c r="D8" s="111" t="str">
        <f t="shared" si="1"/>
        <v>x12F</v>
      </c>
      <c r="E8" s="109" t="str">
        <f t="shared" si="2"/>
        <v>UsdLibor6M</v>
      </c>
      <c r="F8" s="110" t="b">
        <v>0</v>
      </c>
      <c r="G8" s="109" t="str">
        <f t="shared" si="3"/>
        <v>USD6x12F_Quote</v>
      </c>
      <c r="H8" s="109" t="str">
        <f t="shared" si="4"/>
        <v>USD_YC6MRH_6x12F</v>
      </c>
      <c r="I8" s="109" t="str">
        <f>_xll.qlFraRateHelper(H8,G8,B8,E8,Permanent,Trigger,ObjectOverwrite)</f>
        <v>USD_YC6MRH_6x12F#0001</v>
      </c>
      <c r="J8" s="108" t="str">
        <f>_xll.ohRangeRetrieveError(I8)</f>
        <v/>
      </c>
      <c r="K8" s="72"/>
    </row>
    <row r="9" spans="1:11" x14ac:dyDescent="0.2">
      <c r="A9" s="78"/>
      <c r="B9" s="109" t="str">
        <f t="shared" si="0"/>
        <v>12M</v>
      </c>
      <c r="C9" s="112">
        <v>12</v>
      </c>
      <c r="D9" s="111" t="str">
        <f t="shared" si="1"/>
        <v>x18F</v>
      </c>
      <c r="E9" s="109" t="str">
        <f t="shared" si="2"/>
        <v>UsdLibor6M</v>
      </c>
      <c r="F9" s="110" t="b">
        <v>0</v>
      </c>
      <c r="G9" s="109" t="str">
        <f t="shared" si="3"/>
        <v>USD12x18F_Quote</v>
      </c>
      <c r="H9" s="109" t="str">
        <f t="shared" si="4"/>
        <v>USD_YC6MRH_12x18F</v>
      </c>
      <c r="I9" s="109" t="str">
        <f>_xll.qlFraRateHelper(H9,G9,B9,E9,Permanent,Trigger,ObjectOverwrite)</f>
        <v>USD_YC6MRH_12x18F#0001</v>
      </c>
      <c r="J9" s="108" t="str">
        <f>_xll.ohRangeRetrieveError(I9)</f>
        <v/>
      </c>
      <c r="K9" s="72"/>
    </row>
    <row r="10" spans="1:11" x14ac:dyDescent="0.2">
      <c r="A10" s="78"/>
      <c r="B10" s="109" t="str">
        <f t="shared" si="0"/>
        <v>18M</v>
      </c>
      <c r="C10" s="112">
        <v>18</v>
      </c>
      <c r="D10" s="111" t="str">
        <f t="shared" si="1"/>
        <v>x24F</v>
      </c>
      <c r="E10" s="109" t="str">
        <f t="shared" si="2"/>
        <v>UsdLibor6M</v>
      </c>
      <c r="F10" s="110" t="b">
        <v>0</v>
      </c>
      <c r="G10" s="109" t="str">
        <f t="shared" si="3"/>
        <v>USD18x24F_Quote</v>
      </c>
      <c r="H10" s="109" t="str">
        <f t="shared" si="4"/>
        <v>USD_YC6MRH_18x24F</v>
      </c>
      <c r="I10" s="109" t="str">
        <f>_xll.qlFraRateHelper(H10,G10,B10,E10,Permanent,Trigger,ObjectOverwrite)</f>
        <v>USD_YC6MRH_18x24F#0001</v>
      </c>
      <c r="J10" s="108" t="str">
        <f>_xll.ohRangeRetrieveError(I10)</f>
        <v/>
      </c>
      <c r="K10" s="72"/>
    </row>
    <row r="11" spans="1:11" ht="12" thickBot="1" x14ac:dyDescent="0.25">
      <c r="A11" s="71"/>
      <c r="B11" s="107"/>
      <c r="C11" s="107"/>
      <c r="D11" s="107"/>
      <c r="E11" s="107"/>
      <c r="F11" s="107"/>
      <c r="G11" s="107"/>
      <c r="H11" s="107"/>
      <c r="I11" s="106"/>
      <c r="J11" s="106"/>
      <c r="K11" s="69"/>
    </row>
    <row r="13" spans="1:11" x14ac:dyDescent="0.2">
      <c r="D13" s="83"/>
      <c r="E13" s="83"/>
      <c r="F13" s="83"/>
      <c r="I13" s="8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L3" sqref="L3"/>
    </sheetView>
  </sheetViews>
  <sheetFormatPr defaultRowHeight="11.25" x14ac:dyDescent="0.2"/>
  <cols>
    <col min="1" max="1" width="1.7109375" style="83" customWidth="1"/>
    <col min="2" max="2" width="4.7109375" style="83" bestFit="1" customWidth="1"/>
    <col min="3" max="3" width="3.85546875" style="83" bestFit="1" customWidth="1"/>
    <col min="4" max="4" width="3.140625" style="83" bestFit="1" customWidth="1"/>
    <col min="5" max="5" width="2.7109375" style="83" bestFit="1" customWidth="1"/>
    <col min="6" max="6" width="5.85546875" style="83" bestFit="1" customWidth="1"/>
    <col min="7" max="7" width="13.85546875" style="83" bestFit="1" customWidth="1"/>
    <col min="8" max="8" width="10" style="83" bestFit="1" customWidth="1"/>
    <col min="9" max="9" width="7.140625" style="83" bestFit="1" customWidth="1"/>
    <col min="10" max="10" width="21.5703125" style="83" bestFit="1" customWidth="1"/>
    <col min="11" max="11" width="27.5703125" style="83" bestFit="1" customWidth="1"/>
    <col min="12" max="12" width="31.5703125" style="105" bestFit="1" customWidth="1"/>
    <col min="13" max="13" width="16.5703125" style="83" customWidth="1"/>
    <col min="14" max="14" width="3.85546875" style="83" customWidth="1"/>
    <col min="15" max="15" width="2.5703125" style="83" customWidth="1"/>
    <col min="16" max="16" width="4" style="83" bestFit="1" customWidth="1"/>
    <col min="17" max="17" width="5.28515625" style="83" bestFit="1" customWidth="1"/>
    <col min="18" max="18" width="2.7109375" style="83" bestFit="1" customWidth="1"/>
    <col min="19" max="16384" width="9.140625" style="83"/>
  </cols>
  <sheetData>
    <row r="1" spans="1:18" x14ac:dyDescent="0.2">
      <c r="A1" s="156" t="s">
        <v>143</v>
      </c>
      <c r="B1" s="130"/>
      <c r="C1" s="130"/>
      <c r="D1" s="130"/>
      <c r="E1" s="130"/>
      <c r="F1" s="130"/>
      <c r="G1" s="130"/>
      <c r="H1" s="130"/>
      <c r="I1" s="130"/>
      <c r="J1" s="130"/>
      <c r="K1" s="129"/>
      <c r="L1" s="130"/>
      <c r="M1" s="130"/>
      <c r="N1" s="155"/>
    </row>
    <row r="2" spans="1:18" x14ac:dyDescent="0.2">
      <c r="A2" s="78"/>
      <c r="B2" s="85"/>
      <c r="C2" s="85"/>
      <c r="D2" s="85"/>
      <c r="E2" s="85"/>
      <c r="F2" s="85"/>
      <c r="G2" s="85"/>
      <c r="H2" s="85"/>
      <c r="I2" s="12" t="s">
        <v>134</v>
      </c>
      <c r="J2" s="12" t="s">
        <v>108</v>
      </c>
      <c r="K2" s="12" t="str">
        <f>Currency&amp;"_YC"&amp;$J$2&amp;"RH"</f>
        <v>USD_YC6MRH</v>
      </c>
      <c r="L2" s="12" t="str">
        <f>Discounting</f>
        <v>UsdON</v>
      </c>
      <c r="M2" s="85"/>
      <c r="N2" s="133"/>
    </row>
    <row r="3" spans="1:18" ht="22.5" x14ac:dyDescent="0.2">
      <c r="A3" s="78"/>
      <c r="B3" s="82" t="s">
        <v>133</v>
      </c>
      <c r="C3" s="82"/>
      <c r="D3" s="82"/>
      <c r="E3" s="82"/>
      <c r="F3" s="82" t="s">
        <v>132</v>
      </c>
      <c r="G3" s="82" t="s">
        <v>131</v>
      </c>
      <c r="H3" s="82" t="s">
        <v>130</v>
      </c>
      <c r="I3" s="82" t="s">
        <v>129</v>
      </c>
      <c r="J3" s="82" t="s">
        <v>113</v>
      </c>
      <c r="K3" s="154" t="str">
        <f>K2&amp;"_SwapsFromBasis.xml"</f>
        <v>USD_YC6MRH_SwapsFromBasis.xml</v>
      </c>
      <c r="L3" s="153" t="str">
        <f>IF(Serialize,_xll.ohObjectSave(L4:L39,SerializationPath&amp;K3,FileOverwrite,Serialize),"---")</f>
        <v>---</v>
      </c>
      <c r="M3" s="134" t="str">
        <f>_xll.ohRangeRetrieveError(L3)</f>
        <v/>
      </c>
      <c r="N3" s="133"/>
    </row>
    <row r="4" spans="1:18" x14ac:dyDescent="0.2">
      <c r="A4" s="86"/>
      <c r="B4" s="85"/>
      <c r="C4" s="85"/>
      <c r="D4" s="85"/>
      <c r="E4" s="85"/>
      <c r="F4" s="85"/>
      <c r="G4" s="85"/>
      <c r="H4" s="85"/>
      <c r="I4" s="85"/>
      <c r="J4" s="85"/>
      <c r="K4" s="152" t="str">
        <f>$K$2&amp;"_"&amp;$D6&amp;$E6&amp;"BASIS_"&amp;FamilyName&amp;$J$2</f>
        <v>USD_YC6MRH_AM6LBASIS_Libor6M</v>
      </c>
      <c r="L4" s="151" t="str">
        <f>IF(UPPER(FamilyName)="IBOR",_xll.qlEuribor($K4,$J$2,,Permanent,Trigger,ObjectOverwrite),IF(UPPER(FamilyName)="LIBOR",_xll.qlLibor($K4,Currency,$J$2,,Permanent,Trigger,ObjectOverwrite),"--"))</f>
        <v>USD_YC6MRH_AM6LBASIS_Libor6M#0001</v>
      </c>
      <c r="M4" s="150" t="str">
        <f>_xll.ohRangeRetrieveError(L4)</f>
        <v/>
      </c>
      <c r="N4" s="133"/>
    </row>
    <row r="5" spans="1:18" x14ac:dyDescent="0.2">
      <c r="A5" s="86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133"/>
    </row>
    <row r="6" spans="1:18" x14ac:dyDescent="0.2">
      <c r="A6" s="78"/>
      <c r="B6" s="149" t="s">
        <v>124</v>
      </c>
      <c r="C6" s="139" t="s">
        <v>36</v>
      </c>
      <c r="D6" s="149" t="str">
        <f>VLOOKUP(Currency,Swap6MConventions,2)</f>
        <v>AM</v>
      </c>
      <c r="E6" s="149" t="str">
        <f>VLOOKUP(Currency,Swap6MConventions,3)</f>
        <v>6L</v>
      </c>
      <c r="F6" s="148" t="str">
        <f t="shared" ref="F6:F39" si="0">IF(UPPER(LEFT($D6))="A","Annual",IF(UPPER(LEFT($D6))="S","Semiannual","--"))</f>
        <v>Annual</v>
      </c>
      <c r="G6" s="148" t="s">
        <v>126</v>
      </c>
      <c r="H6" s="148" t="str">
        <f t="shared" ref="H6:H39" si="1">IF(UPPER(RIGHT($D6))="B",BondBasisDayCounter,IF(UPPER(RIGHT($D6))="M",MoneyMarketDayCounter,"--"))</f>
        <v>Actual/360</v>
      </c>
      <c r="I6" s="137">
        <v>0</v>
      </c>
      <c r="J6" s="136" t="str">
        <f t="shared" ref="J6:J39" si="2">Currency&amp;$D6&amp;$I$2&amp;$C6&amp;"_S"&amp;$E6&amp;$I$2&amp;"_Quote"</f>
        <v>USDAM3L1Y_S6L3L_Quote</v>
      </c>
      <c r="K6" s="136" t="str">
        <f t="shared" ref="K6:K39" si="3">$K$2&amp;"_"&amp;$D6&amp;$E6&amp;"BASIS"&amp;$C6</f>
        <v>USD_YC6MRH_AM6LBASIS1Y</v>
      </c>
      <c r="L6" s="135" t="str">
        <f>_xll.qlSwapRateHelper2(K6,$J6,$C6,Calendar,$F6,$G6,$H6,$L$4,$I6,B6,DiscountingCurve,Permanent,,ObjectOverwrite)</f>
        <v>USD_YC6MRH_AM6LBASIS1Y#0001</v>
      </c>
      <c r="M6" s="134" t="str">
        <f>_xll.ohRangeRetrieveError(L6)</f>
        <v/>
      </c>
      <c r="N6" s="133"/>
    </row>
    <row r="7" spans="1:18" x14ac:dyDescent="0.2">
      <c r="A7" s="78"/>
      <c r="B7" s="139" t="str">
        <f>B6</f>
        <v>0D</v>
      </c>
      <c r="C7" s="139" t="s">
        <v>32</v>
      </c>
      <c r="D7" s="139" t="str">
        <f>D6</f>
        <v>AM</v>
      </c>
      <c r="E7" s="139" t="str">
        <f>E6</f>
        <v>6L</v>
      </c>
      <c r="F7" s="138" t="str">
        <f t="shared" si="0"/>
        <v>Annual</v>
      </c>
      <c r="G7" s="138" t="s">
        <v>126</v>
      </c>
      <c r="H7" s="138" t="str">
        <f t="shared" si="1"/>
        <v>Actual/360</v>
      </c>
      <c r="I7" s="137">
        <v>0</v>
      </c>
      <c r="J7" s="136" t="str">
        <f t="shared" si="2"/>
        <v>USDAM3L2Y_S6L3L_Quote</v>
      </c>
      <c r="K7" s="136" t="str">
        <f t="shared" si="3"/>
        <v>USD_YC6MRH_AM6LBASIS2Y</v>
      </c>
      <c r="L7" s="135" t="str">
        <f>_xll.qlSwapRateHelper2(K7,$J7,$C7,Calendar,$F7,$G7,$H7,$L$4,$I7,B7,DiscountingCurve,Permanent,,ObjectOverwrite)</f>
        <v>USD_YC6MRH_AM6LBASIS2Y#0001</v>
      </c>
      <c r="M7" s="134" t="str">
        <f>_xll.ohRangeRetrieveError(L7)</f>
        <v/>
      </c>
      <c r="N7" s="133"/>
    </row>
    <row r="8" spans="1:18" x14ac:dyDescent="0.2">
      <c r="A8" s="78"/>
      <c r="B8" s="139" t="str">
        <f t="shared" ref="B8:B39" si="4">B7</f>
        <v>0D</v>
      </c>
      <c r="C8" s="139" t="s">
        <v>31</v>
      </c>
      <c r="D8" s="139" t="str">
        <f t="shared" ref="D8:D39" si="5">D7</f>
        <v>AM</v>
      </c>
      <c r="E8" s="139" t="str">
        <f t="shared" ref="E8:E39" si="6">E7</f>
        <v>6L</v>
      </c>
      <c r="F8" s="138" t="str">
        <f t="shared" si="0"/>
        <v>Annual</v>
      </c>
      <c r="G8" s="138" t="s">
        <v>126</v>
      </c>
      <c r="H8" s="138" t="str">
        <f t="shared" si="1"/>
        <v>Actual/360</v>
      </c>
      <c r="I8" s="137">
        <v>0</v>
      </c>
      <c r="J8" s="136" t="str">
        <f t="shared" si="2"/>
        <v>USDAM3L3Y_S6L3L_Quote</v>
      </c>
      <c r="K8" s="136" t="str">
        <f t="shared" si="3"/>
        <v>USD_YC6MRH_AM6LBASIS3Y</v>
      </c>
      <c r="L8" s="135" t="str">
        <f>_xll.qlSwapRateHelper2(K8,$J8,$C8,Calendar,$F8,$G8,$H8,$L$4,$I8,B8,DiscountingCurve,Permanent,,ObjectOverwrite)</f>
        <v>USD_YC6MRH_AM6LBASIS3Y#0001</v>
      </c>
      <c r="M8" s="134" t="str">
        <f>_xll.ohRangeRetrieveError(L8)</f>
        <v/>
      </c>
      <c r="N8" s="133"/>
    </row>
    <row r="9" spans="1:18" ht="12" thickBot="1" x14ac:dyDescent="0.25">
      <c r="A9" s="78"/>
      <c r="B9" s="139" t="str">
        <f t="shared" si="4"/>
        <v>0D</v>
      </c>
      <c r="C9" s="139" t="s">
        <v>30</v>
      </c>
      <c r="D9" s="139" t="str">
        <f t="shared" si="5"/>
        <v>AM</v>
      </c>
      <c r="E9" s="139" t="str">
        <f t="shared" si="6"/>
        <v>6L</v>
      </c>
      <c r="F9" s="138" t="str">
        <f t="shared" si="0"/>
        <v>Annual</v>
      </c>
      <c r="G9" s="138" t="s">
        <v>126</v>
      </c>
      <c r="H9" s="138" t="str">
        <f t="shared" si="1"/>
        <v>Actual/360</v>
      </c>
      <c r="I9" s="137">
        <v>0</v>
      </c>
      <c r="J9" s="136" t="str">
        <f t="shared" si="2"/>
        <v>USDAM3L4Y_S6L3L_Quote</v>
      </c>
      <c r="K9" s="136" t="str">
        <f t="shared" si="3"/>
        <v>USD_YC6MRH_AM6LBASIS4Y</v>
      </c>
      <c r="L9" s="135" t="str">
        <f>_xll.qlSwapRateHelper2(K9,$J9,$C9,Calendar,$F9,$G9,$H9,$L$4,$I9,B9,DiscountingCurve,Permanent,,ObjectOverwrite)</f>
        <v>USD_YC6MRH_AM6LBASIS4Y#0001</v>
      </c>
      <c r="M9" s="134" t="str">
        <f>_xll.ohRangeRetrieveError(L9)</f>
        <v/>
      </c>
      <c r="N9" s="133"/>
    </row>
    <row r="10" spans="1:18" x14ac:dyDescent="0.2">
      <c r="A10" s="78"/>
      <c r="B10" s="139" t="str">
        <f t="shared" si="4"/>
        <v>0D</v>
      </c>
      <c r="C10" s="139" t="s">
        <v>29</v>
      </c>
      <c r="D10" s="139" t="str">
        <f t="shared" si="5"/>
        <v>AM</v>
      </c>
      <c r="E10" s="139" t="str">
        <f t="shared" si="6"/>
        <v>6L</v>
      </c>
      <c r="F10" s="138" t="str">
        <f t="shared" si="0"/>
        <v>Annual</v>
      </c>
      <c r="G10" s="138" t="s">
        <v>126</v>
      </c>
      <c r="H10" s="138" t="str">
        <f t="shared" si="1"/>
        <v>Actual/360</v>
      </c>
      <c r="I10" s="137">
        <v>0</v>
      </c>
      <c r="J10" s="136" t="str">
        <f t="shared" si="2"/>
        <v>USDAM3L5Y_S6L3L_Quote</v>
      </c>
      <c r="K10" s="136" t="str">
        <f t="shared" si="3"/>
        <v>USD_YC6MRH_AM6LBASIS5Y</v>
      </c>
      <c r="L10" s="135" t="str">
        <f>_xll.qlSwapRateHelper2(K10,$J10,$C10,Calendar,$F10,$G10,$H10,$L$4,$I10,B10,DiscountingCurve,Permanent,,ObjectOverwrite)</f>
        <v>USD_YC6MRH_AM6LBASIS5Y#0001</v>
      </c>
      <c r="M10" s="134" t="str">
        <f>_xll.ohRangeRetrieveError(L10)</f>
        <v/>
      </c>
      <c r="N10" s="133"/>
      <c r="P10" s="147" t="s">
        <v>105</v>
      </c>
      <c r="Q10" s="126" t="s">
        <v>102</v>
      </c>
      <c r="R10" s="146" t="s">
        <v>127</v>
      </c>
    </row>
    <row r="11" spans="1:18" x14ac:dyDescent="0.2">
      <c r="A11" s="78"/>
      <c r="B11" s="139" t="str">
        <f t="shared" si="4"/>
        <v>0D</v>
      </c>
      <c r="C11" s="139" t="s">
        <v>28</v>
      </c>
      <c r="D11" s="139" t="str">
        <f t="shared" si="5"/>
        <v>AM</v>
      </c>
      <c r="E11" s="139" t="str">
        <f t="shared" si="6"/>
        <v>6L</v>
      </c>
      <c r="F11" s="138" t="str">
        <f t="shared" si="0"/>
        <v>Annual</v>
      </c>
      <c r="G11" s="138" t="s">
        <v>126</v>
      </c>
      <c r="H11" s="138" t="str">
        <f t="shared" si="1"/>
        <v>Actual/360</v>
      </c>
      <c r="I11" s="137">
        <v>0</v>
      </c>
      <c r="J11" s="136" t="str">
        <f t="shared" si="2"/>
        <v>USDAM3L6Y_S6L3L_Quote</v>
      </c>
      <c r="K11" s="136" t="str">
        <f t="shared" si="3"/>
        <v>USD_YC6MRH_AM6LBASIS6Y</v>
      </c>
      <c r="L11" s="135" t="str">
        <f>_xll.qlSwapRateHelper2(K11,$J11,$C11,Calendar,$F11,$G11,$H11,$L$4,$I11,B11,DiscountingCurve,Permanent,,ObjectOverwrite)</f>
        <v>USD_YC6MRH_AM6LBASIS6Y#0001</v>
      </c>
      <c r="M11" s="134" t="str">
        <f>_xll.ohRangeRetrieveError(L11)</f>
        <v/>
      </c>
      <c r="N11" s="133"/>
      <c r="P11" s="145" t="s">
        <v>103</v>
      </c>
      <c r="Q11" s="140" t="s">
        <v>102</v>
      </c>
      <c r="R11" s="144" t="s">
        <v>128</v>
      </c>
    </row>
    <row r="12" spans="1:18" x14ac:dyDescent="0.2">
      <c r="A12" s="78"/>
      <c r="B12" s="139" t="str">
        <f t="shared" si="4"/>
        <v>0D</v>
      </c>
      <c r="C12" s="139" t="s">
        <v>27</v>
      </c>
      <c r="D12" s="139" t="str">
        <f t="shared" si="5"/>
        <v>AM</v>
      </c>
      <c r="E12" s="139" t="str">
        <f t="shared" si="6"/>
        <v>6L</v>
      </c>
      <c r="F12" s="138" t="str">
        <f t="shared" si="0"/>
        <v>Annual</v>
      </c>
      <c r="G12" s="138" t="s">
        <v>126</v>
      </c>
      <c r="H12" s="138" t="str">
        <f t="shared" si="1"/>
        <v>Actual/360</v>
      </c>
      <c r="I12" s="137">
        <v>0</v>
      </c>
      <c r="J12" s="136" t="str">
        <f t="shared" si="2"/>
        <v>USDAM3L7Y_S6L3L_Quote</v>
      </c>
      <c r="K12" s="136" t="str">
        <f t="shared" si="3"/>
        <v>USD_YC6MRH_AM6LBASIS7Y</v>
      </c>
      <c r="L12" s="135" t="str">
        <f>_xll.qlSwapRateHelper2(K12,$J12,$C12,Calendar,$F12,$G12,$H12,$L$4,$I12,B12,DiscountingCurve,Permanent,,ObjectOverwrite)</f>
        <v>USD_YC6MRH_AM6LBASIS7Y#0001</v>
      </c>
      <c r="M12" s="134" t="str">
        <f>_xll.ohRangeRetrieveError(L12)</f>
        <v/>
      </c>
      <c r="N12" s="133"/>
      <c r="P12" s="145" t="s">
        <v>100</v>
      </c>
      <c r="Q12" s="140" t="s">
        <v>99</v>
      </c>
      <c r="R12" s="144" t="s">
        <v>127</v>
      </c>
    </row>
    <row r="13" spans="1:18" x14ac:dyDescent="0.2">
      <c r="A13" s="78"/>
      <c r="B13" s="139" t="str">
        <f t="shared" si="4"/>
        <v>0D</v>
      </c>
      <c r="C13" s="139" t="s">
        <v>26</v>
      </c>
      <c r="D13" s="139" t="str">
        <f t="shared" si="5"/>
        <v>AM</v>
      </c>
      <c r="E13" s="139" t="str">
        <f t="shared" si="6"/>
        <v>6L</v>
      </c>
      <c r="F13" s="138" t="str">
        <f t="shared" si="0"/>
        <v>Annual</v>
      </c>
      <c r="G13" s="138" t="s">
        <v>126</v>
      </c>
      <c r="H13" s="138" t="str">
        <f t="shared" si="1"/>
        <v>Actual/360</v>
      </c>
      <c r="I13" s="137">
        <v>0</v>
      </c>
      <c r="J13" s="136" t="str">
        <f t="shared" si="2"/>
        <v>USDAM3L8Y_S6L3L_Quote</v>
      </c>
      <c r="K13" s="136" t="str">
        <f t="shared" si="3"/>
        <v>USD_YC6MRH_AM6LBASIS8Y</v>
      </c>
      <c r="L13" s="135" t="str">
        <f>_xll.qlSwapRateHelper2(K13,$J13,$C13,Calendar,$F13,$G13,$H13,$L$4,$I13,B13,DiscountingCurve,Permanent,,ObjectOverwrite)</f>
        <v>USD_YC6MRH_AM6LBASIS8Y#0001</v>
      </c>
      <c r="M13" s="134" t="str">
        <f>_xll.ohRangeRetrieveError(L13)</f>
        <v/>
      </c>
      <c r="N13" s="133"/>
      <c r="P13" s="145" t="s">
        <v>97</v>
      </c>
      <c r="Q13" s="140" t="s">
        <v>99</v>
      </c>
      <c r="R13" s="144" t="s">
        <v>127</v>
      </c>
    </row>
    <row r="14" spans="1:18" ht="12" thickBot="1" x14ac:dyDescent="0.25">
      <c r="A14" s="78"/>
      <c r="B14" s="139" t="str">
        <f t="shared" si="4"/>
        <v>0D</v>
      </c>
      <c r="C14" s="139" t="s">
        <v>25</v>
      </c>
      <c r="D14" s="139" t="str">
        <f t="shared" si="5"/>
        <v>AM</v>
      </c>
      <c r="E14" s="139" t="str">
        <f t="shared" si="6"/>
        <v>6L</v>
      </c>
      <c r="F14" s="138" t="str">
        <f t="shared" si="0"/>
        <v>Annual</v>
      </c>
      <c r="G14" s="138" t="s">
        <v>126</v>
      </c>
      <c r="H14" s="138" t="str">
        <f t="shared" si="1"/>
        <v>Actual/360</v>
      </c>
      <c r="I14" s="137">
        <v>0</v>
      </c>
      <c r="J14" s="136" t="str">
        <f t="shared" si="2"/>
        <v>USDAM3L9Y_S6L3L_Quote</v>
      </c>
      <c r="K14" s="136" t="str">
        <f t="shared" si="3"/>
        <v>USD_YC6MRH_AM6LBASIS9Y</v>
      </c>
      <c r="L14" s="135" t="str">
        <f>_xll.qlSwapRateHelper2(K14,$J14,$C14,Calendar,$F14,$G14,$H14,$L$4,$I14,B14,DiscountingCurve,Permanent,,ObjectOverwrite)</f>
        <v>USD_YC6MRH_AM6LBASIS9Y#0001</v>
      </c>
      <c r="M14" s="134" t="str">
        <f>_xll.ohRangeRetrieveError(L14)</f>
        <v/>
      </c>
      <c r="N14" s="133"/>
      <c r="P14" s="143" t="s">
        <v>95</v>
      </c>
      <c r="Q14" s="142" t="s">
        <v>94</v>
      </c>
      <c r="R14" s="141" t="s">
        <v>127</v>
      </c>
    </row>
    <row r="15" spans="1:18" x14ac:dyDescent="0.2">
      <c r="A15" s="78"/>
      <c r="B15" s="139" t="str">
        <f t="shared" si="4"/>
        <v>0D</v>
      </c>
      <c r="C15" s="139" t="s">
        <v>24</v>
      </c>
      <c r="D15" s="139" t="str">
        <f t="shared" si="5"/>
        <v>AM</v>
      </c>
      <c r="E15" s="139" t="str">
        <f t="shared" si="6"/>
        <v>6L</v>
      </c>
      <c r="F15" s="138" t="str">
        <f t="shared" si="0"/>
        <v>Annual</v>
      </c>
      <c r="G15" s="138" t="s">
        <v>126</v>
      </c>
      <c r="H15" s="138" t="str">
        <f t="shared" si="1"/>
        <v>Actual/360</v>
      </c>
      <c r="I15" s="137">
        <v>0</v>
      </c>
      <c r="J15" s="136" t="str">
        <f t="shared" si="2"/>
        <v>USDAM3L10Y_S6L3L_Quote</v>
      </c>
      <c r="K15" s="136" t="str">
        <f t="shared" si="3"/>
        <v>USD_YC6MRH_AM6LBASIS10Y</v>
      </c>
      <c r="L15" s="135" t="str">
        <f>_xll.qlSwapRateHelper2(K15,$J15,$C15,Calendar,$F15,$G15,$H15,$L$4,$I15,B15,DiscountingCurve,Permanent,,ObjectOverwrite)</f>
        <v>USD_YC6MRH_AM6LBASIS10Y#0001</v>
      </c>
      <c r="M15" s="134" t="str">
        <f>_xll.ohRangeRetrieveError(L15)</f>
        <v/>
      </c>
      <c r="N15" s="133"/>
      <c r="P15" s="140"/>
      <c r="Q15" s="140"/>
      <c r="R15" s="140"/>
    </row>
    <row r="16" spans="1:18" x14ac:dyDescent="0.2">
      <c r="A16" s="78"/>
      <c r="B16" s="139" t="str">
        <f t="shared" si="4"/>
        <v>0D</v>
      </c>
      <c r="C16" s="139" t="s">
        <v>23</v>
      </c>
      <c r="D16" s="139" t="str">
        <f t="shared" si="5"/>
        <v>AM</v>
      </c>
      <c r="E16" s="139" t="str">
        <f t="shared" si="6"/>
        <v>6L</v>
      </c>
      <c r="F16" s="138" t="str">
        <f t="shared" si="0"/>
        <v>Annual</v>
      </c>
      <c r="G16" s="138" t="s">
        <v>126</v>
      </c>
      <c r="H16" s="138" t="str">
        <f t="shared" si="1"/>
        <v>Actual/360</v>
      </c>
      <c r="I16" s="137">
        <v>0</v>
      </c>
      <c r="J16" s="136" t="str">
        <f t="shared" si="2"/>
        <v>USDAM3L11Y_S6L3L_Quote</v>
      </c>
      <c r="K16" s="136" t="str">
        <f t="shared" si="3"/>
        <v>USD_YC6MRH_AM6LBASIS11Y</v>
      </c>
      <c r="L16" s="135" t="str">
        <f>_xll.qlSwapRateHelper2(K16,$J16,$C16,Calendar,$F16,$G16,$H16,$L$4,$I16,B16,DiscountingCurve,Permanent,,ObjectOverwrite)</f>
        <v>USD_YC6MRH_AM6LBASIS11Y#0001</v>
      </c>
      <c r="M16" s="134" t="str">
        <f>_xll.ohRangeRetrieveError(L16)</f>
        <v/>
      </c>
      <c r="N16" s="133"/>
    </row>
    <row r="17" spans="1:14" x14ac:dyDescent="0.2">
      <c r="A17" s="78"/>
      <c r="B17" s="139" t="str">
        <f t="shared" si="4"/>
        <v>0D</v>
      </c>
      <c r="C17" s="139" t="s">
        <v>22</v>
      </c>
      <c r="D17" s="139" t="str">
        <f t="shared" si="5"/>
        <v>AM</v>
      </c>
      <c r="E17" s="139" t="str">
        <f t="shared" si="6"/>
        <v>6L</v>
      </c>
      <c r="F17" s="138" t="str">
        <f t="shared" si="0"/>
        <v>Annual</v>
      </c>
      <c r="G17" s="138" t="s">
        <v>126</v>
      </c>
      <c r="H17" s="138" t="str">
        <f t="shared" si="1"/>
        <v>Actual/360</v>
      </c>
      <c r="I17" s="137">
        <v>0</v>
      </c>
      <c r="J17" s="136" t="str">
        <f t="shared" si="2"/>
        <v>USDAM3L12Y_S6L3L_Quote</v>
      </c>
      <c r="K17" s="136" t="str">
        <f t="shared" si="3"/>
        <v>USD_YC6MRH_AM6LBASIS12Y</v>
      </c>
      <c r="L17" s="135" t="str">
        <f>_xll.qlSwapRateHelper2(K17,$J17,$C17,Calendar,$F17,$G17,$H17,$L$4,$I17,B17,DiscountingCurve,Permanent,,ObjectOverwrite)</f>
        <v>USD_YC6MRH_AM6LBASIS12Y#0001</v>
      </c>
      <c r="M17" s="134" t="str">
        <f>_xll.ohRangeRetrieveError(L17)</f>
        <v/>
      </c>
      <c r="N17" s="133"/>
    </row>
    <row r="18" spans="1:14" x14ac:dyDescent="0.2">
      <c r="A18" s="78"/>
      <c r="B18" s="139" t="str">
        <f t="shared" si="4"/>
        <v>0D</v>
      </c>
      <c r="C18" s="139" t="s">
        <v>21</v>
      </c>
      <c r="D18" s="139" t="str">
        <f t="shared" si="5"/>
        <v>AM</v>
      </c>
      <c r="E18" s="139" t="str">
        <f t="shared" si="6"/>
        <v>6L</v>
      </c>
      <c r="F18" s="138" t="str">
        <f t="shared" si="0"/>
        <v>Annual</v>
      </c>
      <c r="G18" s="138" t="s">
        <v>126</v>
      </c>
      <c r="H18" s="138" t="str">
        <f t="shared" si="1"/>
        <v>Actual/360</v>
      </c>
      <c r="I18" s="137">
        <v>0</v>
      </c>
      <c r="J18" s="136" t="str">
        <f t="shared" si="2"/>
        <v>USDAM3L13Y_S6L3L_Quote</v>
      </c>
      <c r="K18" s="136" t="str">
        <f t="shared" si="3"/>
        <v>USD_YC6MRH_AM6LBASIS13Y</v>
      </c>
      <c r="L18" s="135" t="str">
        <f>_xll.qlSwapRateHelper2(K18,$J18,$C18,Calendar,$F18,$G18,$H18,$L$4,$I18,B18,DiscountingCurve,Permanent,,ObjectOverwrite)</f>
        <v>USD_YC6MRH_AM6LBASIS13Y#0001</v>
      </c>
      <c r="M18" s="134" t="str">
        <f>_xll.ohRangeRetrieveError(L18)</f>
        <v/>
      </c>
      <c r="N18" s="133"/>
    </row>
    <row r="19" spans="1:14" x14ac:dyDescent="0.2">
      <c r="A19" s="78"/>
      <c r="B19" s="139" t="str">
        <f t="shared" si="4"/>
        <v>0D</v>
      </c>
      <c r="C19" s="139" t="s">
        <v>20</v>
      </c>
      <c r="D19" s="139" t="str">
        <f t="shared" si="5"/>
        <v>AM</v>
      </c>
      <c r="E19" s="139" t="str">
        <f t="shared" si="6"/>
        <v>6L</v>
      </c>
      <c r="F19" s="138" t="str">
        <f t="shared" si="0"/>
        <v>Annual</v>
      </c>
      <c r="G19" s="138" t="s">
        <v>126</v>
      </c>
      <c r="H19" s="138" t="str">
        <f t="shared" si="1"/>
        <v>Actual/360</v>
      </c>
      <c r="I19" s="137">
        <v>0</v>
      </c>
      <c r="J19" s="136" t="str">
        <f t="shared" si="2"/>
        <v>USDAM3L14Y_S6L3L_Quote</v>
      </c>
      <c r="K19" s="136" t="str">
        <f t="shared" si="3"/>
        <v>USD_YC6MRH_AM6LBASIS14Y</v>
      </c>
      <c r="L19" s="135" t="str">
        <f>_xll.qlSwapRateHelper2(K19,$J19,$C19,Calendar,$F19,$G19,$H19,$L$4,$I19,B19,DiscountingCurve,Permanent,,ObjectOverwrite)</f>
        <v>USD_YC6MRH_AM6LBASIS14Y#0001</v>
      </c>
      <c r="M19" s="134" t="str">
        <f>_xll.ohRangeRetrieveError(L19)</f>
        <v/>
      </c>
      <c r="N19" s="133"/>
    </row>
    <row r="20" spans="1:14" x14ac:dyDescent="0.2">
      <c r="A20" s="78"/>
      <c r="B20" s="139" t="str">
        <f t="shared" si="4"/>
        <v>0D</v>
      </c>
      <c r="C20" s="139" t="s">
        <v>19</v>
      </c>
      <c r="D20" s="139" t="str">
        <f t="shared" si="5"/>
        <v>AM</v>
      </c>
      <c r="E20" s="139" t="str">
        <f t="shared" si="6"/>
        <v>6L</v>
      </c>
      <c r="F20" s="138" t="str">
        <f t="shared" si="0"/>
        <v>Annual</v>
      </c>
      <c r="G20" s="138" t="s">
        <v>126</v>
      </c>
      <c r="H20" s="138" t="str">
        <f t="shared" si="1"/>
        <v>Actual/360</v>
      </c>
      <c r="I20" s="137">
        <v>0</v>
      </c>
      <c r="J20" s="136" t="str">
        <f t="shared" si="2"/>
        <v>USDAM3L15Y_S6L3L_Quote</v>
      </c>
      <c r="K20" s="136" t="str">
        <f t="shared" si="3"/>
        <v>USD_YC6MRH_AM6LBASIS15Y</v>
      </c>
      <c r="L20" s="135" t="str">
        <f>_xll.qlSwapRateHelper2(K20,$J20,$C20,Calendar,$F20,$G20,$H20,$L$4,$I20,B20,DiscountingCurve,Permanent,,ObjectOverwrite)</f>
        <v>USD_YC6MRH_AM6LBASIS15Y#0001</v>
      </c>
      <c r="M20" s="134" t="str">
        <f>_xll.ohRangeRetrieveError(L20)</f>
        <v/>
      </c>
      <c r="N20" s="133"/>
    </row>
    <row r="21" spans="1:14" x14ac:dyDescent="0.2">
      <c r="A21" s="78"/>
      <c r="B21" s="139" t="str">
        <f t="shared" si="4"/>
        <v>0D</v>
      </c>
      <c r="C21" s="139" t="s">
        <v>18</v>
      </c>
      <c r="D21" s="139" t="str">
        <f t="shared" si="5"/>
        <v>AM</v>
      </c>
      <c r="E21" s="139" t="str">
        <f t="shared" si="6"/>
        <v>6L</v>
      </c>
      <c r="F21" s="138" t="str">
        <f t="shared" si="0"/>
        <v>Annual</v>
      </c>
      <c r="G21" s="138" t="s">
        <v>126</v>
      </c>
      <c r="H21" s="138" t="str">
        <f t="shared" si="1"/>
        <v>Actual/360</v>
      </c>
      <c r="I21" s="137">
        <v>0</v>
      </c>
      <c r="J21" s="136" t="str">
        <f t="shared" si="2"/>
        <v>USDAM3L16Y_S6L3L_Quote</v>
      </c>
      <c r="K21" s="136" t="str">
        <f t="shared" si="3"/>
        <v>USD_YC6MRH_AM6LBASIS16Y</v>
      </c>
      <c r="L21" s="135" t="str">
        <f>_xll.qlSwapRateHelper2(K21,$J21,$C21,Calendar,$F21,$G21,$H21,$L$4,$I21,B21,DiscountingCurve,Permanent,,ObjectOverwrite)</f>
        <v>USD_YC6MRH_AM6LBASIS16Y#0001</v>
      </c>
      <c r="M21" s="134" t="str">
        <f>_xll.ohRangeRetrieveError(L21)</f>
        <v/>
      </c>
      <c r="N21" s="133"/>
    </row>
    <row r="22" spans="1:14" x14ac:dyDescent="0.2">
      <c r="A22" s="78"/>
      <c r="B22" s="139" t="str">
        <f t="shared" si="4"/>
        <v>0D</v>
      </c>
      <c r="C22" s="139" t="s">
        <v>17</v>
      </c>
      <c r="D22" s="139" t="str">
        <f t="shared" si="5"/>
        <v>AM</v>
      </c>
      <c r="E22" s="139" t="str">
        <f t="shared" si="6"/>
        <v>6L</v>
      </c>
      <c r="F22" s="138" t="str">
        <f t="shared" si="0"/>
        <v>Annual</v>
      </c>
      <c r="G22" s="138" t="s">
        <v>126</v>
      </c>
      <c r="H22" s="138" t="str">
        <f t="shared" si="1"/>
        <v>Actual/360</v>
      </c>
      <c r="I22" s="137">
        <v>0</v>
      </c>
      <c r="J22" s="136" t="str">
        <f t="shared" si="2"/>
        <v>USDAM3L17Y_S6L3L_Quote</v>
      </c>
      <c r="K22" s="136" t="str">
        <f t="shared" si="3"/>
        <v>USD_YC6MRH_AM6LBASIS17Y</v>
      </c>
      <c r="L22" s="135" t="str">
        <f>_xll.qlSwapRateHelper2(K22,$J22,$C22,Calendar,$F22,$G22,$H22,$L$4,$I22,B22,DiscountingCurve,Permanent,,ObjectOverwrite)</f>
        <v>USD_YC6MRH_AM6LBASIS17Y#0001</v>
      </c>
      <c r="M22" s="134" t="str">
        <f>_xll.ohRangeRetrieveError(L22)</f>
        <v/>
      </c>
      <c r="N22" s="133"/>
    </row>
    <row r="23" spans="1:14" x14ac:dyDescent="0.2">
      <c r="A23" s="78"/>
      <c r="B23" s="139" t="str">
        <f t="shared" si="4"/>
        <v>0D</v>
      </c>
      <c r="C23" s="139" t="s">
        <v>16</v>
      </c>
      <c r="D23" s="139" t="str">
        <f t="shared" si="5"/>
        <v>AM</v>
      </c>
      <c r="E23" s="139" t="str">
        <f t="shared" si="6"/>
        <v>6L</v>
      </c>
      <c r="F23" s="138" t="str">
        <f t="shared" si="0"/>
        <v>Annual</v>
      </c>
      <c r="G23" s="138" t="s">
        <v>126</v>
      </c>
      <c r="H23" s="138" t="str">
        <f t="shared" si="1"/>
        <v>Actual/360</v>
      </c>
      <c r="I23" s="137">
        <v>0</v>
      </c>
      <c r="J23" s="136" t="str">
        <f t="shared" si="2"/>
        <v>USDAM3L18Y_S6L3L_Quote</v>
      </c>
      <c r="K23" s="136" t="str">
        <f t="shared" si="3"/>
        <v>USD_YC6MRH_AM6LBASIS18Y</v>
      </c>
      <c r="L23" s="135" t="str">
        <f>_xll.qlSwapRateHelper2(K23,$J23,$C23,Calendar,$F23,$G23,$H23,$L$4,$I23,B23,DiscountingCurve,Permanent,,ObjectOverwrite)</f>
        <v>USD_YC6MRH_AM6LBASIS18Y#0001</v>
      </c>
      <c r="M23" s="134" t="str">
        <f>_xll.ohRangeRetrieveError(L23)</f>
        <v/>
      </c>
      <c r="N23" s="133"/>
    </row>
    <row r="24" spans="1:14" x14ac:dyDescent="0.2">
      <c r="A24" s="78"/>
      <c r="B24" s="139" t="str">
        <f t="shared" si="4"/>
        <v>0D</v>
      </c>
      <c r="C24" s="139" t="s">
        <v>15</v>
      </c>
      <c r="D24" s="139" t="str">
        <f t="shared" si="5"/>
        <v>AM</v>
      </c>
      <c r="E24" s="139" t="str">
        <f t="shared" si="6"/>
        <v>6L</v>
      </c>
      <c r="F24" s="138" t="str">
        <f t="shared" si="0"/>
        <v>Annual</v>
      </c>
      <c r="G24" s="138" t="s">
        <v>126</v>
      </c>
      <c r="H24" s="138" t="str">
        <f t="shared" si="1"/>
        <v>Actual/360</v>
      </c>
      <c r="I24" s="137">
        <v>0</v>
      </c>
      <c r="J24" s="136" t="str">
        <f t="shared" si="2"/>
        <v>USDAM3L19Y_S6L3L_Quote</v>
      </c>
      <c r="K24" s="136" t="str">
        <f t="shared" si="3"/>
        <v>USD_YC6MRH_AM6LBASIS19Y</v>
      </c>
      <c r="L24" s="135" t="str">
        <f>_xll.qlSwapRateHelper2(K24,$J24,$C24,Calendar,$F24,$G24,$H24,$L$4,$I24,B24,DiscountingCurve,Permanent,,ObjectOverwrite)</f>
        <v>USD_YC6MRH_AM6LBASIS19Y#0001</v>
      </c>
      <c r="M24" s="134" t="str">
        <f>_xll.ohRangeRetrieveError(L24)</f>
        <v/>
      </c>
      <c r="N24" s="133"/>
    </row>
    <row r="25" spans="1:14" x14ac:dyDescent="0.2">
      <c r="A25" s="78"/>
      <c r="B25" s="139" t="str">
        <f t="shared" si="4"/>
        <v>0D</v>
      </c>
      <c r="C25" s="139" t="s">
        <v>14</v>
      </c>
      <c r="D25" s="139" t="str">
        <f t="shared" si="5"/>
        <v>AM</v>
      </c>
      <c r="E25" s="139" t="str">
        <f t="shared" si="6"/>
        <v>6L</v>
      </c>
      <c r="F25" s="138" t="str">
        <f t="shared" si="0"/>
        <v>Annual</v>
      </c>
      <c r="G25" s="138" t="s">
        <v>126</v>
      </c>
      <c r="H25" s="138" t="str">
        <f t="shared" si="1"/>
        <v>Actual/360</v>
      </c>
      <c r="I25" s="137">
        <v>0</v>
      </c>
      <c r="J25" s="136" t="str">
        <f t="shared" si="2"/>
        <v>USDAM3L20Y_S6L3L_Quote</v>
      </c>
      <c r="K25" s="136" t="str">
        <f t="shared" si="3"/>
        <v>USD_YC6MRH_AM6LBASIS20Y</v>
      </c>
      <c r="L25" s="135" t="str">
        <f>_xll.qlSwapRateHelper2(K25,$J25,$C25,Calendar,$F25,$G25,$H25,$L$4,$I25,B25,DiscountingCurve,Permanent,,ObjectOverwrite)</f>
        <v>USD_YC6MRH_AM6LBASIS20Y#0001</v>
      </c>
      <c r="M25" s="134" t="str">
        <f>_xll.ohRangeRetrieveError(L25)</f>
        <v/>
      </c>
      <c r="N25" s="133"/>
    </row>
    <row r="26" spans="1:14" x14ac:dyDescent="0.2">
      <c r="A26" s="78"/>
      <c r="B26" s="139" t="str">
        <f t="shared" si="4"/>
        <v>0D</v>
      </c>
      <c r="C26" s="139" t="s">
        <v>13</v>
      </c>
      <c r="D26" s="139" t="str">
        <f t="shared" si="5"/>
        <v>AM</v>
      </c>
      <c r="E26" s="139" t="str">
        <f t="shared" si="6"/>
        <v>6L</v>
      </c>
      <c r="F26" s="138" t="str">
        <f t="shared" si="0"/>
        <v>Annual</v>
      </c>
      <c r="G26" s="138" t="s">
        <v>126</v>
      </c>
      <c r="H26" s="138" t="str">
        <f t="shared" si="1"/>
        <v>Actual/360</v>
      </c>
      <c r="I26" s="137">
        <v>0</v>
      </c>
      <c r="J26" s="136" t="str">
        <f t="shared" si="2"/>
        <v>USDAM3L21Y_S6L3L_Quote</v>
      </c>
      <c r="K26" s="136" t="str">
        <f t="shared" si="3"/>
        <v>USD_YC6MRH_AM6LBASIS21Y</v>
      </c>
      <c r="L26" s="135" t="str">
        <f>_xll.qlSwapRateHelper2(K26,$J26,$C26,Calendar,$F26,$G26,$H26,$L$4,$I26,B26,DiscountingCurve,Permanent,,ObjectOverwrite)</f>
        <v>USD_YC6MRH_AM6LBASIS21Y#0001</v>
      </c>
      <c r="M26" s="134" t="str">
        <f>_xll.ohRangeRetrieveError(L26)</f>
        <v/>
      </c>
      <c r="N26" s="133"/>
    </row>
    <row r="27" spans="1:14" x14ac:dyDescent="0.2">
      <c r="A27" s="78"/>
      <c r="B27" s="139" t="str">
        <f t="shared" si="4"/>
        <v>0D</v>
      </c>
      <c r="C27" s="139" t="s">
        <v>12</v>
      </c>
      <c r="D27" s="139" t="str">
        <f t="shared" si="5"/>
        <v>AM</v>
      </c>
      <c r="E27" s="139" t="str">
        <f t="shared" si="6"/>
        <v>6L</v>
      </c>
      <c r="F27" s="138" t="str">
        <f t="shared" si="0"/>
        <v>Annual</v>
      </c>
      <c r="G27" s="138" t="s">
        <v>126</v>
      </c>
      <c r="H27" s="138" t="str">
        <f t="shared" si="1"/>
        <v>Actual/360</v>
      </c>
      <c r="I27" s="137">
        <v>0</v>
      </c>
      <c r="J27" s="136" t="str">
        <f t="shared" si="2"/>
        <v>USDAM3L22Y_S6L3L_Quote</v>
      </c>
      <c r="K27" s="136" t="str">
        <f t="shared" si="3"/>
        <v>USD_YC6MRH_AM6LBASIS22Y</v>
      </c>
      <c r="L27" s="135" t="str">
        <f>_xll.qlSwapRateHelper2(K27,$J27,$C27,Calendar,$F27,$G27,$H27,$L$4,$I27,B27,DiscountingCurve,Permanent,,ObjectOverwrite)</f>
        <v>USD_YC6MRH_AM6LBASIS22Y#0001</v>
      </c>
      <c r="M27" s="134" t="str">
        <f>_xll.ohRangeRetrieveError(L27)</f>
        <v/>
      </c>
      <c r="N27" s="133"/>
    </row>
    <row r="28" spans="1:14" x14ac:dyDescent="0.2">
      <c r="A28" s="78"/>
      <c r="B28" s="139" t="str">
        <f t="shared" si="4"/>
        <v>0D</v>
      </c>
      <c r="C28" s="139" t="s">
        <v>11</v>
      </c>
      <c r="D28" s="139" t="str">
        <f t="shared" si="5"/>
        <v>AM</v>
      </c>
      <c r="E28" s="139" t="str">
        <f t="shared" si="6"/>
        <v>6L</v>
      </c>
      <c r="F28" s="138" t="str">
        <f t="shared" si="0"/>
        <v>Annual</v>
      </c>
      <c r="G28" s="138" t="s">
        <v>126</v>
      </c>
      <c r="H28" s="138" t="str">
        <f t="shared" si="1"/>
        <v>Actual/360</v>
      </c>
      <c r="I28" s="137">
        <v>0</v>
      </c>
      <c r="J28" s="136" t="str">
        <f t="shared" si="2"/>
        <v>USDAM3L23Y_S6L3L_Quote</v>
      </c>
      <c r="K28" s="136" t="str">
        <f t="shared" si="3"/>
        <v>USD_YC6MRH_AM6LBASIS23Y</v>
      </c>
      <c r="L28" s="135" t="str">
        <f>_xll.qlSwapRateHelper2(K28,$J28,$C28,Calendar,$F28,$G28,$H28,$L$4,$I28,B28,DiscountingCurve,Permanent,,ObjectOverwrite)</f>
        <v>USD_YC6MRH_AM6LBASIS23Y#0001</v>
      </c>
      <c r="M28" s="134" t="str">
        <f>_xll.ohRangeRetrieveError(L28)</f>
        <v/>
      </c>
      <c r="N28" s="133"/>
    </row>
    <row r="29" spans="1:14" x14ac:dyDescent="0.2">
      <c r="A29" s="78"/>
      <c r="B29" s="139" t="str">
        <f t="shared" si="4"/>
        <v>0D</v>
      </c>
      <c r="C29" s="139" t="s">
        <v>10</v>
      </c>
      <c r="D29" s="139" t="str">
        <f t="shared" si="5"/>
        <v>AM</v>
      </c>
      <c r="E29" s="139" t="str">
        <f t="shared" si="6"/>
        <v>6L</v>
      </c>
      <c r="F29" s="138" t="str">
        <f t="shared" si="0"/>
        <v>Annual</v>
      </c>
      <c r="G29" s="138" t="s">
        <v>126</v>
      </c>
      <c r="H29" s="138" t="str">
        <f t="shared" si="1"/>
        <v>Actual/360</v>
      </c>
      <c r="I29" s="137">
        <v>0</v>
      </c>
      <c r="J29" s="136" t="str">
        <f t="shared" si="2"/>
        <v>USDAM3L24Y_S6L3L_Quote</v>
      </c>
      <c r="K29" s="136" t="str">
        <f t="shared" si="3"/>
        <v>USD_YC6MRH_AM6LBASIS24Y</v>
      </c>
      <c r="L29" s="135" t="str">
        <f>_xll.qlSwapRateHelper2(K29,$J29,$C29,Calendar,$F29,$G29,$H29,$L$4,$I29,B29,DiscountingCurve,Permanent,,ObjectOverwrite)</f>
        <v>USD_YC6MRH_AM6LBASIS24Y#0001</v>
      </c>
      <c r="M29" s="134" t="str">
        <f>_xll.ohRangeRetrieveError(L29)</f>
        <v/>
      </c>
      <c r="N29" s="133"/>
    </row>
    <row r="30" spans="1:14" x14ac:dyDescent="0.2">
      <c r="A30" s="78"/>
      <c r="B30" s="139" t="str">
        <f t="shared" si="4"/>
        <v>0D</v>
      </c>
      <c r="C30" s="139" t="s">
        <v>9</v>
      </c>
      <c r="D30" s="139" t="str">
        <f t="shared" si="5"/>
        <v>AM</v>
      </c>
      <c r="E30" s="139" t="str">
        <f t="shared" si="6"/>
        <v>6L</v>
      </c>
      <c r="F30" s="138" t="str">
        <f t="shared" si="0"/>
        <v>Annual</v>
      </c>
      <c r="G30" s="138" t="s">
        <v>126</v>
      </c>
      <c r="H30" s="138" t="str">
        <f t="shared" si="1"/>
        <v>Actual/360</v>
      </c>
      <c r="I30" s="137">
        <v>0</v>
      </c>
      <c r="J30" s="136" t="str">
        <f t="shared" si="2"/>
        <v>USDAM3L25Y_S6L3L_Quote</v>
      </c>
      <c r="K30" s="136" t="str">
        <f t="shared" si="3"/>
        <v>USD_YC6MRH_AM6LBASIS25Y</v>
      </c>
      <c r="L30" s="135" t="str">
        <f>_xll.qlSwapRateHelper2(K30,$J30,$C30,Calendar,$F30,$G30,$H30,$L$4,$I30,B30,DiscountingCurve,Permanent,,ObjectOverwrite)</f>
        <v>USD_YC6MRH_AM6LBASIS25Y#0001</v>
      </c>
      <c r="M30" s="134" t="str">
        <f>_xll.ohRangeRetrieveError(L30)</f>
        <v/>
      </c>
      <c r="N30" s="133"/>
    </row>
    <row r="31" spans="1:14" x14ac:dyDescent="0.2">
      <c r="A31" s="78"/>
      <c r="B31" s="139" t="str">
        <f t="shared" si="4"/>
        <v>0D</v>
      </c>
      <c r="C31" s="139" t="s">
        <v>8</v>
      </c>
      <c r="D31" s="139" t="str">
        <f t="shared" si="5"/>
        <v>AM</v>
      </c>
      <c r="E31" s="139" t="str">
        <f t="shared" si="6"/>
        <v>6L</v>
      </c>
      <c r="F31" s="138" t="str">
        <f t="shared" si="0"/>
        <v>Annual</v>
      </c>
      <c r="G31" s="138" t="s">
        <v>126</v>
      </c>
      <c r="H31" s="138" t="str">
        <f t="shared" si="1"/>
        <v>Actual/360</v>
      </c>
      <c r="I31" s="137">
        <v>0</v>
      </c>
      <c r="J31" s="136" t="str">
        <f t="shared" si="2"/>
        <v>USDAM3L26Y_S6L3L_Quote</v>
      </c>
      <c r="K31" s="136" t="str">
        <f t="shared" si="3"/>
        <v>USD_YC6MRH_AM6LBASIS26Y</v>
      </c>
      <c r="L31" s="135" t="str">
        <f>_xll.qlSwapRateHelper2(K31,$J31,$C31,Calendar,$F31,$G31,$H31,$L$4,$I31,B31,DiscountingCurve,Permanent,,ObjectOverwrite)</f>
        <v>USD_YC6MRH_AM6LBASIS26Y#0001</v>
      </c>
      <c r="M31" s="134" t="str">
        <f>_xll.ohRangeRetrieveError(L31)</f>
        <v/>
      </c>
      <c r="N31" s="133"/>
    </row>
    <row r="32" spans="1:14" x14ac:dyDescent="0.2">
      <c r="A32" s="78"/>
      <c r="B32" s="139" t="str">
        <f t="shared" si="4"/>
        <v>0D</v>
      </c>
      <c r="C32" s="139" t="s">
        <v>7</v>
      </c>
      <c r="D32" s="139" t="str">
        <f t="shared" si="5"/>
        <v>AM</v>
      </c>
      <c r="E32" s="139" t="str">
        <f t="shared" si="6"/>
        <v>6L</v>
      </c>
      <c r="F32" s="138" t="str">
        <f t="shared" si="0"/>
        <v>Annual</v>
      </c>
      <c r="G32" s="138" t="s">
        <v>126</v>
      </c>
      <c r="H32" s="138" t="str">
        <f t="shared" si="1"/>
        <v>Actual/360</v>
      </c>
      <c r="I32" s="137">
        <v>0</v>
      </c>
      <c r="J32" s="136" t="str">
        <f t="shared" si="2"/>
        <v>USDAM3L27Y_S6L3L_Quote</v>
      </c>
      <c r="K32" s="136" t="str">
        <f t="shared" si="3"/>
        <v>USD_YC6MRH_AM6LBASIS27Y</v>
      </c>
      <c r="L32" s="135" t="str">
        <f>_xll.qlSwapRateHelper2(K32,$J32,$C32,Calendar,$F32,$G32,$H32,$L$4,$I32,B32,DiscountingCurve,Permanent,,ObjectOverwrite)</f>
        <v>USD_YC6MRH_AM6LBASIS27Y#0001</v>
      </c>
      <c r="M32" s="134" t="str">
        <f>_xll.ohRangeRetrieveError(L32)</f>
        <v/>
      </c>
      <c r="N32" s="133"/>
    </row>
    <row r="33" spans="1:14" x14ac:dyDescent="0.2">
      <c r="A33" s="78"/>
      <c r="B33" s="139" t="str">
        <f t="shared" si="4"/>
        <v>0D</v>
      </c>
      <c r="C33" s="139" t="s">
        <v>6</v>
      </c>
      <c r="D33" s="139" t="str">
        <f t="shared" si="5"/>
        <v>AM</v>
      </c>
      <c r="E33" s="139" t="str">
        <f t="shared" si="6"/>
        <v>6L</v>
      </c>
      <c r="F33" s="138" t="str">
        <f t="shared" si="0"/>
        <v>Annual</v>
      </c>
      <c r="G33" s="138" t="s">
        <v>126</v>
      </c>
      <c r="H33" s="138" t="str">
        <f t="shared" si="1"/>
        <v>Actual/360</v>
      </c>
      <c r="I33" s="137">
        <v>0</v>
      </c>
      <c r="J33" s="136" t="str">
        <f t="shared" si="2"/>
        <v>USDAM3L28Y_S6L3L_Quote</v>
      </c>
      <c r="K33" s="136" t="str">
        <f t="shared" si="3"/>
        <v>USD_YC6MRH_AM6LBASIS28Y</v>
      </c>
      <c r="L33" s="135" t="str">
        <f>_xll.qlSwapRateHelper2(K33,$J33,$C33,Calendar,$F33,$G33,$H33,$L$4,$I33,B33,DiscountingCurve,Permanent,,ObjectOverwrite)</f>
        <v>USD_YC6MRH_AM6LBASIS28Y#0001</v>
      </c>
      <c r="M33" s="134" t="str">
        <f>_xll.ohRangeRetrieveError(L33)</f>
        <v/>
      </c>
      <c r="N33" s="133"/>
    </row>
    <row r="34" spans="1:14" x14ac:dyDescent="0.2">
      <c r="A34" s="78"/>
      <c r="B34" s="139" t="str">
        <f t="shared" si="4"/>
        <v>0D</v>
      </c>
      <c r="C34" s="139" t="s">
        <v>5</v>
      </c>
      <c r="D34" s="139" t="str">
        <f t="shared" si="5"/>
        <v>AM</v>
      </c>
      <c r="E34" s="139" t="str">
        <f t="shared" si="6"/>
        <v>6L</v>
      </c>
      <c r="F34" s="138" t="str">
        <f t="shared" si="0"/>
        <v>Annual</v>
      </c>
      <c r="G34" s="138" t="s">
        <v>126</v>
      </c>
      <c r="H34" s="138" t="str">
        <f t="shared" si="1"/>
        <v>Actual/360</v>
      </c>
      <c r="I34" s="137">
        <v>0</v>
      </c>
      <c r="J34" s="136" t="str">
        <f t="shared" si="2"/>
        <v>USDAM3L29Y_S6L3L_Quote</v>
      </c>
      <c r="K34" s="136" t="str">
        <f t="shared" si="3"/>
        <v>USD_YC6MRH_AM6LBASIS29Y</v>
      </c>
      <c r="L34" s="135" t="str">
        <f>_xll.qlSwapRateHelper2(K34,$J34,$C34,Calendar,$F34,$G34,$H34,$L$4,$I34,B34,DiscountingCurve,Permanent,,ObjectOverwrite)</f>
        <v>USD_YC6MRH_AM6LBASIS29Y#0001</v>
      </c>
      <c r="M34" s="134" t="str">
        <f>_xll.ohRangeRetrieveError(L34)</f>
        <v/>
      </c>
      <c r="N34" s="133"/>
    </row>
    <row r="35" spans="1:14" x14ac:dyDescent="0.2">
      <c r="A35" s="78"/>
      <c r="B35" s="139" t="str">
        <f t="shared" si="4"/>
        <v>0D</v>
      </c>
      <c r="C35" s="139" t="s">
        <v>4</v>
      </c>
      <c r="D35" s="139" t="str">
        <f t="shared" si="5"/>
        <v>AM</v>
      </c>
      <c r="E35" s="139" t="str">
        <f t="shared" si="6"/>
        <v>6L</v>
      </c>
      <c r="F35" s="138" t="str">
        <f t="shared" si="0"/>
        <v>Annual</v>
      </c>
      <c r="G35" s="138" t="s">
        <v>126</v>
      </c>
      <c r="H35" s="138" t="str">
        <f t="shared" si="1"/>
        <v>Actual/360</v>
      </c>
      <c r="I35" s="137">
        <v>0</v>
      </c>
      <c r="J35" s="136" t="str">
        <f t="shared" si="2"/>
        <v>USDAM3L30Y_S6L3L_Quote</v>
      </c>
      <c r="K35" s="136" t="str">
        <f t="shared" si="3"/>
        <v>USD_YC6MRH_AM6LBASIS30Y</v>
      </c>
      <c r="L35" s="135" t="str">
        <f>_xll.qlSwapRateHelper2(K35,$J35,$C35,Calendar,$F35,$G35,$H35,$L$4,$I35,B35,DiscountingCurve,Permanent,,ObjectOverwrite)</f>
        <v>USD_YC6MRH_AM6LBASIS30Y#0001</v>
      </c>
      <c r="M35" s="134" t="str">
        <f>_xll.ohRangeRetrieveError(L35)</f>
        <v/>
      </c>
      <c r="N35" s="133"/>
    </row>
    <row r="36" spans="1:14" x14ac:dyDescent="0.2">
      <c r="A36" s="78"/>
      <c r="B36" s="139" t="str">
        <f t="shared" si="4"/>
        <v>0D</v>
      </c>
      <c r="C36" s="139" t="s">
        <v>3</v>
      </c>
      <c r="D36" s="139" t="str">
        <f t="shared" si="5"/>
        <v>AM</v>
      </c>
      <c r="E36" s="139" t="str">
        <f t="shared" si="6"/>
        <v>6L</v>
      </c>
      <c r="F36" s="138" t="str">
        <f t="shared" si="0"/>
        <v>Annual</v>
      </c>
      <c r="G36" s="138" t="s">
        <v>126</v>
      </c>
      <c r="H36" s="138" t="str">
        <f t="shared" si="1"/>
        <v>Actual/360</v>
      </c>
      <c r="I36" s="137">
        <v>0</v>
      </c>
      <c r="J36" s="136" t="str">
        <f t="shared" si="2"/>
        <v>USDAM3L35Y_S6L3L_Quote</v>
      </c>
      <c r="K36" s="136" t="str">
        <f t="shared" si="3"/>
        <v>USD_YC6MRH_AM6LBASIS35Y</v>
      </c>
      <c r="L36" s="135" t="str">
        <f>_xll.qlSwapRateHelper2(K36,$J36,$C36,Calendar,$F36,$G36,$H36,$L$4,$I36,B36,DiscountingCurve,Permanent,,ObjectOverwrite)</f>
        <v>USD_YC6MRH_AM6LBASIS35Y#0001</v>
      </c>
      <c r="M36" s="134" t="str">
        <f>_xll.ohRangeRetrieveError(L36)</f>
        <v/>
      </c>
      <c r="N36" s="133"/>
    </row>
    <row r="37" spans="1:14" x14ac:dyDescent="0.2">
      <c r="A37" s="78"/>
      <c r="B37" s="139" t="str">
        <f t="shared" si="4"/>
        <v>0D</v>
      </c>
      <c r="C37" s="139" t="s">
        <v>2</v>
      </c>
      <c r="D37" s="139" t="str">
        <f t="shared" si="5"/>
        <v>AM</v>
      </c>
      <c r="E37" s="139" t="str">
        <f t="shared" si="6"/>
        <v>6L</v>
      </c>
      <c r="F37" s="138" t="str">
        <f t="shared" si="0"/>
        <v>Annual</v>
      </c>
      <c r="G37" s="138" t="s">
        <v>126</v>
      </c>
      <c r="H37" s="138" t="str">
        <f t="shared" si="1"/>
        <v>Actual/360</v>
      </c>
      <c r="I37" s="137">
        <v>0</v>
      </c>
      <c r="J37" s="136" t="str">
        <f t="shared" si="2"/>
        <v>USDAM3L40Y_S6L3L_Quote</v>
      </c>
      <c r="K37" s="136" t="str">
        <f t="shared" si="3"/>
        <v>USD_YC6MRH_AM6LBASIS40Y</v>
      </c>
      <c r="L37" s="135" t="str">
        <f>_xll.qlSwapRateHelper2(K37,$J37,$C37,Calendar,$F37,$G37,$H37,$L$4,$I37,B37,DiscountingCurve,Permanent,,ObjectOverwrite)</f>
        <v>USD_YC6MRH_AM6LBASIS40Y#0001</v>
      </c>
      <c r="M37" s="134" t="str">
        <f>_xll.ohRangeRetrieveError(L37)</f>
        <v/>
      </c>
      <c r="N37" s="133"/>
    </row>
    <row r="38" spans="1:14" x14ac:dyDescent="0.2">
      <c r="A38" s="78"/>
      <c r="B38" s="139" t="str">
        <f t="shared" si="4"/>
        <v>0D</v>
      </c>
      <c r="C38" s="139" t="s">
        <v>1</v>
      </c>
      <c r="D38" s="139" t="str">
        <f t="shared" si="5"/>
        <v>AM</v>
      </c>
      <c r="E38" s="139" t="str">
        <f t="shared" si="6"/>
        <v>6L</v>
      </c>
      <c r="F38" s="138" t="str">
        <f t="shared" si="0"/>
        <v>Annual</v>
      </c>
      <c r="G38" s="138" t="s">
        <v>126</v>
      </c>
      <c r="H38" s="138" t="str">
        <f t="shared" si="1"/>
        <v>Actual/360</v>
      </c>
      <c r="I38" s="137">
        <v>0</v>
      </c>
      <c r="J38" s="136" t="str">
        <f t="shared" si="2"/>
        <v>USDAM3L50Y_S6L3L_Quote</v>
      </c>
      <c r="K38" s="136" t="str">
        <f t="shared" si="3"/>
        <v>USD_YC6MRH_AM6LBASIS50Y</v>
      </c>
      <c r="L38" s="135" t="str">
        <f>_xll.qlSwapRateHelper2(K38,$J38,$C38,Calendar,$F38,$G38,$H38,$L$4,$I38,B38,DiscountingCurve,Permanent,,ObjectOverwrite)</f>
        <v>USD_YC6MRH_AM6LBASIS50Y#0001</v>
      </c>
      <c r="M38" s="134" t="str">
        <f>_xll.ohRangeRetrieveError(L38)</f>
        <v/>
      </c>
      <c r="N38" s="133"/>
    </row>
    <row r="39" spans="1:14" x14ac:dyDescent="0.2">
      <c r="A39" s="78"/>
      <c r="B39" s="139" t="str">
        <f t="shared" si="4"/>
        <v>0D</v>
      </c>
      <c r="C39" s="139" t="s">
        <v>0</v>
      </c>
      <c r="D39" s="139" t="str">
        <f t="shared" si="5"/>
        <v>AM</v>
      </c>
      <c r="E39" s="139" t="str">
        <f t="shared" si="6"/>
        <v>6L</v>
      </c>
      <c r="F39" s="138" t="str">
        <f t="shared" si="0"/>
        <v>Annual</v>
      </c>
      <c r="G39" s="138" t="s">
        <v>126</v>
      </c>
      <c r="H39" s="138" t="str">
        <f t="shared" si="1"/>
        <v>Actual/360</v>
      </c>
      <c r="I39" s="137">
        <v>0</v>
      </c>
      <c r="J39" s="136" t="str">
        <f t="shared" si="2"/>
        <v>USDAM3L60Y_S6L3L_Quote</v>
      </c>
      <c r="K39" s="136" t="str">
        <f t="shared" si="3"/>
        <v>USD_YC6MRH_AM6LBASIS60Y</v>
      </c>
      <c r="L39" s="135" t="str">
        <f>_xll.qlSwapRateHelper2(K39,$J39,$C39,Calendar,$F39,$G39,$H39,$L$4,$I39,B39,DiscountingCurve,Permanent,,ObjectOverwrite)</f>
        <v>USD_YC6MRH_AM6LBASIS60Y#0001</v>
      </c>
      <c r="M39" s="134" t="str">
        <f>_xll.ohRangeRetrieveError(L39)</f>
        <v/>
      </c>
      <c r="N39" s="133"/>
    </row>
    <row r="40" spans="1:14" ht="12" thickBot="1" x14ac:dyDescent="0.25">
      <c r="A40" s="71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132"/>
      <c r="M40" s="132"/>
      <c r="N40" s="131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2014-05-02T10:06:13Z</dcterms:modified>
</cp:coreProperties>
</file>