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4800" windowHeight="11310" tabRatio="821"/>
  </bookViews>
  <sheets>
    <sheet name="General Settings" sheetId="6" r:id="rId1"/>
    <sheet name="RateHelpers" sheetId="4" r:id="rId2"/>
    <sheet name="Selected" sheetId="5" r:id="rId3"/>
    <sheet name="ON_Deposits" sheetId="9" r:id="rId4"/>
    <sheet name="ON_FRAs" sheetId="17" r:id="rId5"/>
    <sheet name="ON_Swaps" sheetId="30" r:id="rId6"/>
  </sheets>
  <definedNames>
    <definedName name="Accuracy">'General Settings'!$D$23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Settings'!$M$13</definedName>
    <definedName name="Discounting2">'General Settings'!$M$14</definedName>
    <definedName name="DiscountingCurve" localSheetId="5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RateHelpers!$J$2:$J$125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Selected!$D$1:$I$50</definedName>
    <definedName name="QuoteSuffix">'General Settings'!$M$12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16" i="6" l="1"/>
  <c r="M13" i="6"/>
  <c r="M14" i="6"/>
  <c r="D18" i="6" l="1"/>
  <c r="E18" i="6"/>
  <c r="L4" i="30"/>
  <c r="C30" i="6" l="1"/>
  <c r="H62" i="30" l="1"/>
  <c r="H63" i="30"/>
  <c r="H64" i="30"/>
  <c r="H65" i="30"/>
  <c r="H66" i="30"/>
  <c r="H67" i="30"/>
  <c r="H68" i="30"/>
  <c r="H69" i="30"/>
  <c r="H70" i="30"/>
  <c r="H71" i="30"/>
  <c r="H72" i="30"/>
  <c r="H73" i="30"/>
  <c r="H74" i="30"/>
  <c r="H75" i="30"/>
  <c r="H76" i="30"/>
  <c r="H77" i="30"/>
  <c r="H78" i="30"/>
  <c r="H79" i="30"/>
  <c r="H80" i="30"/>
  <c r="H81" i="30"/>
  <c r="H82" i="30"/>
  <c r="H83" i="30"/>
  <c r="H84" i="30"/>
  <c r="H85" i="30"/>
  <c r="H86" i="30"/>
  <c r="H87" i="30"/>
  <c r="H88" i="30"/>
  <c r="H89" i="30"/>
  <c r="H90" i="30"/>
  <c r="H91" i="30"/>
  <c r="H92" i="30"/>
  <c r="H93" i="30"/>
  <c r="H94" i="30"/>
  <c r="H95" i="30"/>
  <c r="H61" i="30"/>
  <c r="H7" i="30"/>
  <c r="H8" i="30"/>
  <c r="H9" i="30"/>
  <c r="H10" i="30"/>
  <c r="H11" i="30"/>
  <c r="H12" i="30"/>
  <c r="H13" i="30"/>
  <c r="H14" i="30"/>
  <c r="H15" i="30"/>
  <c r="H16" i="30"/>
  <c r="H17" i="30"/>
  <c r="H18" i="30"/>
  <c r="H19" i="30"/>
  <c r="H20" i="30"/>
  <c r="H21" i="30"/>
  <c r="H22" i="30"/>
  <c r="H23" i="30"/>
  <c r="H24" i="30"/>
  <c r="H25" i="30"/>
  <c r="H26" i="30"/>
  <c r="H27" i="30"/>
  <c r="H28" i="30"/>
  <c r="H29" i="30"/>
  <c r="H30" i="30"/>
  <c r="H31" i="30"/>
  <c r="H32" i="30"/>
  <c r="H33" i="30"/>
  <c r="H34" i="30"/>
  <c r="H35" i="30"/>
  <c r="H36" i="30"/>
  <c r="H37" i="30"/>
  <c r="H38" i="30"/>
  <c r="H39" i="30"/>
  <c r="H40" i="30"/>
  <c r="H41" i="30"/>
  <c r="H42" i="30"/>
  <c r="H43" i="30"/>
  <c r="H44" i="30"/>
  <c r="H45" i="30"/>
  <c r="H46" i="30"/>
  <c r="H47" i="30"/>
  <c r="H48" i="30"/>
  <c r="H49" i="30"/>
  <c r="H50" i="30"/>
  <c r="H51" i="30"/>
  <c r="H52" i="30"/>
  <c r="H53" i="30"/>
  <c r="H54" i="30"/>
  <c r="H55" i="30"/>
  <c r="H56" i="30"/>
  <c r="H57" i="30"/>
  <c r="H58" i="30"/>
  <c r="H59" i="30"/>
  <c r="H6" i="30"/>
  <c r="K2" i="30" l="1"/>
  <c r="K3" i="30" s="1"/>
  <c r="L2" i="30"/>
  <c r="J6" i="30"/>
  <c r="E7" i="30"/>
  <c r="J7" i="30" s="1"/>
  <c r="E8" i="30"/>
  <c r="J8" i="30" s="1"/>
  <c r="E9" i="30"/>
  <c r="J9" i="30" s="1"/>
  <c r="E10" i="30"/>
  <c r="J10" i="30" s="1"/>
  <c r="E11" i="30"/>
  <c r="J11" i="30" s="1"/>
  <c r="E12" i="30"/>
  <c r="J12" i="30" s="1"/>
  <c r="E13" i="30"/>
  <c r="J13" i="30" s="1"/>
  <c r="E14" i="30"/>
  <c r="J14" i="30" s="1"/>
  <c r="E15" i="30"/>
  <c r="J15" i="30" s="1"/>
  <c r="E16" i="30"/>
  <c r="J16" i="30" s="1"/>
  <c r="E17" i="30"/>
  <c r="J17" i="30" s="1"/>
  <c r="E18" i="30"/>
  <c r="J18" i="30" s="1"/>
  <c r="E19" i="30"/>
  <c r="J19" i="30" s="1"/>
  <c r="E20" i="30"/>
  <c r="J20" i="30" s="1"/>
  <c r="E21" i="30"/>
  <c r="J21" i="30" s="1"/>
  <c r="E22" i="30"/>
  <c r="J22" i="30" s="1"/>
  <c r="E23" i="30"/>
  <c r="J23" i="30" s="1"/>
  <c r="E24" i="30"/>
  <c r="J24" i="30" s="1"/>
  <c r="E25" i="30"/>
  <c r="J25" i="30" s="1"/>
  <c r="E26" i="30"/>
  <c r="J26" i="30" s="1"/>
  <c r="E27" i="30"/>
  <c r="J27" i="30" s="1"/>
  <c r="E28" i="30"/>
  <c r="J28" i="30" s="1"/>
  <c r="E29" i="30"/>
  <c r="J29" i="30" s="1"/>
  <c r="E30" i="30"/>
  <c r="J30" i="30" s="1"/>
  <c r="E31" i="30"/>
  <c r="J31" i="30" s="1"/>
  <c r="E32" i="30"/>
  <c r="J32" i="30" s="1"/>
  <c r="E33" i="30"/>
  <c r="J33" i="30" s="1"/>
  <c r="E34" i="30"/>
  <c r="J34" i="30" s="1"/>
  <c r="E35" i="30"/>
  <c r="J35" i="30" s="1"/>
  <c r="E36" i="30"/>
  <c r="J36" i="30" s="1"/>
  <c r="E37" i="30"/>
  <c r="J37" i="30" s="1"/>
  <c r="E38" i="30"/>
  <c r="J38" i="30" s="1"/>
  <c r="E39" i="30"/>
  <c r="J39" i="30" s="1"/>
  <c r="E40" i="30"/>
  <c r="J40" i="30" s="1"/>
  <c r="E41" i="30"/>
  <c r="J41" i="30" s="1"/>
  <c r="E42" i="30"/>
  <c r="J42" i="30" s="1"/>
  <c r="E43" i="30"/>
  <c r="J43" i="30" s="1"/>
  <c r="E44" i="30"/>
  <c r="J44" i="30" s="1"/>
  <c r="E45" i="30"/>
  <c r="J45" i="30" s="1"/>
  <c r="E46" i="30"/>
  <c r="J46" i="30" s="1"/>
  <c r="E47" i="30"/>
  <c r="J47" i="30" s="1"/>
  <c r="E48" i="30"/>
  <c r="J48" i="30" s="1"/>
  <c r="E49" i="30"/>
  <c r="J49" i="30" s="1"/>
  <c r="E50" i="30"/>
  <c r="J50" i="30" s="1"/>
  <c r="E51" i="30"/>
  <c r="J51" i="30" s="1"/>
  <c r="E52" i="30"/>
  <c r="J52" i="30" s="1"/>
  <c r="E53" i="30"/>
  <c r="J53" i="30" s="1"/>
  <c r="E54" i="30"/>
  <c r="J54" i="30" s="1"/>
  <c r="E55" i="30"/>
  <c r="J55" i="30" s="1"/>
  <c r="E56" i="30"/>
  <c r="J56" i="30" s="1"/>
  <c r="E57" i="30"/>
  <c r="J57" i="30" s="1"/>
  <c r="E58" i="30"/>
  <c r="J58" i="30" s="1"/>
  <c r="E59" i="30"/>
  <c r="J59" i="30" s="1"/>
  <c r="E61" i="30"/>
  <c r="K50" i="30" l="1"/>
  <c r="K58" i="30"/>
  <c r="K51" i="30"/>
  <c r="K42" i="30"/>
  <c r="K36" i="30"/>
  <c r="K12" i="30"/>
  <c r="K33" i="30"/>
  <c r="K28" i="30"/>
  <c r="K20" i="30"/>
  <c r="K6" i="30"/>
  <c r="K55" i="30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L30" i="30"/>
  <c r="L52" i="30"/>
  <c r="L53" i="30"/>
  <c r="L42" i="30"/>
  <c r="L39" i="30"/>
  <c r="L7" i="30"/>
  <c r="L18" i="30"/>
  <c r="L31" i="30"/>
  <c r="L6" i="30"/>
  <c r="L28" i="30"/>
  <c r="L54" i="30"/>
  <c r="L48" i="30"/>
  <c r="L29" i="30"/>
  <c r="L24" i="30"/>
  <c r="Q29" i="30"/>
  <c r="L16" i="30"/>
  <c r="L37" i="30"/>
  <c r="L10" i="30"/>
  <c r="L25" i="30"/>
  <c r="M4" i="30"/>
  <c r="L35" i="30"/>
  <c r="L12" i="30"/>
  <c r="L40" i="30"/>
  <c r="L43" i="30"/>
  <c r="L11" i="30"/>
  <c r="L50" i="30"/>
  <c r="L56" i="30"/>
  <c r="L15" i="30"/>
  <c r="L27" i="30"/>
  <c r="L49" i="30"/>
  <c r="L33" i="30"/>
  <c r="L8" i="30"/>
  <c r="Q8" i="30" s="1"/>
  <c r="L45" i="30"/>
  <c r="L36" i="30"/>
  <c r="L46" i="30"/>
  <c r="L34" i="30"/>
  <c r="P34" i="30" s="1"/>
  <c r="M18" i="30"/>
  <c r="L59" i="30"/>
  <c r="L41" i="30"/>
  <c r="L22" i="30"/>
  <c r="L9" i="30"/>
  <c r="Q18" i="30"/>
  <c r="L20" i="30"/>
  <c r="B61" i="30"/>
  <c r="L58" i="30"/>
  <c r="Q11" i="30"/>
  <c r="L17" i="30"/>
  <c r="L19" i="30"/>
  <c r="P6" i="30"/>
  <c r="L13" i="30"/>
  <c r="Q13" i="30" s="1"/>
  <c r="M11" i="30"/>
  <c r="L32" i="30"/>
  <c r="L38" i="30"/>
  <c r="L14" i="30"/>
  <c r="L57" i="30"/>
  <c r="L23" i="30"/>
  <c r="L26" i="30"/>
  <c r="L51" i="30"/>
  <c r="L47" i="30"/>
  <c r="M59" i="30"/>
  <c r="L55" i="30"/>
  <c r="P17" i="30"/>
  <c r="L21" i="30"/>
  <c r="Q21" i="30" s="1"/>
  <c r="L44" i="30"/>
  <c r="P27" i="30"/>
  <c r="P59" i="30"/>
  <c r="Q9" i="30"/>
  <c r="P9" i="30"/>
  <c r="Q14" i="30"/>
  <c r="M14" i="30"/>
  <c r="E81" i="4" l="1"/>
  <c r="E45" i="4"/>
  <c r="E79" i="4"/>
  <c r="E37" i="4"/>
  <c r="E77" i="4"/>
  <c r="E70" i="4"/>
  <c r="E65" i="4"/>
  <c r="E48" i="4"/>
  <c r="E76" i="4"/>
  <c r="E66" i="4"/>
  <c r="E55" i="4"/>
  <c r="E47" i="4"/>
  <c r="E78" i="4"/>
  <c r="E53" i="4"/>
  <c r="E46" i="4"/>
  <c r="E41" i="4"/>
  <c r="E71" i="4"/>
  <c r="E82" i="4"/>
  <c r="E42" i="4"/>
  <c r="E67" i="4"/>
  <c r="E64" i="4"/>
  <c r="E51" i="4"/>
  <c r="E36" i="4"/>
  <c r="E69" i="4"/>
  <c r="E57" i="4"/>
  <c r="E63" i="4"/>
  <c r="E86" i="4"/>
  <c r="E88" i="4"/>
  <c r="E85" i="4"/>
  <c r="E87" i="4"/>
  <c r="E59" i="4"/>
  <c r="E49" i="4"/>
  <c r="E74" i="4"/>
  <c r="E72" i="4"/>
  <c r="E50" i="4"/>
  <c r="E52" i="4"/>
  <c r="E54" i="4"/>
  <c r="E68" i="4"/>
  <c r="E61" i="4"/>
  <c r="E38" i="4"/>
  <c r="E58" i="4"/>
  <c r="E40" i="4"/>
  <c r="E80" i="4"/>
  <c r="E35" i="4"/>
  <c r="E39" i="4"/>
  <c r="E84" i="4"/>
  <c r="E83" i="4"/>
  <c r="E60" i="4"/>
  <c r="E56" i="4"/>
  <c r="E75" i="4"/>
  <c r="E43" i="4"/>
  <c r="E73" i="4"/>
  <c r="E44" i="4"/>
  <c r="E62" i="4"/>
  <c r="Q59" i="30"/>
  <c r="M31" i="30"/>
  <c r="P10" i="30"/>
  <c r="P35" i="30"/>
  <c r="Q25" i="30"/>
  <c r="M57" i="30"/>
  <c r="M6" i="30"/>
  <c r="M45" i="30"/>
  <c r="P14" i="30"/>
  <c r="P25" i="30"/>
  <c r="Q6" i="30"/>
  <c r="M52" i="30"/>
  <c r="P19" i="30"/>
  <c r="Q35" i="30"/>
  <c r="Q27" i="30"/>
  <c r="M28" i="30"/>
  <c r="M15" i="30"/>
  <c r="M55" i="30"/>
  <c r="M40" i="30"/>
  <c r="M37" i="30"/>
  <c r="P8" i="30"/>
  <c r="Q36" i="30"/>
  <c r="M50" i="30"/>
  <c r="Q22" i="30"/>
  <c r="P13" i="30"/>
  <c r="M9" i="30"/>
  <c r="P24" i="30"/>
  <c r="P15" i="30"/>
  <c r="M19" i="30"/>
  <c r="Q12" i="30"/>
  <c r="P23" i="30"/>
  <c r="M34" i="30"/>
  <c r="P11" i="30"/>
  <c r="Q32" i="30"/>
  <c r="E62" i="30"/>
  <c r="M25" i="30"/>
  <c r="M49" i="30"/>
  <c r="P16" i="30"/>
  <c r="M44" i="30"/>
  <c r="M24" i="30"/>
  <c r="Q33" i="30"/>
  <c r="Q10" i="30"/>
  <c r="P7" i="30"/>
  <c r="M22" i="30"/>
  <c r="Q19" i="30"/>
  <c r="M33" i="30"/>
  <c r="M47" i="30"/>
  <c r="M8" i="30"/>
  <c r="Q31" i="30"/>
  <c r="M48" i="30"/>
  <c r="P36" i="30"/>
  <c r="P26" i="30"/>
  <c r="P20" i="30"/>
  <c r="M12" i="30"/>
  <c r="Q24" i="30"/>
  <c r="P37" i="30"/>
  <c r="M39" i="30"/>
  <c r="Q17" i="30"/>
  <c r="P21" i="30"/>
  <c r="M7" i="30"/>
  <c r="Q30" i="30"/>
  <c r="M16" i="30"/>
  <c r="Q23" i="30"/>
  <c r="P32" i="30"/>
  <c r="Q20" i="30"/>
  <c r="P22" i="30"/>
  <c r="M13" i="30"/>
  <c r="M41" i="30"/>
  <c r="P18" i="30"/>
  <c r="M27" i="30"/>
  <c r="M10" i="30"/>
  <c r="M51" i="30"/>
  <c r="M42" i="30"/>
  <c r="M53" i="30"/>
  <c r="Q26" i="30"/>
  <c r="M29" i="30"/>
  <c r="P28" i="30"/>
  <c r="Q7" i="30"/>
  <c r="P31" i="30"/>
  <c r="M38" i="30"/>
  <c r="M17" i="30"/>
  <c r="M35" i="30"/>
  <c r="P12" i="30"/>
  <c r="M43" i="30"/>
  <c r="Q28" i="30"/>
  <c r="M23" i="30"/>
  <c r="M26" i="30"/>
  <c r="Q37" i="30"/>
  <c r="Q16" i="30"/>
  <c r="M30" i="30"/>
  <c r="M46" i="30"/>
  <c r="M32" i="30"/>
  <c r="P29" i="30"/>
  <c r="M20" i="30"/>
  <c r="Q15" i="30"/>
  <c r="M58" i="30"/>
  <c r="P30" i="30"/>
  <c r="M56" i="30"/>
  <c r="M36" i="30"/>
  <c r="M21" i="30"/>
  <c r="Q34" i="30"/>
  <c r="M54" i="30"/>
  <c r="P33" i="30"/>
  <c r="J62" i="30" l="1"/>
  <c r="K62" i="30"/>
  <c r="B62" i="30"/>
  <c r="E63" i="30"/>
  <c r="L61" i="30"/>
  <c r="M61" i="30"/>
  <c r="K63" i="30" l="1"/>
  <c r="J63" i="30"/>
  <c r="P61" i="30"/>
  <c r="Q61" i="30"/>
  <c r="B63" i="30"/>
  <c r="E64" i="30"/>
  <c r="L62" i="30"/>
  <c r="Q62" i="30"/>
  <c r="M62" i="30"/>
  <c r="J64" i="30" l="1"/>
  <c r="K64" i="30"/>
  <c r="B64" i="30"/>
  <c r="E65" i="30"/>
  <c r="P62" i="30"/>
  <c r="K65" i="30" l="1"/>
  <c r="J65" i="30"/>
  <c r="B65" i="30"/>
  <c r="L63" i="30"/>
  <c r="L64" i="30"/>
  <c r="M63" i="30"/>
  <c r="M64" i="30"/>
  <c r="Q63" i="30"/>
  <c r="Q64" i="30"/>
  <c r="P64" i="30"/>
  <c r="P63" i="30"/>
  <c r="E66" i="30"/>
  <c r="B66" i="30"/>
  <c r="E67" i="30"/>
  <c r="L65" i="30"/>
  <c r="B67" i="30"/>
  <c r="E68" i="30" s="1"/>
  <c r="B68" i="30" s="1"/>
  <c r="M65" i="30"/>
  <c r="P65" i="30"/>
  <c r="Q65" i="30"/>
  <c r="J67" i="30" l="1"/>
  <c r="K67" i="30"/>
  <c r="J66" i="30"/>
  <c r="K66" i="30"/>
  <c r="K68" i="30"/>
  <c r="J68" i="30"/>
  <c r="L67" i="30"/>
  <c r="L68" i="30"/>
  <c r="P68" i="30"/>
  <c r="L66" i="30"/>
  <c r="E69" i="30"/>
  <c r="B69" i="30" s="1"/>
  <c r="Q67" i="30"/>
  <c r="M68" i="30"/>
  <c r="M67" i="30"/>
  <c r="P67" i="30"/>
  <c r="M66" i="30"/>
  <c r="Q66" i="30"/>
  <c r="P66" i="30"/>
  <c r="K69" i="30" l="1"/>
  <c r="J69" i="30"/>
  <c r="Q68" i="30"/>
  <c r="E70" i="30"/>
  <c r="L69" i="30"/>
  <c r="B70" i="30"/>
  <c r="Q69" i="30"/>
  <c r="P69" i="30"/>
  <c r="M69" i="30"/>
  <c r="K70" i="30" l="1"/>
  <c r="J70" i="30"/>
  <c r="E71" i="30"/>
  <c r="L70" i="30"/>
  <c r="M70" i="30"/>
  <c r="B71" i="30"/>
  <c r="Q70" i="30"/>
  <c r="P70" i="30"/>
  <c r="J71" i="30" l="1"/>
  <c r="K71" i="30"/>
  <c r="E72" i="30"/>
  <c r="L71" i="30"/>
  <c r="M71" i="30"/>
  <c r="Q71" i="30"/>
  <c r="P71" i="30"/>
  <c r="J72" i="30" l="1"/>
  <c r="K72" i="30"/>
  <c r="B72" i="30"/>
  <c r="L72" i="30"/>
  <c r="Q72" i="30"/>
  <c r="M72" i="30"/>
  <c r="P72" i="30"/>
  <c r="E73" i="30"/>
  <c r="J73" i="30" l="1"/>
  <c r="K73" i="30"/>
  <c r="P96" i="30"/>
  <c r="Q96" i="30"/>
  <c r="B73" i="30"/>
  <c r="E74" i="30" s="1"/>
  <c r="L73" i="30"/>
  <c r="B74" i="30"/>
  <c r="E75" i="30" s="1"/>
  <c r="Q73" i="30"/>
  <c r="M73" i="30"/>
  <c r="P73" i="30"/>
  <c r="B75" i="30"/>
  <c r="E76" i="30" s="1"/>
  <c r="B76" i="30"/>
  <c r="E77" i="30" s="1"/>
  <c r="B77" i="30"/>
  <c r="E78" i="30" s="1"/>
  <c r="J77" i="30" l="1"/>
  <c r="K77" i="30"/>
  <c r="K76" i="30"/>
  <c r="J76" i="30"/>
  <c r="K75" i="30"/>
  <c r="J75" i="30"/>
  <c r="J74" i="30"/>
  <c r="K74" i="30"/>
  <c r="J78" i="30"/>
  <c r="K78" i="30"/>
  <c r="G1" i="17"/>
  <c r="G4" i="17" s="1"/>
  <c r="F3" i="17"/>
  <c r="F4" i="17"/>
  <c r="L77" i="30"/>
  <c r="L74" i="30"/>
  <c r="L78" i="30"/>
  <c r="L76" i="30"/>
  <c r="L75" i="30"/>
  <c r="B78" i="30"/>
  <c r="H4" i="17"/>
  <c r="M78" i="30"/>
  <c r="M77" i="30"/>
  <c r="P77" i="30"/>
  <c r="P74" i="30"/>
  <c r="M74" i="30"/>
  <c r="Q74" i="30"/>
  <c r="P78" i="30"/>
  <c r="Q78" i="30"/>
  <c r="Q76" i="30"/>
  <c r="M76" i="30"/>
  <c r="P76" i="30"/>
  <c r="M75" i="30"/>
  <c r="P75" i="30"/>
  <c r="Q75" i="30"/>
  <c r="E4" i="4" l="1"/>
  <c r="G2" i="17"/>
  <c r="G3" i="17"/>
  <c r="H2" i="17"/>
  <c r="L3" i="30"/>
  <c r="Q77" i="30"/>
  <c r="I4" i="17"/>
  <c r="E79" i="30"/>
  <c r="H3" i="17"/>
  <c r="B79" i="30"/>
  <c r="J79" i="30" l="1"/>
  <c r="K79" i="30"/>
  <c r="E3" i="4"/>
  <c r="E1" i="9"/>
  <c r="E2" i="9" s="1"/>
  <c r="D3" i="9"/>
  <c r="I2" i="17"/>
  <c r="I3" i="17"/>
  <c r="E80" i="30"/>
  <c r="L79" i="30"/>
  <c r="M3" i="30"/>
  <c r="M79" i="30"/>
  <c r="P79" i="30"/>
  <c r="Q79" i="30"/>
  <c r="K80" i="30" l="1"/>
  <c r="J80" i="30"/>
  <c r="E3" i="9"/>
  <c r="F2" i="9"/>
  <c r="B80" i="30"/>
  <c r="L80" i="30"/>
  <c r="F3" i="9"/>
  <c r="M80" i="30"/>
  <c r="P80" i="30"/>
  <c r="Q80" i="30"/>
  <c r="E2" i="4" l="1"/>
  <c r="D9" i="6"/>
  <c r="D22" i="6"/>
  <c r="E22" i="6"/>
  <c r="E81" i="30"/>
  <c r="G2" i="9"/>
  <c r="D21" i="6"/>
  <c r="B1" i="6"/>
  <c r="G3" i="9"/>
  <c r="B81" i="30"/>
  <c r="K81" i="30" l="1"/>
  <c r="J81" i="30"/>
  <c r="E21" i="6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C82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E82" i="30"/>
  <c r="K43" i="4"/>
  <c r="L8" i="4"/>
  <c r="K3" i="4"/>
  <c r="K28" i="4"/>
  <c r="L43" i="4"/>
  <c r="F38" i="4"/>
  <c r="G49" i="4"/>
  <c r="G44" i="4"/>
  <c r="K33" i="4"/>
  <c r="F3" i="4"/>
  <c r="F45" i="4"/>
  <c r="G39" i="4"/>
  <c r="G42" i="4"/>
  <c r="F4" i="4"/>
  <c r="L5" i="4"/>
  <c r="K37" i="4"/>
  <c r="F11" i="4"/>
  <c r="L15" i="4"/>
  <c r="K44" i="4"/>
  <c r="L12" i="4"/>
  <c r="A16" i="4"/>
  <c r="L46" i="4"/>
  <c r="L82" i="4"/>
  <c r="F82" i="4"/>
  <c r="G31" i="4"/>
  <c r="K83" i="4"/>
  <c r="K5" i="4"/>
  <c r="F47" i="4"/>
  <c r="K9" i="4"/>
  <c r="F28" i="4"/>
  <c r="L38" i="4"/>
  <c r="F9" i="4"/>
  <c r="G48" i="4"/>
  <c r="K38" i="4"/>
  <c r="F44" i="4"/>
  <c r="F40" i="4"/>
  <c r="L33" i="4"/>
  <c r="G29" i="4"/>
  <c r="F36" i="4"/>
  <c r="F29" i="4"/>
  <c r="L81" i="30"/>
  <c r="L34" i="4"/>
  <c r="L3" i="4"/>
  <c r="K34" i="4"/>
  <c r="F48" i="4"/>
  <c r="F33" i="4"/>
  <c r="L39" i="4"/>
  <c r="F32" i="4"/>
  <c r="K4" i="4"/>
  <c r="K32" i="4"/>
  <c r="F42" i="4"/>
  <c r="F83" i="4"/>
  <c r="G46" i="4"/>
  <c r="L9" i="4"/>
  <c r="F34" i="4"/>
  <c r="L2" i="4"/>
  <c r="K82" i="4"/>
  <c r="G40" i="4"/>
  <c r="G43" i="4"/>
  <c r="L47" i="4"/>
  <c r="F8" i="4"/>
  <c r="K42" i="4"/>
  <c r="L49" i="4"/>
  <c r="K10" i="4"/>
  <c r="F30" i="4"/>
  <c r="F6" i="4"/>
  <c r="L40" i="4"/>
  <c r="G34" i="4"/>
  <c r="F37" i="4"/>
  <c r="L45" i="4"/>
  <c r="F15" i="4"/>
  <c r="F10" i="4"/>
  <c r="L83" i="4"/>
  <c r="K81" i="4"/>
  <c r="K14" i="4"/>
  <c r="F41" i="4"/>
  <c r="L30" i="4"/>
  <c r="L11" i="4"/>
  <c r="G82" i="4"/>
  <c r="L31" i="4"/>
  <c r="L13" i="4"/>
  <c r="F49" i="4"/>
  <c r="F7" i="4"/>
  <c r="G38" i="4"/>
  <c r="K8" i="4"/>
  <c r="G83" i="4"/>
  <c r="F12" i="4"/>
  <c r="F31" i="4"/>
  <c r="L48" i="4"/>
  <c r="K40" i="4"/>
  <c r="F43" i="4"/>
  <c r="F5" i="4"/>
  <c r="F14" i="4"/>
  <c r="F81" i="4"/>
  <c r="F39" i="4"/>
  <c r="K48" i="4"/>
  <c r="G47" i="4"/>
  <c r="L29" i="4"/>
  <c r="K31" i="4"/>
  <c r="K30" i="4"/>
  <c r="L42" i="4"/>
  <c r="L10" i="4"/>
  <c r="G36" i="4"/>
  <c r="L14" i="4"/>
  <c r="K49" i="4"/>
  <c r="K29" i="4"/>
  <c r="L37" i="4"/>
  <c r="K2" i="4"/>
  <c r="G32" i="4"/>
  <c r="L4" i="4"/>
  <c r="K47" i="4"/>
  <c r="G81" i="4"/>
  <c r="K7" i="4"/>
  <c r="K15" i="4"/>
  <c r="K41" i="4"/>
  <c r="K39" i="4"/>
  <c r="F46" i="4"/>
  <c r="K11" i="4"/>
  <c r="F13" i="4"/>
  <c r="K12" i="4"/>
  <c r="K13" i="4"/>
  <c r="L41" i="4"/>
  <c r="L81" i="4"/>
  <c r="G28" i="4"/>
  <c r="G33" i="4"/>
  <c r="K46" i="4"/>
  <c r="K6" i="4"/>
  <c r="L32" i="4"/>
  <c r="L44" i="4"/>
  <c r="F2" i="4"/>
  <c r="G37" i="4"/>
  <c r="G41" i="4"/>
  <c r="L36" i="4"/>
  <c r="G45" i="4"/>
  <c r="L28" i="4"/>
  <c r="K45" i="4"/>
  <c r="K36" i="4"/>
  <c r="G30" i="4"/>
  <c r="L7" i="4"/>
  <c r="L6" i="4"/>
  <c r="B82" i="30"/>
  <c r="M81" i="30"/>
  <c r="Q81" i="30"/>
  <c r="P81" i="30"/>
  <c r="K82" i="30" l="1"/>
  <c r="J82" i="30"/>
  <c r="E118" i="4"/>
  <c r="E110" i="4"/>
  <c r="E102" i="4"/>
  <c r="E115" i="4"/>
  <c r="E122" i="4"/>
  <c r="E125" i="4"/>
  <c r="E99" i="4"/>
  <c r="E124" i="4"/>
  <c r="E94" i="4"/>
  <c r="E121" i="4"/>
  <c r="E113" i="4"/>
  <c r="E105" i="4"/>
  <c r="E97" i="4"/>
  <c r="E89" i="4"/>
  <c r="H83" i="4"/>
  <c r="E90" i="4"/>
  <c r="E100" i="4"/>
  <c r="E116" i="4"/>
  <c r="E98" i="4"/>
  <c r="E123" i="4"/>
  <c r="E114" i="4"/>
  <c r="E106" i="4"/>
  <c r="E107" i="4"/>
  <c r="E91" i="4"/>
  <c r="E108" i="4"/>
  <c r="E92" i="4"/>
  <c r="E117" i="4"/>
  <c r="E109" i="4"/>
  <c r="E101" i="4"/>
  <c r="E93" i="4"/>
  <c r="E119" i="4"/>
  <c r="E111" i="4"/>
  <c r="E103" i="4"/>
  <c r="E95" i="4"/>
  <c r="E120" i="4"/>
  <c r="E112" i="4"/>
  <c r="E104" i="4"/>
  <c r="E96" i="4"/>
  <c r="E83" i="30"/>
  <c r="K54" i="4"/>
  <c r="K59" i="4"/>
  <c r="K123" i="4"/>
  <c r="K101" i="4"/>
  <c r="K91" i="4"/>
  <c r="L104" i="4"/>
  <c r="K87" i="4"/>
  <c r="F119" i="4"/>
  <c r="L117" i="4"/>
  <c r="K103" i="4"/>
  <c r="K65" i="4"/>
  <c r="G52" i="4"/>
  <c r="G56" i="4"/>
  <c r="F59" i="4"/>
  <c r="L79" i="4"/>
  <c r="L55" i="4"/>
  <c r="L115" i="4"/>
  <c r="L65" i="4"/>
  <c r="L122" i="4"/>
  <c r="K88" i="4"/>
  <c r="K74" i="4"/>
  <c r="F93" i="4"/>
  <c r="L110" i="4"/>
  <c r="K63" i="4"/>
  <c r="F101" i="4"/>
  <c r="G67" i="4"/>
  <c r="G91" i="4"/>
  <c r="F122" i="4"/>
  <c r="L77" i="4"/>
  <c r="G117" i="4"/>
  <c r="G54" i="4"/>
  <c r="L68" i="4"/>
  <c r="L91" i="4"/>
  <c r="K62" i="4"/>
  <c r="F99" i="4"/>
  <c r="F110" i="4"/>
  <c r="L82" i="30"/>
  <c r="L85" i="4"/>
  <c r="K94" i="4"/>
  <c r="G80" i="4"/>
  <c r="K100" i="4"/>
  <c r="K110" i="4"/>
  <c r="F74" i="4"/>
  <c r="K70" i="4"/>
  <c r="F68" i="4"/>
  <c r="G35" i="4"/>
  <c r="F111" i="4"/>
  <c r="K86" i="4"/>
  <c r="L93" i="4"/>
  <c r="L120" i="4"/>
  <c r="F58" i="4"/>
  <c r="G115" i="4"/>
  <c r="G69" i="4"/>
  <c r="F125" i="4"/>
  <c r="L73" i="4"/>
  <c r="G90" i="4"/>
  <c r="A17" i="4"/>
  <c r="L102" i="4"/>
  <c r="L84" i="4"/>
  <c r="L35" i="4"/>
  <c r="G106" i="4"/>
  <c r="L94" i="4"/>
  <c r="L92" i="4"/>
  <c r="F91" i="4"/>
  <c r="G63" i="4"/>
  <c r="G88" i="4"/>
  <c r="L114" i="4"/>
  <c r="F123" i="4"/>
  <c r="G107" i="4"/>
  <c r="K114" i="4"/>
  <c r="G118" i="4"/>
  <c r="L119" i="4"/>
  <c r="L50" i="4"/>
  <c r="F95" i="4"/>
  <c r="G120" i="4"/>
  <c r="G75" i="4"/>
  <c r="K80" i="4"/>
  <c r="G94" i="4"/>
  <c r="F121" i="4"/>
  <c r="G121" i="4"/>
  <c r="K72" i="4"/>
  <c r="G77" i="4"/>
  <c r="K98" i="4"/>
  <c r="F113" i="4"/>
  <c r="G53" i="4"/>
  <c r="L76" i="4"/>
  <c r="L96" i="4"/>
  <c r="K61" i="4"/>
  <c r="G99" i="4"/>
  <c r="K104" i="4"/>
  <c r="G66" i="4"/>
  <c r="G72" i="4"/>
  <c r="F63" i="4"/>
  <c r="K96" i="4"/>
  <c r="L67" i="4"/>
  <c r="F55" i="4"/>
  <c r="K111" i="4"/>
  <c r="G98" i="4"/>
  <c r="K124" i="4"/>
  <c r="G62" i="4"/>
  <c r="L123" i="4"/>
  <c r="K120" i="4"/>
  <c r="G108" i="4"/>
  <c r="G61" i="4"/>
  <c r="F94" i="4"/>
  <c r="K119" i="4"/>
  <c r="L80" i="4"/>
  <c r="L125" i="4"/>
  <c r="L72" i="4"/>
  <c r="K85" i="4"/>
  <c r="F88" i="4"/>
  <c r="F53" i="4"/>
  <c r="G89" i="4"/>
  <c r="G64" i="4"/>
  <c r="K95" i="4"/>
  <c r="F89" i="4"/>
  <c r="G109" i="4"/>
  <c r="K67" i="4"/>
  <c r="F77" i="4"/>
  <c r="F124" i="4"/>
  <c r="L60" i="4"/>
  <c r="K57" i="4"/>
  <c r="F86" i="4"/>
  <c r="L51" i="4"/>
  <c r="L61" i="4"/>
  <c r="F62" i="4"/>
  <c r="G74" i="4"/>
  <c r="L57" i="4"/>
  <c r="G70" i="4"/>
  <c r="F54" i="4"/>
  <c r="L64" i="4"/>
  <c r="F78" i="4"/>
  <c r="K84" i="4"/>
  <c r="F67" i="4"/>
  <c r="F72" i="4"/>
  <c r="K108" i="4"/>
  <c r="D16" i="4"/>
  <c r="F105" i="4"/>
  <c r="L74" i="4"/>
  <c r="L52" i="4"/>
  <c r="G60" i="4"/>
  <c r="L116" i="4"/>
  <c r="K118" i="4"/>
  <c r="F107" i="4"/>
  <c r="L87" i="4"/>
  <c r="G112" i="4"/>
  <c r="F117" i="4"/>
  <c r="G93" i="4"/>
  <c r="F60" i="4"/>
  <c r="K113" i="4"/>
  <c r="K71" i="4"/>
  <c r="F51" i="4"/>
  <c r="F56" i="4"/>
  <c r="F76" i="4"/>
  <c r="L53" i="4"/>
  <c r="G100" i="4"/>
  <c r="G55" i="4"/>
  <c r="L69" i="4"/>
  <c r="K102" i="4"/>
  <c r="L58" i="4"/>
  <c r="F61" i="4"/>
  <c r="F116" i="4"/>
  <c r="F87" i="4"/>
  <c r="G58" i="4"/>
  <c r="F79" i="4"/>
  <c r="L97" i="4"/>
  <c r="L109" i="4"/>
  <c r="F98" i="4"/>
  <c r="G87" i="4"/>
  <c r="G51" i="4"/>
  <c r="F108" i="4"/>
  <c r="G101" i="4"/>
  <c r="L113" i="4"/>
  <c r="L124" i="4"/>
  <c r="K105" i="4"/>
  <c r="F96" i="4"/>
  <c r="K107" i="4"/>
  <c r="F114" i="4"/>
  <c r="L59" i="4"/>
  <c r="K112" i="4"/>
  <c r="F120" i="4"/>
  <c r="K93" i="4"/>
  <c r="K125" i="4"/>
  <c r="K116" i="4"/>
  <c r="G113" i="4"/>
  <c r="F66" i="4"/>
  <c r="K35" i="4"/>
  <c r="F104" i="4"/>
  <c r="L78" i="4"/>
  <c r="F64" i="4"/>
  <c r="K69" i="4"/>
  <c r="L111" i="4"/>
  <c r="F92" i="4"/>
  <c r="F115" i="4"/>
  <c r="L106" i="4"/>
  <c r="K66" i="4"/>
  <c r="L98" i="4"/>
  <c r="L71" i="4"/>
  <c r="G73" i="4"/>
  <c r="K115" i="4"/>
  <c r="F80" i="4"/>
  <c r="G96" i="4"/>
  <c r="K109" i="4"/>
  <c r="F69" i="4"/>
  <c r="F73" i="4"/>
  <c r="F109" i="4"/>
  <c r="G105" i="4"/>
  <c r="F90" i="4"/>
  <c r="K73" i="4"/>
  <c r="F97" i="4"/>
  <c r="G50" i="4"/>
  <c r="G76" i="4"/>
  <c r="K78" i="4"/>
  <c r="K89" i="4"/>
  <c r="G103" i="4"/>
  <c r="G85" i="4"/>
  <c r="F50" i="4"/>
  <c r="F65" i="4"/>
  <c r="G119" i="4"/>
  <c r="L63" i="4"/>
  <c r="L107" i="4"/>
  <c r="F103" i="4"/>
  <c r="K99" i="4"/>
  <c r="G92" i="4"/>
  <c r="L54" i="4"/>
  <c r="L90" i="4"/>
  <c r="G102" i="4"/>
  <c r="L118" i="4"/>
  <c r="G86" i="4"/>
  <c r="L89" i="4"/>
  <c r="G79" i="4"/>
  <c r="L95" i="4"/>
  <c r="K122" i="4"/>
  <c r="G111" i="4"/>
  <c r="K53" i="4"/>
  <c r="G124" i="4"/>
  <c r="G97" i="4"/>
  <c r="G78" i="4"/>
  <c r="L86" i="4"/>
  <c r="L108" i="4"/>
  <c r="K75" i="4"/>
  <c r="G122" i="4"/>
  <c r="K56" i="4"/>
  <c r="L101" i="4"/>
  <c r="L105" i="4"/>
  <c r="G114" i="4"/>
  <c r="K58" i="4"/>
  <c r="K117" i="4"/>
  <c r="L100" i="4"/>
  <c r="K121" i="4"/>
  <c r="L66" i="4"/>
  <c r="K76" i="4"/>
  <c r="F35" i="4"/>
  <c r="G71" i="4"/>
  <c r="F75" i="4"/>
  <c r="F85" i="4"/>
  <c r="L112" i="4"/>
  <c r="L121" i="4"/>
  <c r="L99" i="4"/>
  <c r="F84" i="4"/>
  <c r="L75" i="4"/>
  <c r="F102" i="4"/>
  <c r="L103" i="4"/>
  <c r="G125" i="4"/>
  <c r="L70" i="4"/>
  <c r="F106" i="4"/>
  <c r="G68" i="4"/>
  <c r="G65" i="4"/>
  <c r="G110" i="4"/>
  <c r="K60" i="4"/>
  <c r="K97" i="4"/>
  <c r="G123" i="4"/>
  <c r="G95" i="4"/>
  <c r="L56" i="4"/>
  <c r="G84" i="4"/>
  <c r="K50" i="4"/>
  <c r="G59" i="4"/>
  <c r="K68" i="4"/>
  <c r="L88" i="4"/>
  <c r="F57" i="4"/>
  <c r="F100" i="4"/>
  <c r="F112" i="4"/>
  <c r="K106" i="4"/>
  <c r="K92" i="4"/>
  <c r="K51" i="4"/>
  <c r="L62" i="4"/>
  <c r="K90" i="4"/>
  <c r="F70" i="4"/>
  <c r="F118" i="4"/>
  <c r="G104" i="4"/>
  <c r="F52" i="4"/>
  <c r="G116" i="4"/>
  <c r="K79" i="4"/>
  <c r="K77" i="4"/>
  <c r="F71" i="4"/>
  <c r="K64" i="4"/>
  <c r="K52" i="4"/>
  <c r="G57" i="4"/>
  <c r="K55" i="4"/>
  <c r="B83" i="30"/>
  <c r="E84" i="30" s="1"/>
  <c r="Q82" i="30"/>
  <c r="M82" i="30"/>
  <c r="P82" i="30"/>
  <c r="B84" i="30"/>
  <c r="E85" i="30" s="1"/>
  <c r="B85" i="30" s="1"/>
  <c r="J84" i="30" l="1"/>
  <c r="K84" i="30"/>
  <c r="J83" i="30"/>
  <c r="K83" i="30"/>
  <c r="J85" i="30"/>
  <c r="K85" i="30"/>
  <c r="H91" i="4"/>
  <c r="H121" i="4"/>
  <c r="H108" i="4"/>
  <c r="H98" i="4"/>
  <c r="H104" i="4"/>
  <c r="H120" i="4"/>
  <c r="H93" i="4"/>
  <c r="H101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L85" i="30"/>
  <c r="L84" i="30"/>
  <c r="K16" i="4"/>
  <c r="F16" i="4"/>
  <c r="L83" i="30"/>
  <c r="L16" i="4"/>
  <c r="E86" i="30"/>
  <c r="G16" i="4"/>
  <c r="B86" i="30"/>
  <c r="P85" i="30"/>
  <c r="A18" i="4"/>
  <c r="Q85" i="30"/>
  <c r="D17" i="4"/>
  <c r="M85" i="30"/>
  <c r="M84" i="30"/>
  <c r="Q84" i="30"/>
  <c r="P84" i="30"/>
  <c r="Q83" i="30"/>
  <c r="M83" i="30"/>
  <c r="J86" i="30" l="1"/>
  <c r="K86" i="30"/>
  <c r="E17" i="4"/>
  <c r="P83" i="30"/>
  <c r="G17" i="4"/>
  <c r="L86" i="30"/>
  <c r="Q86" i="30"/>
  <c r="F17" i="4"/>
  <c r="D18" i="4"/>
  <c r="A19" i="4"/>
  <c r="L17" i="4"/>
  <c r="K17" i="4"/>
  <c r="E87" i="30"/>
  <c r="B87" i="30" s="1"/>
  <c r="M86" i="30"/>
  <c r="J87" i="30" l="1"/>
  <c r="K87" i="30"/>
  <c r="E18" i="4"/>
  <c r="P86" i="30"/>
  <c r="F18" i="4"/>
  <c r="E88" i="30"/>
  <c r="G18" i="4"/>
  <c r="D19" i="4"/>
  <c r="L18" i="4"/>
  <c r="L87" i="30"/>
  <c r="P87" i="30" s="1"/>
  <c r="A20" i="4"/>
  <c r="Q87" i="30"/>
  <c r="K18" i="4"/>
  <c r="M87" i="30"/>
  <c r="E19" i="4" l="1"/>
  <c r="K88" i="30"/>
  <c r="J88" i="30"/>
  <c r="D20" i="4"/>
  <c r="A21" i="4"/>
  <c r="K19" i="4"/>
  <c r="L19" i="4"/>
  <c r="F19" i="4"/>
  <c r="G19" i="4"/>
  <c r="B88" i="30"/>
  <c r="L88" i="30"/>
  <c r="M88" i="30"/>
  <c r="Q88" i="30"/>
  <c r="E20" i="4" l="1"/>
  <c r="P88" i="30"/>
  <c r="L20" i="4"/>
  <c r="G20" i="4"/>
  <c r="A22" i="4"/>
  <c r="D22" i="4"/>
  <c r="E89" i="30"/>
  <c r="F20" i="4"/>
  <c r="D21" i="4"/>
  <c r="K20" i="4"/>
  <c r="B89" i="30"/>
  <c r="J89" i="30" l="1"/>
  <c r="K89" i="30"/>
  <c r="E21" i="4"/>
  <c r="E22" i="4"/>
  <c r="L89" i="30"/>
  <c r="P89" i="30"/>
  <c r="G21" i="4"/>
  <c r="Q89" i="30"/>
  <c r="A23" i="4"/>
  <c r="A24" i="4"/>
  <c r="F22" i="4"/>
  <c r="D23" i="4"/>
  <c r="E90" i="30"/>
  <c r="K22" i="4"/>
  <c r="D24" i="4"/>
  <c r="G22" i="4"/>
  <c r="K21" i="4"/>
  <c r="A25" i="4"/>
  <c r="L22" i="4"/>
  <c r="L21" i="4"/>
  <c r="F21" i="4"/>
  <c r="B90" i="30"/>
  <c r="M89" i="30"/>
  <c r="E23" i="4" l="1"/>
  <c r="J90" i="30"/>
  <c r="K90" i="30"/>
  <c r="E24" i="4"/>
  <c r="E91" i="30"/>
  <c r="L24" i="4"/>
  <c r="D25" i="4"/>
  <c r="K23" i="4"/>
  <c r="L90" i="30"/>
  <c r="F24" i="4"/>
  <c r="L23" i="4"/>
  <c r="F23" i="4"/>
  <c r="B91" i="30"/>
  <c r="G23" i="4"/>
  <c r="G24" i="4"/>
  <c r="K24" i="4"/>
  <c r="Q90" i="30"/>
  <c r="A26" i="4"/>
  <c r="P90" i="30"/>
  <c r="M90" i="30"/>
  <c r="D26" i="4"/>
  <c r="A27" i="4"/>
  <c r="E25" i="4" l="1"/>
  <c r="K91" i="30"/>
  <c r="J91" i="30"/>
  <c r="E26" i="4"/>
  <c r="L91" i="30"/>
  <c r="F26" i="4"/>
  <c r="E92" i="30"/>
  <c r="B92" i="30" s="1"/>
  <c r="L26" i="4"/>
  <c r="K26" i="4"/>
  <c r="G26" i="4"/>
  <c r="G25" i="4"/>
  <c r="L25" i="4"/>
  <c r="F25" i="4"/>
  <c r="K25" i="4"/>
  <c r="D27" i="4"/>
  <c r="M91" i="30"/>
  <c r="P91" i="30"/>
  <c r="Q91" i="30"/>
  <c r="J92" i="30" l="1"/>
  <c r="K92" i="30"/>
  <c r="E27" i="4"/>
  <c r="E93" i="30"/>
  <c r="B93" i="30" s="1"/>
  <c r="L27" i="4"/>
  <c r="G27" i="4"/>
  <c r="L92" i="30"/>
  <c r="K27" i="4"/>
  <c r="F27" i="4"/>
  <c r="M92" i="30"/>
  <c r="Q92" i="30"/>
  <c r="P92" i="30"/>
  <c r="K93" i="30" l="1"/>
  <c r="J93" i="30"/>
  <c r="E94" i="30"/>
  <c r="N17" i="4"/>
  <c r="N16" i="4"/>
  <c r="L93" i="30"/>
  <c r="B94" i="30"/>
  <c r="Q93" i="30"/>
  <c r="P93" i="30"/>
  <c r="M93" i="30"/>
  <c r="K94" i="30" l="1"/>
  <c r="J94" i="30"/>
  <c r="H74" i="4"/>
  <c r="H41" i="4"/>
  <c r="H52" i="4"/>
  <c r="H45" i="4"/>
  <c r="H75" i="4"/>
  <c r="H79" i="4"/>
  <c r="H60" i="4"/>
  <c r="H87" i="4"/>
  <c r="H80" i="4"/>
  <c r="H49" i="4"/>
  <c r="H85" i="4"/>
  <c r="H38" i="4"/>
  <c r="H44" i="4"/>
  <c r="H37" i="4"/>
  <c r="H56" i="4"/>
  <c r="H88" i="4"/>
  <c r="H43" i="4"/>
  <c r="H36" i="4"/>
  <c r="H78" i="4"/>
  <c r="H61" i="4"/>
  <c r="H81" i="4"/>
  <c r="H51" i="4"/>
  <c r="H77" i="4"/>
  <c r="H50" i="4"/>
  <c r="H86" i="4"/>
  <c r="H35" i="4"/>
  <c r="H40" i="4"/>
  <c r="H73" i="4"/>
  <c r="H53" i="4"/>
  <c r="H46" i="4"/>
  <c r="H39" i="4"/>
  <c r="H76" i="4"/>
  <c r="H55" i="4"/>
  <c r="H42" i="4"/>
  <c r="H48" i="4"/>
  <c r="H58" i="4"/>
  <c r="H47" i="4"/>
  <c r="H57" i="4"/>
  <c r="H54" i="4"/>
  <c r="H59" i="4"/>
  <c r="E95" i="30"/>
  <c r="L94" i="30"/>
  <c r="D2" i="5" a="1"/>
  <c r="M94" i="30"/>
  <c r="B95" i="30"/>
  <c r="P94" i="30"/>
  <c r="Q94" i="30"/>
  <c r="K95" i="30" l="1"/>
  <c r="J95" i="30"/>
  <c r="D38" i="5"/>
  <c r="D96" i="5"/>
  <c r="D7" i="5"/>
  <c r="D116" i="5"/>
  <c r="D97" i="5"/>
  <c r="D32" i="5"/>
  <c r="D109" i="5"/>
  <c r="D17" i="5"/>
  <c r="D108" i="5"/>
  <c r="D89" i="5"/>
  <c r="D107" i="5"/>
  <c r="D70" i="5"/>
  <c r="D84" i="5"/>
  <c r="D58" i="5"/>
  <c r="D95" i="5"/>
  <c r="D53" i="5"/>
  <c r="D80" i="5"/>
  <c r="D113" i="5"/>
  <c r="D125" i="5"/>
  <c r="D63" i="5"/>
  <c r="D87" i="5"/>
  <c r="D62" i="5"/>
  <c r="D28" i="5"/>
  <c r="D33" i="5"/>
  <c r="D69" i="5"/>
  <c r="D22" i="5"/>
  <c r="D3" i="5"/>
  <c r="D55" i="5"/>
  <c r="D86" i="5"/>
  <c r="D114" i="5"/>
  <c r="D122" i="5"/>
  <c r="D67" i="5"/>
  <c r="D105" i="5"/>
  <c r="D92" i="5"/>
  <c r="D111" i="5"/>
  <c r="D46" i="5"/>
  <c r="D64" i="5"/>
  <c r="D104" i="5"/>
  <c r="D123" i="5"/>
  <c r="D29" i="5"/>
  <c r="D93" i="5"/>
  <c r="D61" i="5"/>
  <c r="D59" i="5"/>
  <c r="D15" i="5"/>
  <c r="D79" i="5"/>
  <c r="D44" i="5"/>
  <c r="D65" i="5"/>
  <c r="D8" i="5"/>
  <c r="D41" i="5"/>
  <c r="D74" i="5"/>
  <c r="D124" i="5"/>
  <c r="D54" i="5"/>
  <c r="D48" i="5"/>
  <c r="D73" i="5"/>
  <c r="D5" i="5"/>
  <c r="D45" i="5"/>
  <c r="D78" i="5"/>
  <c r="D57" i="5"/>
  <c r="D20" i="5"/>
  <c r="D4" i="5"/>
  <c r="D88" i="5"/>
  <c r="D34" i="5"/>
  <c r="D119" i="5"/>
  <c r="D126" i="5"/>
  <c r="D49" i="5"/>
  <c r="D42" i="5"/>
  <c r="D100" i="5"/>
  <c r="D18" i="5"/>
  <c r="D112" i="5"/>
  <c r="D110" i="5"/>
  <c r="D31" i="5"/>
  <c r="D35" i="5"/>
  <c r="D40" i="5"/>
  <c r="D66" i="5"/>
  <c r="D76" i="5"/>
  <c r="D16" i="5"/>
  <c r="D27" i="5"/>
  <c r="D99" i="5"/>
  <c r="D71" i="5"/>
  <c r="D36" i="5"/>
  <c r="D13" i="5"/>
  <c r="D24" i="5"/>
  <c r="D60" i="5"/>
  <c r="D75" i="5"/>
  <c r="D85" i="5"/>
  <c r="D37" i="5"/>
  <c r="D23" i="5"/>
  <c r="D68" i="5"/>
  <c r="D103" i="5"/>
  <c r="D115" i="5"/>
  <c r="D50" i="5"/>
  <c r="D72" i="5"/>
  <c r="D26" i="5"/>
  <c r="D102" i="5"/>
  <c r="D118" i="5"/>
  <c r="D91" i="5"/>
  <c r="D12" i="5"/>
  <c r="D10" i="5"/>
  <c r="D81" i="5"/>
  <c r="D19" i="5"/>
  <c r="D14" i="5"/>
  <c r="D39" i="5"/>
  <c r="D25" i="5"/>
  <c r="D9" i="5"/>
  <c r="D98" i="5"/>
  <c r="D117" i="5"/>
  <c r="D6" i="5"/>
  <c r="D30" i="5"/>
  <c r="D94" i="5"/>
  <c r="D101" i="5"/>
  <c r="D11" i="5"/>
  <c r="D21" i="5"/>
  <c r="D2" i="5"/>
  <c r="D106" i="5"/>
  <c r="D121" i="5"/>
  <c r="D51" i="5"/>
  <c r="D77" i="5"/>
  <c r="D83" i="5"/>
  <c r="D56" i="5"/>
  <c r="D52" i="5"/>
  <c r="D90" i="5"/>
  <c r="D47" i="5"/>
  <c r="D82" i="5"/>
  <c r="D43" i="5"/>
  <c r="D120" i="5"/>
  <c r="L95" i="30"/>
  <c r="H80" i="5"/>
  <c r="G113" i="5"/>
  <c r="E125" i="5"/>
  <c r="F63" i="5"/>
  <c r="H87" i="5"/>
  <c r="F62" i="5"/>
  <c r="H122" i="5"/>
  <c r="H29" i="5"/>
  <c r="G93" i="5"/>
  <c r="G74" i="5"/>
  <c r="H124" i="5"/>
  <c r="F54" i="5"/>
  <c r="G112" i="5"/>
  <c r="H39" i="5"/>
  <c r="F45" i="5"/>
  <c r="F89" i="5"/>
  <c r="G70" i="5"/>
  <c r="E58" i="5"/>
  <c r="E53" i="5"/>
  <c r="E61" i="5"/>
  <c r="F15" i="5"/>
  <c r="F34" i="5"/>
  <c r="F108" i="5"/>
  <c r="G47" i="5"/>
  <c r="H84" i="5"/>
  <c r="H123" i="5"/>
  <c r="E13" i="5"/>
  <c r="F16" i="5"/>
  <c r="E5" i="5"/>
  <c r="E113" i="5"/>
  <c r="F68" i="5"/>
  <c r="E47" i="5"/>
  <c r="G84" i="5"/>
  <c r="F109" i="5"/>
  <c r="E93" i="5"/>
  <c r="H3" i="5"/>
  <c r="G86" i="5"/>
  <c r="H109" i="5"/>
  <c r="E21" i="5"/>
  <c r="G107" i="5"/>
  <c r="E86" i="5"/>
  <c r="G5" i="5"/>
  <c r="E12" i="5"/>
  <c r="E4" i="5"/>
  <c r="F23" i="5"/>
  <c r="H28" i="5"/>
  <c r="E82" i="5"/>
  <c r="E28" i="5"/>
  <c r="E105" i="5"/>
  <c r="F14" i="5"/>
  <c r="G92" i="5"/>
  <c r="E104" i="5"/>
  <c r="G106" i="5"/>
  <c r="G83" i="5"/>
  <c r="G121" i="5"/>
  <c r="E17" i="5"/>
  <c r="E97" i="5"/>
  <c r="E42" i="5"/>
  <c r="F95" i="5"/>
  <c r="H37" i="5"/>
  <c r="E122" i="5"/>
  <c r="G87" i="5"/>
  <c r="F85" i="5"/>
  <c r="H105" i="5"/>
  <c r="F111" i="5"/>
  <c r="G46" i="5"/>
  <c r="G64" i="5"/>
  <c r="G104" i="5"/>
  <c r="E65" i="5"/>
  <c r="G45" i="5"/>
  <c r="F78" i="5"/>
  <c r="G42" i="5"/>
  <c r="F100" i="5"/>
  <c r="H18" i="5"/>
  <c r="E85" i="5"/>
  <c r="F83" i="5"/>
  <c r="F61" i="5"/>
  <c r="E15" i="5"/>
  <c r="E44" i="5"/>
  <c r="F8" i="5"/>
  <c r="F66" i="5"/>
  <c r="G16" i="5"/>
  <c r="F102" i="5"/>
  <c r="G69" i="5"/>
  <c r="E79" i="5"/>
  <c r="H31" i="5"/>
  <c r="H90" i="5"/>
  <c r="G43" i="5"/>
  <c r="G25" i="5"/>
  <c r="G75" i="5"/>
  <c r="F3" i="5"/>
  <c r="H79" i="5"/>
  <c r="F5" i="5"/>
  <c r="E20" i="5"/>
  <c r="H88" i="5"/>
  <c r="H78" i="5"/>
  <c r="H59" i="5"/>
  <c r="G23" i="5"/>
  <c r="H30" i="5"/>
  <c r="G8" i="5"/>
  <c r="F31" i="5"/>
  <c r="H104" i="5"/>
  <c r="E39" i="5"/>
  <c r="F124" i="5"/>
  <c r="E54" i="5"/>
  <c r="F112" i="5"/>
  <c r="G71" i="5"/>
  <c r="E29" i="5"/>
  <c r="E37" i="5"/>
  <c r="F74" i="5"/>
  <c r="F73" i="5"/>
  <c r="F35" i="5"/>
  <c r="G24" i="5"/>
  <c r="F19" i="5"/>
  <c r="G122" i="5"/>
  <c r="G66" i="5"/>
  <c r="E99" i="5"/>
  <c r="F117" i="5"/>
  <c r="F28" i="5"/>
  <c r="G20" i="5"/>
  <c r="F25" i="5"/>
  <c r="F79" i="5"/>
  <c r="H93" i="5"/>
  <c r="G27" i="5"/>
  <c r="F103" i="5"/>
  <c r="G26" i="5"/>
  <c r="F98" i="5"/>
  <c r="H56" i="5"/>
  <c r="F86" i="5"/>
  <c r="F41" i="5"/>
  <c r="G56" i="5"/>
  <c r="F39" i="5"/>
  <c r="H65" i="5"/>
  <c r="H17" i="5"/>
  <c r="H12" i="5"/>
  <c r="E100" i="5"/>
  <c r="E9" i="5"/>
  <c r="F122" i="5"/>
  <c r="F118" i="5"/>
  <c r="H49" i="5"/>
  <c r="H42" i="5"/>
  <c r="F18" i="5"/>
  <c r="H112" i="5"/>
  <c r="F110" i="5"/>
  <c r="H68" i="5"/>
  <c r="H10" i="5"/>
  <c r="E51" i="5"/>
  <c r="G65" i="5"/>
  <c r="H117" i="5"/>
  <c r="G21" i="5"/>
  <c r="E84" i="5"/>
  <c r="H40" i="5"/>
  <c r="G94" i="5"/>
  <c r="G117" i="5"/>
  <c r="E36" i="5"/>
  <c r="F37" i="5"/>
  <c r="G50" i="5"/>
  <c r="E56" i="5"/>
  <c r="G82" i="5"/>
  <c r="E25" i="5"/>
  <c r="E6" i="5"/>
  <c r="E67" i="5"/>
  <c r="H27" i="5"/>
  <c r="G2" i="5"/>
  <c r="H8" i="5"/>
  <c r="F65" i="5"/>
  <c r="E81" i="5"/>
  <c r="G54" i="5"/>
  <c r="E48" i="5"/>
  <c r="E110" i="5"/>
  <c r="H38" i="5"/>
  <c r="F113" i="5"/>
  <c r="G29" i="5"/>
  <c r="H92" i="5"/>
  <c r="H35" i="5"/>
  <c r="G3" i="5"/>
  <c r="H52" i="5"/>
  <c r="G78" i="5"/>
  <c r="F123" i="5"/>
  <c r="E88" i="5"/>
  <c r="E89" i="5"/>
  <c r="H53" i="5"/>
  <c r="H15" i="5"/>
  <c r="F92" i="5"/>
  <c r="E10" i="5"/>
  <c r="H119" i="5"/>
  <c r="G35" i="5"/>
  <c r="H7" i="5"/>
  <c r="G118" i="5"/>
  <c r="E62" i="5"/>
  <c r="G41" i="5"/>
  <c r="G124" i="5"/>
  <c r="H54" i="5"/>
  <c r="F48" i="5"/>
  <c r="E119" i="5"/>
  <c r="F40" i="5"/>
  <c r="E60" i="5"/>
  <c r="E14" i="5"/>
  <c r="G9" i="5"/>
  <c r="E16" i="5"/>
  <c r="H36" i="5"/>
  <c r="F30" i="5"/>
  <c r="F93" i="5"/>
  <c r="E27" i="5"/>
  <c r="H61" i="5"/>
  <c r="H67" i="5"/>
  <c r="H32" i="5"/>
  <c r="H20" i="5"/>
  <c r="E23" i="5"/>
  <c r="H50" i="5"/>
  <c r="E31" i="5"/>
  <c r="H76" i="5"/>
  <c r="H26" i="5"/>
  <c r="F57" i="5"/>
  <c r="E126" i="5"/>
  <c r="F72" i="5"/>
  <c r="F10" i="5"/>
  <c r="H111" i="5"/>
  <c r="F121" i="5"/>
  <c r="F51" i="5"/>
  <c r="E32" i="5"/>
  <c r="E68" i="5"/>
  <c r="B6" i="5"/>
  <c r="G100" i="5"/>
  <c r="H71" i="5"/>
  <c r="E103" i="5"/>
  <c r="H81" i="5"/>
  <c r="E77" i="5"/>
  <c r="E108" i="5"/>
  <c r="E72" i="5"/>
  <c r="G101" i="5"/>
  <c r="F107" i="5"/>
  <c r="H5" i="5"/>
  <c r="E50" i="5"/>
  <c r="F53" i="5"/>
  <c r="F26" i="5"/>
  <c r="H103" i="5"/>
  <c r="E26" i="5"/>
  <c r="E90" i="5"/>
  <c r="H94" i="5"/>
  <c r="G89" i="5"/>
  <c r="F120" i="5"/>
  <c r="E115" i="5"/>
  <c r="F21" i="5"/>
  <c r="F84" i="5"/>
  <c r="E111" i="5"/>
  <c r="E11" i="5"/>
  <c r="E35" i="5"/>
  <c r="F42" i="5"/>
  <c r="H116" i="5"/>
  <c r="H110" i="5"/>
  <c r="F9" i="5"/>
  <c r="F13" i="5"/>
  <c r="E24" i="5"/>
  <c r="E75" i="5"/>
  <c r="H85" i="5"/>
  <c r="G37" i="5"/>
  <c r="H118" i="5"/>
  <c r="H9" i="5"/>
  <c r="H98" i="5"/>
  <c r="F106" i="5"/>
  <c r="H121" i="5"/>
  <c r="F97" i="5"/>
  <c r="H62" i="5"/>
  <c r="F71" i="5"/>
  <c r="E69" i="5"/>
  <c r="H107" i="5"/>
  <c r="E43" i="5"/>
  <c r="H108" i="5"/>
  <c r="G59" i="5"/>
  <c r="H23" i="5"/>
  <c r="G103" i="5"/>
  <c r="H58" i="5"/>
  <c r="E3" i="5"/>
  <c r="G38" i="5"/>
  <c r="F90" i="5"/>
  <c r="E120" i="5"/>
  <c r="G22" i="5"/>
  <c r="F58" i="5"/>
  <c r="H22" i="5"/>
  <c r="H114" i="5"/>
  <c r="G36" i="5"/>
  <c r="G58" i="5"/>
  <c r="E80" i="5"/>
  <c r="G88" i="5"/>
  <c r="F81" i="5"/>
  <c r="F46" i="5"/>
  <c r="H51" i="5"/>
  <c r="G77" i="5"/>
  <c r="E95" i="5"/>
  <c r="F24" i="5"/>
  <c r="F33" i="5"/>
  <c r="G12" i="5"/>
  <c r="G81" i="5"/>
  <c r="G19" i="5"/>
  <c r="H14" i="5"/>
  <c r="F11" i="5"/>
  <c r="F2" i="5"/>
  <c r="G116" i="5"/>
  <c r="F104" i="5"/>
  <c r="F60" i="5"/>
  <c r="G28" i="5"/>
  <c r="G79" i="5"/>
  <c r="H82" i="5"/>
  <c r="H126" i="5"/>
  <c r="H120" i="5"/>
  <c r="H95" i="5"/>
  <c r="F82" i="5"/>
  <c r="G67" i="5"/>
  <c r="E55" i="5"/>
  <c r="G53" i="5"/>
  <c r="F70" i="5"/>
  <c r="E107" i="5"/>
  <c r="E22" i="5"/>
  <c r="E91" i="5"/>
  <c r="H11" i="5"/>
  <c r="H45" i="5"/>
  <c r="G13" i="5"/>
  <c r="E7" i="5"/>
  <c r="G18" i="5"/>
  <c r="G125" i="5"/>
  <c r="G80" i="5"/>
  <c r="G10" i="5"/>
  <c r="G39" i="5"/>
  <c r="G52" i="5"/>
  <c r="G7" i="5"/>
  <c r="F87" i="5"/>
  <c r="E118" i="5"/>
  <c r="E121" i="5"/>
  <c r="F17" i="5"/>
  <c r="H63" i="5"/>
  <c r="E78" i="5"/>
  <c r="F94" i="5"/>
  <c r="G6" i="5"/>
  <c r="G90" i="5"/>
  <c r="H101" i="5"/>
  <c r="G99" i="5"/>
  <c r="F22" i="5"/>
  <c r="E102" i="5"/>
  <c r="G72" i="5"/>
  <c r="H57" i="5"/>
  <c r="E109" i="5"/>
  <c r="F101" i="5"/>
  <c r="E94" i="5"/>
  <c r="F64" i="5"/>
  <c r="G49" i="5"/>
  <c r="H73" i="5"/>
  <c r="G68" i="5"/>
  <c r="E87" i="5"/>
  <c r="F116" i="5"/>
  <c r="E33" i="5"/>
  <c r="E46" i="5"/>
  <c r="G40" i="5"/>
  <c r="E123" i="5"/>
  <c r="H70" i="5"/>
  <c r="G61" i="5"/>
  <c r="H21" i="5"/>
  <c r="G109" i="5"/>
  <c r="E57" i="5"/>
  <c r="F126" i="5"/>
  <c r="F43" i="5"/>
  <c r="G115" i="5"/>
  <c r="G91" i="5"/>
  <c r="G123" i="5"/>
  <c r="F114" i="5"/>
  <c r="E45" i="5"/>
  <c r="H74" i="5"/>
  <c r="E83" i="5"/>
  <c r="H97" i="5"/>
  <c r="G62" i="5"/>
  <c r="G51" i="5"/>
  <c r="G108" i="5"/>
  <c r="H64" i="5"/>
  <c r="E98" i="5"/>
  <c r="G31" i="5"/>
  <c r="F27" i="5"/>
  <c r="H66" i="5"/>
  <c r="F38" i="5"/>
  <c r="F49" i="5"/>
  <c r="F115" i="5"/>
  <c r="H91" i="5"/>
  <c r="H44" i="5"/>
  <c r="E117" i="5"/>
  <c r="F80" i="5"/>
  <c r="E41" i="5"/>
  <c r="H102" i="5"/>
  <c r="F52" i="5"/>
  <c r="G48" i="5"/>
  <c r="G119" i="5"/>
  <c r="E112" i="5"/>
  <c r="H96" i="5"/>
  <c r="E38" i="5"/>
  <c r="G97" i="5"/>
  <c r="H69" i="5"/>
  <c r="H48" i="5"/>
  <c r="E59" i="5"/>
  <c r="H25" i="5"/>
  <c r="G120" i="5"/>
  <c r="F55" i="5"/>
  <c r="F105" i="5"/>
  <c r="E2" i="5"/>
  <c r="F69" i="5"/>
  <c r="H99" i="5"/>
  <c r="G15" i="5"/>
  <c r="E49" i="5"/>
  <c r="F12" i="5"/>
  <c r="G105" i="5"/>
  <c r="H77" i="5"/>
  <c r="H100" i="5"/>
  <c r="F125" i="5"/>
  <c r="H2" i="5"/>
  <c r="E96" i="5"/>
  <c r="G73" i="5"/>
  <c r="E40" i="5"/>
  <c r="F4" i="5"/>
  <c r="H113" i="5"/>
  <c r="G57" i="5"/>
  <c r="H16" i="5"/>
  <c r="H43" i="5"/>
  <c r="H13" i="5"/>
  <c r="E73" i="5"/>
  <c r="H60" i="5"/>
  <c r="F96" i="5"/>
  <c r="E92" i="5"/>
  <c r="G110" i="5"/>
  <c r="G98" i="5"/>
  <c r="H72" i="5"/>
  <c r="H6" i="5"/>
  <c r="G30" i="5"/>
  <c r="E8" i="5"/>
  <c r="F50" i="5"/>
  <c r="G96" i="5"/>
  <c r="E74" i="5"/>
  <c r="F75" i="5"/>
  <c r="H106" i="5"/>
  <c r="H125" i="5"/>
  <c r="H86" i="5"/>
  <c r="F67" i="5"/>
  <c r="G55" i="5"/>
  <c r="E114" i="5"/>
  <c r="G126" i="5"/>
  <c r="E70" i="5"/>
  <c r="H46" i="5"/>
  <c r="E106" i="5"/>
  <c r="G85" i="5"/>
  <c r="F7" i="5"/>
  <c r="G33" i="5"/>
  <c r="G76" i="5"/>
  <c r="F99" i="5"/>
  <c r="F29" i="5"/>
  <c r="G4" i="5"/>
  <c r="G102" i="5"/>
  <c r="F59" i="5"/>
  <c r="E52" i="5"/>
  <c r="H33" i="5"/>
  <c r="H75" i="5"/>
  <c r="H55" i="5"/>
  <c r="H41" i="5"/>
  <c r="G32" i="5"/>
  <c r="F77" i="5"/>
  <c r="E76" i="5"/>
  <c r="G114" i="5"/>
  <c r="F76" i="5"/>
  <c r="H4" i="5"/>
  <c r="E101" i="5"/>
  <c r="F20" i="5"/>
  <c r="H19" i="5"/>
  <c r="E116" i="5"/>
  <c r="G63" i="5"/>
  <c r="F32" i="5"/>
  <c r="F6" i="5"/>
  <c r="F56" i="5"/>
  <c r="F119" i="5"/>
  <c r="H115" i="5"/>
  <c r="E30" i="5"/>
  <c r="E66" i="5"/>
  <c r="E64" i="5"/>
  <c r="E18" i="5"/>
  <c r="H24" i="5"/>
  <c r="H83" i="5"/>
  <c r="G17" i="5"/>
  <c r="H89" i="5"/>
  <c r="F44" i="5"/>
  <c r="G11" i="5"/>
  <c r="F47" i="5"/>
  <c r="E34" i="5"/>
  <c r="H47" i="5"/>
  <c r="G14" i="5"/>
  <c r="E71" i="5"/>
  <c r="G60" i="5"/>
  <c r="G95" i="5"/>
  <c r="G111" i="5"/>
  <c r="F88" i="5"/>
  <c r="F36" i="5"/>
  <c r="G44" i="5"/>
  <c r="H34" i="5"/>
  <c r="F91" i="5"/>
  <c r="G34" i="5"/>
  <c r="E19" i="5"/>
  <c r="E124" i="5"/>
  <c r="E63" i="5"/>
  <c r="M95" i="30"/>
  <c r="P95" i="30"/>
  <c r="Q95" i="30"/>
  <c r="C28" i="6" l="1"/>
  <c r="A7" i="5"/>
  <c r="D14" i="6"/>
  <c r="B7" i="5"/>
  <c r="I1" i="5" a="1"/>
  <c r="D30" i="6"/>
  <c r="C27" i="6"/>
  <c r="D15" i="6"/>
  <c r="I56" i="5" l="1"/>
  <c r="I59" i="5"/>
  <c r="I118" i="5"/>
  <c r="I108" i="5"/>
  <c r="I48" i="5"/>
  <c r="I86" i="5"/>
  <c r="I122" i="5"/>
  <c r="I115" i="5"/>
  <c r="I111" i="5"/>
  <c r="I81" i="5"/>
  <c r="I62" i="5"/>
  <c r="I34" i="5"/>
  <c r="I36" i="5"/>
  <c r="I83" i="5"/>
  <c r="I120" i="5"/>
  <c r="I18" i="5"/>
  <c r="I76" i="5"/>
  <c r="I7" i="5"/>
  <c r="I26" i="5"/>
  <c r="I29" i="5"/>
  <c r="I77" i="5"/>
  <c r="I105" i="5"/>
  <c r="I22" i="5"/>
  <c r="I104" i="5"/>
  <c r="I15" i="5"/>
  <c r="I70" i="5"/>
  <c r="I125" i="5"/>
  <c r="I41" i="5"/>
  <c r="I84" i="5"/>
  <c r="I90" i="5"/>
  <c r="I126" i="5"/>
  <c r="I66" i="5"/>
  <c r="I17" i="5"/>
  <c r="I24" i="5"/>
  <c r="I37" i="5"/>
  <c r="I45" i="5"/>
  <c r="I63" i="5"/>
  <c r="I6" i="5"/>
  <c r="I3" i="5"/>
  <c r="I87" i="5"/>
  <c r="I4" i="5"/>
  <c r="I10" i="5"/>
  <c r="I47" i="5"/>
  <c r="I89" i="5"/>
  <c r="I64" i="5"/>
  <c r="I58" i="5"/>
  <c r="I91" i="5"/>
  <c r="I19" i="5"/>
  <c r="I27" i="5"/>
  <c r="I65" i="5"/>
  <c r="I30" i="5"/>
  <c r="I67" i="5"/>
  <c r="I82" i="5"/>
  <c r="I92" i="5"/>
  <c r="I60" i="5"/>
  <c r="I117" i="5"/>
  <c r="I71" i="5"/>
  <c r="I8" i="5"/>
  <c r="I102" i="5"/>
  <c r="I93" i="5"/>
  <c r="I112" i="5"/>
  <c r="I96" i="5"/>
  <c r="I31" i="5"/>
  <c r="I109" i="5"/>
  <c r="I54" i="5"/>
  <c r="I5" i="5"/>
  <c r="I13" i="5"/>
  <c r="I114" i="5"/>
  <c r="I33" i="5"/>
  <c r="I68" i="5"/>
  <c r="I51" i="5"/>
  <c r="I98" i="5"/>
  <c r="I123" i="5"/>
  <c r="I99" i="5"/>
  <c r="I80" i="5"/>
  <c r="I110" i="5"/>
  <c r="I57" i="5"/>
  <c r="I107" i="5"/>
  <c r="I44" i="5"/>
  <c r="I119" i="5"/>
  <c r="I78" i="5"/>
  <c r="I85" i="5"/>
  <c r="I72" i="5"/>
  <c r="I75" i="5"/>
  <c r="I40" i="5"/>
  <c r="I106" i="5"/>
  <c r="I32" i="5"/>
  <c r="I73" i="5"/>
  <c r="I97" i="5"/>
  <c r="I88" i="5"/>
  <c r="I9" i="5"/>
  <c r="I53" i="5"/>
  <c r="I2" i="5"/>
  <c r="I121" i="5"/>
  <c r="I12" i="5"/>
  <c r="I101" i="5"/>
  <c r="I38" i="5"/>
  <c r="I116" i="5"/>
  <c r="I25" i="5"/>
  <c r="I14" i="5"/>
  <c r="I1" i="5"/>
  <c r="I69" i="5"/>
  <c r="I49" i="5"/>
  <c r="I21" i="5"/>
  <c r="I103" i="5"/>
  <c r="I16" i="5"/>
  <c r="I28" i="5"/>
  <c r="I74" i="5"/>
  <c r="I100" i="5"/>
  <c r="I43" i="5"/>
  <c r="I35" i="5"/>
  <c r="I20" i="5"/>
  <c r="I11" i="5"/>
  <c r="I95" i="5"/>
  <c r="I50" i="5"/>
  <c r="I39" i="5"/>
  <c r="I23" i="5"/>
  <c r="I61" i="5"/>
  <c r="I124" i="5"/>
  <c r="I79" i="5"/>
  <c r="I46" i="5"/>
  <c r="I52" i="5"/>
  <c r="I42" i="5"/>
  <c r="I55" i="5"/>
  <c r="I113" i="5"/>
  <c r="I94" i="5"/>
  <c r="D29" i="6"/>
  <c r="D31" i="6"/>
  <c r="D27" i="6" l="1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<sst xmlns="http://schemas.openxmlformats.org/spreadsheetml/2006/main" count="556" uniqueCount="177">
  <si>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</si>
  <si>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</si>
  <si>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</si>
  <si>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</si>
  <si>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</si>
  <si>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</si>
  <si>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</si>
  <si>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</si>
  <si>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</si>
  <si>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</si>
  <si>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</si>
  <si>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</si>
  <si>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</si>
  <si>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</si>
  <si>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</si>
  <si>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</si>
  <si>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</si>
  <si>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</si>
  <si>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</si>
  <si>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</si>
  <si>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</si>
  <si>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</si>
  <si>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</si>
  <si>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</si>
  <si>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</si>
  <si>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</si>
  <si>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</si>
  <si>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</si>
  <si>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</si>
  <si>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</si>
  <si>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</si>
  <si>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</si>
  <si>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</si>
  <si>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</si>
  <si>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</si>
  <si>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</si>
  <si>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</si>
  <si>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</si>
  <si>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</si>
  <si>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</si>
  <si>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</si>
  <si>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</si>
  <si>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</si>
  <si>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</si>
  <si>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</si>
  <si>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</si>
  <si>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</si>
  <si>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</si>
  <si>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</si>
  <si>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</si>
  <si>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</si>
  <si>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</si>
  <si>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</si>
  <si>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</si>
  <si>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</si>
  <si>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</si>
  <si>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</si>
  <si>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</si>
  <si>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</si>
  <si>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</si>
  <si>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</si>
  <si>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</si>
  <si>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</si>
  <si>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</si>
  <si>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</si>
  <si>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</si>
  <si>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</si>
  <si>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</si>
  <si>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</si>
  <si>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</si>
  <si>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</si>
  <si>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</si>
  <si>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</si>
  <si>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</si>
  <si>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</si>
  <si>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</si>
  <si>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</si>
  <si>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</si>
  <si>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</si>
  <si>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</si>
  <si>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</si>
  <si>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</si>
  <si>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</si>
  <si>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</si>
  <si>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</si>
  <si>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</si>
  <si>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</si>
  <si>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</si>
  <si>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</si>
  <si>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</si>
  <si>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</si>
  <si>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</si>
  <si>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</si>
  <si>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</si>
  <si>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</si>
  <si>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</si>
  <si>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</si>
  <si>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</si>
  <si>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</si>
  <si>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</si>
  <si>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</si>
  <si>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</si>
  <si>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</si>
  <si>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</si>
  <si>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</si>
  <si>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</si>
  <si>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</si>
  <si>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</si>
  <si>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</si>
  <si>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</si>
  <si>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</si>
  <si>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</si>
  <si>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</si>
  <si>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</si>
  <si>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</si>
  <si>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</si>
  <si>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</si>
  <si>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</si>
  <si>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</si>
  <si>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</si>
  <si>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</si>
  <si>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</si>
  <si>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</si>
  <si>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</si>
  <si>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</si>
  <si>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</si>
  <si>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</si>
  <si>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</si>
  <si>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</si>
  <si>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</si>
  <si>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</si>
  <si>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</si>
  <si>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</si>
  <si>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</si>
  <si>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</si>
  <si>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</si>
  <si>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</si>
  <si>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</si>
  <si>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</si>
  <si>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</si>
  <si>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</si>
  <si>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SN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</si>
  <si>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</si>
  <si>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</si>
  <si>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</si>
  <si>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</si>
  <si>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</si>
  <si>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</si>
  <si>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</si>
  <si>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</si>
  <si>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</si>
  <si>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</si>
  <si>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</si>
  <si>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</si>
  <si>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</si>
  <si>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</si>
  <si>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USD_YCRH_FRAs</t>
  </si>
  <si>
    <t>Modified Following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</si>
  <si>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</si>
  <si>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</si>
  <si>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</si>
  <si>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</si>
  <si>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</si>
  <si>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</si>
  <si>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</si>
  <si>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</si>
  <si>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</si>
  <si>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</si>
  <si>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Discounting2</t>
  </si>
  <si>
    <t>Discounting</t>
  </si>
  <si>
    <t>USD_YCRH_Swaps</t>
  </si>
  <si>
    <t>MonotonicLogCubicNaturalSpline</t>
  </si>
  <si>
    <t>UnitedStates::Settlement</t>
  </si>
  <si>
    <t>JoinHolidays</t>
  </si>
  <si>
    <t>UsdFedFunds</t>
  </si>
  <si>
    <t>USDFedFunds</t>
  </si>
  <si>
    <t>Extrapolation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</si>
</sst>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0.00000%"/>
    <numFmt numFmtId="167" formatCode="ddd\,\ dd\-mmm\-yyyy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u/>
      <sz val="8"/>
      <name val="Courier New"/>
      <family val="3"/>
    </font>
    <font>
      <sz val="15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8" fillId="0" borderId="0"/>
  </cellStyleXfs>
  <cellXfs count="20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2" borderId="13" xfId="1" applyNumberFormat="1" applyFont="1" applyFill="1" applyBorder="1" applyAlignment="1"/>
    <xf numFmtId="167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7" fontId="2" fillId="2" borderId="16" xfId="1" applyNumberFormat="1" applyFont="1" applyFill="1" applyBorder="1" applyAlignment="1"/>
    <xf numFmtId="167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2" borderId="0" xfId="3" applyFont="1" applyFill="1" applyBorder="1"/>
    <xf numFmtId="167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8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0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0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1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6" borderId="31" xfId="3" applyFont="1" applyFill="1" applyBorder="1"/>
    <xf numFmtId="0" fontId="8" fillId="2" borderId="0" xfId="3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7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2" fontId="15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3" fontId="5" fillId="2" borderId="9" xfId="1" applyNumberFormat="1" applyFont="1" applyFill="1" applyBorder="1" applyAlignment="1">
      <alignment horizontal="left"/>
    </xf>
    <xf numFmtId="173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5" fillId="5" borderId="9" xfId="1" applyNumberFormat="1" applyFont="1" applyFill="1" applyBorder="1" applyAlignment="1" applyProtection="1">
      <alignment horizontal="left" vertical="center"/>
    </xf>
    <xf numFmtId="0" fontId="16" fillId="5" borderId="10" xfId="1" applyNumberFormat="1" applyFont="1" applyFill="1" applyBorder="1" applyAlignment="1" applyProtection="1">
      <alignment horizontal="center" vertical="center"/>
    </xf>
    <xf numFmtId="0" fontId="17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8" fillId="0" borderId="0" xfId="1" applyFont="1"/>
    <xf numFmtId="0" fontId="18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9" fillId="2" borderId="16" xfId="1" applyFont="1" applyFill="1" applyBorder="1"/>
    <xf numFmtId="171" fontId="16" fillId="5" borderId="10" xfId="1" quotePrefix="1" applyNumberFormat="1" applyFont="1" applyFill="1" applyBorder="1" applyAlignment="1" applyProtection="1">
      <alignment horizontal="center"/>
    </xf>
    <xf numFmtId="0" fontId="20" fillId="6" borderId="9" xfId="1" applyFont="1" applyFill="1" applyBorder="1"/>
    <xf numFmtId="0" fontId="19" fillId="2" borderId="17" xfId="1" applyFont="1" applyFill="1" applyBorder="1"/>
    <xf numFmtId="171" fontId="16" fillId="5" borderId="10" xfId="1" applyNumberFormat="1" applyFont="1" applyFill="1" applyBorder="1" applyAlignment="1" applyProtection="1">
      <alignment horizontal="center"/>
    </xf>
    <xf numFmtId="0" fontId="19" fillId="2" borderId="0" xfId="1" applyFont="1" applyFill="1" applyBorder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15" fontId="16" fillId="2" borderId="16" xfId="1" applyNumberFormat="1" applyFont="1" applyFill="1" applyBorder="1"/>
    <xf numFmtId="0" fontId="16" fillId="6" borderId="9" xfId="1" applyNumberFormat="1" applyFont="1" applyFill="1" applyBorder="1"/>
    <xf numFmtId="0" fontId="16" fillId="2" borderId="17" xfId="1" applyFont="1" applyFill="1" applyBorder="1"/>
    <xf numFmtId="171" fontId="16" fillId="5" borderId="10" xfId="1" quotePrefix="1" applyNumberFormat="1" applyFont="1" applyFill="1" applyBorder="1" applyAlignment="1" applyProtection="1">
      <alignment horizontal="left"/>
    </xf>
    <xf numFmtId="0" fontId="16" fillId="2" borderId="16" xfId="1" applyFont="1" applyFill="1" applyBorder="1"/>
    <xf numFmtId="0" fontId="16" fillId="2" borderId="0" xfId="1" applyFont="1" applyFill="1" applyBorder="1"/>
    <xf numFmtId="0" fontId="18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5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5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5" fillId="5" borderId="10" xfId="1" applyNumberFormat="1" applyFont="1" applyFill="1" applyBorder="1" applyAlignment="1" applyProtection="1">
      <alignment vertical="center"/>
    </xf>
    <xf numFmtId="0" fontId="16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8" fillId="0" borderId="34" xfId="1" applyFont="1" applyBorder="1"/>
    <xf numFmtId="0" fontId="18" fillId="0" borderId="34" xfId="1" applyFont="1" applyBorder="1" applyAlignment="1">
      <alignment horizontal="left"/>
    </xf>
    <xf numFmtId="0" fontId="18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5" fillId="2" borderId="34" xfId="1" applyFont="1" applyFill="1" applyBorder="1"/>
    <xf numFmtId="0" fontId="5" fillId="2" borderId="33" xfId="1" applyFont="1" applyFill="1" applyBorder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1" fillId="2" borderId="16" xfId="1" applyFont="1" applyFill="1" applyBorder="1"/>
    <xf numFmtId="0" fontId="2" fillId="2" borderId="0" xfId="1" applyFont="1" applyFill="1" applyBorder="1" applyAlignment="1"/>
    <xf numFmtId="167" fontId="2" fillId="0" borderId="0" xfId="1" applyNumberFormat="1" applyFont="1"/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2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left" vertical="center"/>
    </xf>
    <xf numFmtId="0" fontId="21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5" fillId="10" borderId="0" xfId="3" applyFont="1" applyFill="1"/>
    <xf numFmtId="0" fontId="18" fillId="10" borderId="0" xfId="10" applyFill="1"/>
    <xf numFmtId="0" fontId="5" fillId="11" borderId="33" xfId="3" applyFont="1" applyFill="1" applyBorder="1"/>
    <xf numFmtId="0" fontId="5" fillId="11" borderId="32" xfId="3" applyFont="1" applyFill="1" applyBorder="1"/>
    <xf numFmtId="0" fontId="5" fillId="11" borderId="17" xfId="3" applyFont="1" applyFill="1" applyBorder="1"/>
    <xf numFmtId="0" fontId="5" fillId="11" borderId="16" xfId="3" applyFont="1" applyFill="1" applyBorder="1"/>
    <xf numFmtId="0" fontId="5" fillId="11" borderId="15" xfId="3" applyFont="1" applyFill="1" applyBorder="1"/>
    <xf numFmtId="0" fontId="5" fillId="11" borderId="13" xfId="3" applyFont="1" applyFill="1" applyBorder="1"/>
    <xf numFmtId="167" fontId="5" fillId="2" borderId="30" xfId="1" applyNumberFormat="1" applyFont="1" applyFill="1" applyBorder="1" applyAlignment="1">
      <alignment horizontal="right"/>
    </xf>
    <xf numFmtId="0" fontId="5" fillId="2" borderId="4" xfId="1" applyFont="1" applyFill="1" applyBorder="1" applyAlignment="1">
      <alignment horizontal="left"/>
    </xf>
    <xf numFmtId="0" fontId="5" fillId="2" borderId="4" xfId="3" applyFont="1" applyFill="1" applyBorder="1" applyAlignment="1">
      <alignment horizontal="left"/>
    </xf>
    <xf numFmtId="0" fontId="5" fillId="10" borderId="16" xfId="3" applyFont="1" applyFill="1" applyBorder="1"/>
    <xf numFmtId="0" fontId="5" fillId="2" borderId="29" xfId="1" applyFont="1" applyFill="1" applyBorder="1" applyAlignment="1">
      <alignment horizontal="center"/>
    </xf>
    <xf numFmtId="167" fontId="5" fillId="2" borderId="7" xfId="1" applyNumberFormat="1" applyFont="1" applyFill="1" applyBorder="1" applyAlignment="1">
      <alignment horizontal="right"/>
    </xf>
    <xf numFmtId="0" fontId="5" fillId="2" borderId="7" xfId="1" applyFont="1" applyFill="1" applyBorder="1" applyAlignment="1">
      <alignment horizontal="center"/>
    </xf>
    <xf numFmtId="0" fontId="5" fillId="10" borderId="34" xfId="3" applyFont="1" applyFill="1" applyBorder="1"/>
    <xf numFmtId="168" fontId="2" fillId="0" borderId="0" xfId="2" applyNumberFormat="1" applyFont="1"/>
    <xf numFmtId="0" fontId="10" fillId="8" borderId="28" xfId="3" applyFont="1" applyFill="1" applyBorder="1" applyAlignment="1">
      <alignment horizontal="centerContinuous"/>
    </xf>
    <xf numFmtId="0" fontId="10" fillId="8" borderId="35" xfId="3" applyFont="1" applyFill="1" applyBorder="1" applyAlignment="1">
      <alignment horizontal="centerContinuous"/>
    </xf>
    <xf numFmtId="0" fontId="10" fillId="8" borderId="27" xfId="3" applyFont="1" applyFill="1" applyBorder="1" applyAlignment="1">
      <alignment horizontal="centerContinuous"/>
    </xf>
    <xf numFmtId="0" fontId="5" fillId="10" borderId="36" xfId="3" applyFont="1" applyFill="1" applyBorder="1"/>
    <xf numFmtId="0" fontId="5" fillId="10" borderId="0" xfId="3" applyFont="1" applyFill="1" applyBorder="1"/>
    <xf numFmtId="0" fontId="22" fillId="8" borderId="35" xfId="3" applyFont="1" applyFill="1" applyBorder="1" applyAlignment="1">
      <alignment horizontal="centerContinuous"/>
    </xf>
    <xf numFmtId="0" fontId="22" fillId="8" borderId="28" xfId="3" applyFont="1" applyFill="1" applyBorder="1" applyAlignment="1">
      <alignment horizontal="centerContinuous"/>
    </xf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3"/>
  <sheetViews>
    <sheetView tabSelected="1" workbookViewId="0">
      <selection activeCell="D11" sqref="D11"/>
    </sheetView>
  </sheetViews>
  <sheetFormatPr defaultColWidth="8" defaultRowHeight="11.25" x14ac:dyDescent="0.2"/>
  <cols>
    <col min="1" max="2" width="2.7109375" style="173" customWidth="1"/>
    <col min="3" max="3" width="18" style="173" bestFit="1" customWidth="1"/>
    <col min="4" max="4" width="25" style="173" customWidth="1"/>
    <col min="5" max="5" width="22" style="173" bestFit="1" customWidth="1"/>
    <col min="6" max="7" width="2.7109375" style="173" customWidth="1"/>
    <col min="8" max="9" width="8" style="173" customWidth="1"/>
    <col min="10" max="11" width="2.7109375" style="173" customWidth="1"/>
    <col min="12" max="12" width="18.5703125" style="173" bestFit="1" customWidth="1"/>
    <col min="13" max="13" width="45.7109375" style="173" customWidth="1"/>
    <col min="14" max="14" width="2.7109375" style="173" customWidth="1"/>
    <col min="15" max="16384" width="8" style="173"/>
  </cols>
  <sheetData>
    <row r="1" spans="2:14" ht="12" thickBot="1" x14ac:dyDescent="0.25">
      <c r="B1" s="173" t="str">
        <f>_xll.qlxlVersion(TRUE,Trigger)</f>
        <v>QuantLibXL 1.4.0 - MS VC++ 9.0 - Multithreaded Dynamic Runtime library - Release Configuration - Apr 29 2014 14:47:17</v>
      </c>
    </row>
    <row r="2" spans="2:14" ht="19.5" customHeight="1" thickBot="1" x14ac:dyDescent="0.3">
      <c r="B2" s="196" t="s">
        <v>138</v>
      </c>
      <c r="C2" s="191"/>
      <c r="D2" s="191"/>
      <c r="E2" s="191"/>
      <c r="F2" s="191"/>
      <c r="G2" s="193"/>
      <c r="K2" s="190" t="s">
        <v>150</v>
      </c>
      <c r="L2" s="195"/>
      <c r="M2" s="191"/>
      <c r="N2" s="192"/>
    </row>
    <row r="3" spans="2:14" ht="12" thickBot="1" x14ac:dyDescent="0.25">
      <c r="B3" s="54"/>
      <c r="C3" s="84"/>
      <c r="D3" s="52"/>
      <c r="E3" s="52"/>
      <c r="F3" s="52"/>
      <c r="G3" s="193"/>
      <c r="K3" s="128"/>
      <c r="L3" s="131"/>
      <c r="M3" s="131"/>
      <c r="N3" s="130"/>
    </row>
    <row r="4" spans="2:14" x14ac:dyDescent="0.2">
      <c r="B4" s="54"/>
      <c r="C4" s="83" t="s">
        <v>137</v>
      </c>
      <c r="D4" s="69" t="s">
        <v>125</v>
      </c>
      <c r="E4" s="52"/>
      <c r="F4" s="52"/>
      <c r="G4" s="193"/>
      <c r="H4" s="175" t="s">
        <v>136</v>
      </c>
      <c r="I4" s="176"/>
      <c r="K4" s="128"/>
      <c r="L4" s="127" t="s">
        <v>149</v>
      </c>
      <c r="M4" s="121" t="b">
        <v>0</v>
      </c>
      <c r="N4" s="126"/>
    </row>
    <row r="5" spans="2:14" x14ac:dyDescent="0.2">
      <c r="B5" s="54"/>
      <c r="C5" s="81" t="s">
        <v>135</v>
      </c>
      <c r="D5" s="55"/>
      <c r="E5" s="52"/>
      <c r="F5" s="52"/>
      <c r="G5" s="193"/>
      <c r="H5" s="177" t="s">
        <v>134</v>
      </c>
      <c r="I5" s="178" t="s">
        <v>133</v>
      </c>
      <c r="K5" s="128"/>
      <c r="L5" s="127" t="s">
        <v>148</v>
      </c>
      <c r="M5" s="129"/>
      <c r="N5" s="126"/>
    </row>
    <row r="6" spans="2:14" x14ac:dyDescent="0.2">
      <c r="B6" s="54"/>
      <c r="C6" s="81" t="s">
        <v>132</v>
      </c>
      <c r="D6" s="55" t="s">
        <v>131</v>
      </c>
      <c r="E6" s="52"/>
      <c r="F6" s="52"/>
      <c r="G6" s="193"/>
      <c r="H6" s="177" t="s">
        <v>130</v>
      </c>
      <c r="I6" s="178"/>
      <c r="K6" s="128"/>
      <c r="L6" s="127" t="s">
        <v>147</v>
      </c>
      <c r="M6" s="118" t="b">
        <v>1</v>
      </c>
      <c r="N6" s="126"/>
    </row>
    <row r="7" spans="2:14" ht="12" thickBot="1" x14ac:dyDescent="0.25">
      <c r="B7" s="54"/>
      <c r="C7" s="81" t="s">
        <v>129</v>
      </c>
      <c r="D7" s="55" t="s">
        <v>73</v>
      </c>
      <c r="E7" s="52"/>
      <c r="F7" s="52"/>
      <c r="G7" s="193"/>
      <c r="H7" s="177" t="s">
        <v>128</v>
      </c>
      <c r="I7" s="178"/>
      <c r="K7" s="125"/>
      <c r="L7" s="124"/>
      <c r="M7" s="124"/>
      <c r="N7" s="123"/>
    </row>
    <row r="8" spans="2:14" ht="12" thickBot="1" x14ac:dyDescent="0.25">
      <c r="B8" s="54"/>
      <c r="C8" s="81" t="s">
        <v>127</v>
      </c>
      <c r="D8" s="82" t="s">
        <v>126</v>
      </c>
      <c r="E8" s="52"/>
      <c r="F8" s="52"/>
      <c r="G8" s="193"/>
      <c r="H8" s="179" t="s">
        <v>125</v>
      </c>
      <c r="I8" s="180" t="s">
        <v>124</v>
      </c>
      <c r="K8" s="174"/>
      <c r="L8" s="174"/>
      <c r="M8" s="174"/>
      <c r="N8" s="174"/>
    </row>
    <row r="9" spans="2:14" ht="19.5" customHeight="1" thickBot="1" x14ac:dyDescent="0.3">
      <c r="B9" s="54"/>
      <c r="C9" s="81" t="s">
        <v>123</v>
      </c>
      <c r="D9" s="55" t="str">
        <f>Currency&amp;"_YC"&amp;IndexTenor&amp;"RH"</f>
        <v>USD_YCONRH</v>
      </c>
      <c r="E9" s="52"/>
      <c r="F9" s="52"/>
      <c r="G9" s="193"/>
      <c r="K9" s="196" t="s">
        <v>146</v>
      </c>
      <c r="L9" s="191"/>
      <c r="M9" s="191"/>
      <c r="N9" s="192"/>
    </row>
    <row r="10" spans="2:14" ht="12.75" x14ac:dyDescent="0.2">
      <c r="B10" s="54"/>
      <c r="C10" s="80" t="s">
        <v>122</v>
      </c>
      <c r="D10" s="55" t="b">
        <v>1</v>
      </c>
      <c r="E10" s="52"/>
      <c r="F10" s="52"/>
      <c r="G10" s="193"/>
      <c r="K10" s="120"/>
      <c r="L10" s="122"/>
      <c r="M10" s="122"/>
      <c r="N10" s="117"/>
    </row>
    <row r="11" spans="2:14" ht="12.75" x14ac:dyDescent="0.2">
      <c r="B11" s="54"/>
      <c r="C11" s="80" t="s">
        <v>121</v>
      </c>
      <c r="D11" s="79"/>
      <c r="E11" s="52"/>
      <c r="F11" s="52"/>
      <c r="G11" s="193"/>
      <c r="K11" s="120"/>
      <c r="L11" s="119" t="s">
        <v>145</v>
      </c>
      <c r="M11" s="121" t="s">
        <v>144</v>
      </c>
      <c r="N11" s="117"/>
    </row>
    <row r="12" spans="2:14" ht="12.75" x14ac:dyDescent="0.2">
      <c r="B12" s="54"/>
      <c r="C12" s="78" t="s">
        <v>120</v>
      </c>
      <c r="D12" s="77" t="b">
        <v>0</v>
      </c>
      <c r="E12" s="52"/>
      <c r="F12" s="52"/>
      <c r="G12" s="193"/>
      <c r="K12" s="120"/>
      <c r="L12" s="119" t="s">
        <v>143</v>
      </c>
      <c r="M12" s="118" t="s">
        <v>142</v>
      </c>
      <c r="N12" s="117"/>
    </row>
    <row r="13" spans="2:14" ht="12.75" x14ac:dyDescent="0.2">
      <c r="B13" s="54"/>
      <c r="C13" s="59"/>
      <c r="D13" s="59"/>
      <c r="E13" s="52"/>
      <c r="F13" s="52"/>
      <c r="G13" s="193"/>
      <c r="K13" s="120"/>
      <c r="L13" s="119" t="s">
        <v>169</v>
      </c>
      <c r="M13" s="121" t="str">
        <f>PROPER(Currency)&amp;"ON"</f>
        <v>UsdON</v>
      </c>
      <c r="N13" s="117"/>
    </row>
    <row r="14" spans="2:14" ht="12.75" x14ac:dyDescent="0.2">
      <c r="B14" s="54"/>
      <c r="C14" s="74" t="s">
        <v>119</v>
      </c>
      <c r="D14" s="76" t="str">
        <f>_xll.qlPiecewiseYieldCurve(D16,NDays,Calendar,RateHelpersSelected,DayCounter,,,Accuracy,TraitsID,InterpolatorID,Permanent,,ObjectOverwrite)</f>
        <v>_USDYCON#0004</v>
      </c>
      <c r="E14" s="52" t="s">
        <v>173</v>
      </c>
      <c r="F14" s="52"/>
      <c r="G14" s="193"/>
      <c r="K14" s="120"/>
      <c r="L14" s="119" t="s">
        <v>168</v>
      </c>
      <c r="M14" s="121" t="str">
        <f>PROPER(Currency)&amp;"STD"</f>
        <v>UsdSTD</v>
      </c>
      <c r="N14" s="117"/>
    </row>
    <row r="15" spans="2:14" ht="13.5" thickBot="1" x14ac:dyDescent="0.25">
      <c r="B15" s="54"/>
      <c r="C15" s="61" t="s">
        <v>98</v>
      </c>
      <c r="D15" s="75" t="str">
        <f>_xll.ohRangeRetrieveError(YieldCurve)</f>
        <v/>
      </c>
      <c r="E15" s="52" t="s">
        <v>115</v>
      </c>
      <c r="F15" s="52"/>
      <c r="G15" s="193"/>
      <c r="K15" s="116"/>
      <c r="L15" s="115"/>
      <c r="M15" s="115"/>
      <c r="N15" s="114"/>
    </row>
    <row r="16" spans="2:14" x14ac:dyDescent="0.2">
      <c r="B16" s="54"/>
      <c r="C16" s="74" t="s">
        <v>118</v>
      </c>
      <c r="D16" s="73" t="str">
        <f>"_"&amp;Currency&amp;"YC"&amp;IndexTenor</f>
        <v>_USDYCON</v>
      </c>
      <c r="E16" s="52" t="s">
        <v>172</v>
      </c>
      <c r="F16" s="52"/>
      <c r="G16" s="193"/>
    </row>
    <row r="17" spans="1:7" x14ac:dyDescent="0.2">
      <c r="B17" s="54"/>
      <c r="C17" s="63" t="s">
        <v>117</v>
      </c>
      <c r="D17" s="72">
        <v>0</v>
      </c>
      <c r="E17" s="52"/>
      <c r="F17" s="52"/>
      <c r="G17" s="193"/>
    </row>
    <row r="18" spans="1:7" x14ac:dyDescent="0.2">
      <c r="B18" s="54"/>
      <c r="C18" s="63" t="s">
        <v>116</v>
      </c>
      <c r="D18" s="183" t="str">
        <f>E14&amp;"("&amp;E15&amp;","&amp;E16&amp;")"</f>
        <v>JoinHolidays(UnitedKingdom::Exchange,UnitedStates::Settlement)</v>
      </c>
      <c r="E18" s="52" t="str">
        <f>_xll.qlIndexFixingCalendar("USDFEDFUNDS")</f>
        <v>JoinHolidays(London stock exchange, US settlement)</v>
      </c>
      <c r="F18" s="52"/>
      <c r="G18" s="193"/>
    </row>
    <row r="19" spans="1:7" x14ac:dyDescent="0.2">
      <c r="B19" s="54"/>
      <c r="C19" s="63" t="s">
        <v>114</v>
      </c>
      <c r="D19" s="71"/>
      <c r="E19" s="52"/>
      <c r="F19" s="52"/>
      <c r="G19" s="193"/>
    </row>
    <row r="20" spans="1:7" x14ac:dyDescent="0.2">
      <c r="B20" s="54"/>
      <c r="C20" s="63" t="s">
        <v>113</v>
      </c>
      <c r="D20" s="70"/>
      <c r="E20" s="69"/>
      <c r="F20" s="52"/>
      <c r="G20" s="193"/>
    </row>
    <row r="21" spans="1:7" x14ac:dyDescent="0.2">
      <c r="B21" s="54"/>
      <c r="C21" s="63" t="s">
        <v>112</v>
      </c>
      <c r="D21" s="68">
        <f>DATE(YEAR(_xll.qlCalendarAdvance(Calendar,_xll.qlSettingsEvaluationDate(Trigger),NDays&amp;"D")),12,31)</f>
        <v>42004</v>
      </c>
      <c r="E21" s="67">
        <f>DATE(YEAR(D21+1),12,31)</f>
        <v>42369</v>
      </c>
      <c r="F21" s="52"/>
      <c r="G21" s="193"/>
    </row>
    <row r="22" spans="1:7" x14ac:dyDescent="0.2">
      <c r="B22" s="54"/>
      <c r="C22" s="63" t="s">
        <v>111</v>
      </c>
      <c r="D22" s="66" t="e">
        <f>NA()</f>
        <v>#N/A</v>
      </c>
      <c r="E22" s="65" t="e">
        <f>NA()</f>
        <v>#N/A</v>
      </c>
      <c r="F22" s="52"/>
      <c r="G22" s="193"/>
    </row>
    <row r="23" spans="1:7" x14ac:dyDescent="0.2">
      <c r="B23" s="54"/>
      <c r="C23" s="63" t="s">
        <v>110</v>
      </c>
      <c r="D23" s="64"/>
      <c r="E23" s="52"/>
      <c r="F23" s="52"/>
      <c r="G23" s="193"/>
    </row>
    <row r="24" spans="1:7" x14ac:dyDescent="0.2">
      <c r="B24" s="54"/>
      <c r="C24" s="63" t="s">
        <v>109</v>
      </c>
      <c r="D24" s="62" t="s">
        <v>108</v>
      </c>
      <c r="E24" s="52"/>
      <c r="F24" s="52"/>
      <c r="G24" s="193"/>
    </row>
    <row r="25" spans="1:7" x14ac:dyDescent="0.2">
      <c r="B25" s="54"/>
      <c r="C25" s="61" t="s">
        <v>107</v>
      </c>
      <c r="D25" s="60" t="s">
        <v>171</v>
      </c>
      <c r="E25" s="52"/>
      <c r="F25" s="52"/>
      <c r="G25" s="193"/>
    </row>
    <row r="26" spans="1:7" x14ac:dyDescent="0.2">
      <c r="B26" s="54"/>
      <c r="C26" s="59"/>
      <c r="D26" s="59"/>
      <c r="E26" s="52"/>
      <c r="F26" s="52"/>
      <c r="G26" s="193"/>
    </row>
    <row r="27" spans="1:7" x14ac:dyDescent="0.2">
      <c r="B27" s="54"/>
      <c r="C27" s="58">
        <f>_xll.qlTermStructureReferenceDate(YieldCurve)</f>
        <v>41768</v>
      </c>
      <c r="D27" s="57">
        <f>MAX(_xll.ohPack(Selected!I1:I126))</f>
        <v>1</v>
      </c>
      <c r="E27" s="52"/>
      <c r="F27" s="52"/>
      <c r="G27" s="193"/>
    </row>
    <row r="28" spans="1:7" x14ac:dyDescent="0.2">
      <c r="B28" s="54"/>
      <c r="C28" s="56">
        <f>MAX(_xll.ohPack(Selected!H2:H126))</f>
        <v>60035</v>
      </c>
      <c r="D28" s="55">
        <f>MIN(_xll.ohPack(Selected!I1:I126))</f>
        <v>0.20316819626589766</v>
      </c>
      <c r="E28" s="52"/>
      <c r="F28" s="52"/>
      <c r="G28" s="193"/>
    </row>
    <row r="29" spans="1:7" x14ac:dyDescent="0.2">
      <c r="B29" s="54"/>
      <c r="C29" s="181" t="s">
        <v>98</v>
      </c>
      <c r="D29" s="182" t="str">
        <f>_xll.ohRangeRetrieveError(Selected!I1)</f>
        <v/>
      </c>
      <c r="E29" s="52"/>
      <c r="F29" s="52"/>
      <c r="G29" s="193"/>
    </row>
    <row r="30" spans="1:7" ht="11.25" customHeight="1" x14ac:dyDescent="0.2">
      <c r="B30" s="54"/>
      <c r="C30" s="181" t="str">
        <f>Currency&amp;"ON"</f>
        <v>USDON</v>
      </c>
      <c r="D30" s="55" t="b">
        <f>_xll.qlRelinkableHandleLinkTo(C30,YieldCurve)</f>
        <v>1</v>
      </c>
      <c r="E30" s="52"/>
      <c r="F30" s="52"/>
      <c r="G30" s="193"/>
    </row>
    <row r="31" spans="1:7" x14ac:dyDescent="0.2">
      <c r="A31" s="184"/>
      <c r="B31" s="52"/>
      <c r="C31" s="53" t="s">
        <v>176</v>
      </c>
      <c r="D31" s="185" t="b">
        <f>_xll.qlExtrapolatorEnableExtrapolation(YieldCurve,TRUE)</f>
        <v>1</v>
      </c>
      <c r="E31" s="52"/>
      <c r="F31" s="52"/>
      <c r="G31" s="193"/>
    </row>
    <row r="32" spans="1:7" ht="12" thickBot="1" x14ac:dyDescent="0.25">
      <c r="A32" s="184"/>
      <c r="B32" s="52"/>
      <c r="C32" s="186"/>
      <c r="D32" s="187"/>
      <c r="E32" s="52"/>
      <c r="F32" s="52"/>
      <c r="G32" s="193"/>
    </row>
    <row r="33" spans="2:7" x14ac:dyDescent="0.2">
      <c r="B33" s="188"/>
      <c r="C33" s="188"/>
      <c r="D33" s="188"/>
      <c r="E33" s="188"/>
      <c r="F33" s="188"/>
      <c r="G33" s="194"/>
    </row>
  </sheetData>
  <dataValidations count="7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E15:E16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E14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25"/>
  <sheetViews>
    <sheetView topLeftCell="D65" workbookViewId="0">
      <selection activeCell="F88" sqref="F88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197" t="s">
        <v>97</v>
      </c>
      <c r="C1" s="198"/>
      <c r="D1" s="199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>ON_Deposits!F3</f>
        <v>USD_YCONRH_OND#0001</v>
      </c>
      <c r="F2" s="13">
        <f>_xll.qlRateHelperQuoteValue($E2,Trigger)</f>
        <v>1.5000000000000002E-3</v>
      </c>
      <c r="G2" s="13"/>
      <c r="H2" s="172" t="b">
        <v>1</v>
      </c>
      <c r="I2" s="6">
        <v>70</v>
      </c>
      <c r="J2" s="6">
        <v>1</v>
      </c>
      <c r="K2" s="12">
        <f>_xll.qlRateHelperEarliestDate($E2,Trigger)</f>
        <v>41768</v>
      </c>
      <c r="L2" s="11">
        <f>_xll.qlRateHelperLatestDate($E2,Trigger)</f>
        <v>41771</v>
      </c>
    </row>
    <row r="3" spans="1:14" x14ac:dyDescent="0.2">
      <c r="B3" s="31"/>
      <c r="C3" s="15"/>
      <c r="D3" s="14" t="s">
        <v>87</v>
      </c>
      <c r="E3" s="14" t="str">
        <f>ON_FRAs!H3</f>
        <v>USD_YCONRH_TND#0001</v>
      </c>
      <c r="F3" s="13">
        <f>_xll.qlRateHelperQuoteValue($E3,Trigger)</f>
        <v>1.5000000000000002E-3</v>
      </c>
      <c r="G3" s="13"/>
      <c r="H3" s="172" t="b">
        <v>1</v>
      </c>
      <c r="I3" s="6">
        <v>70</v>
      </c>
      <c r="J3" s="6">
        <v>1</v>
      </c>
      <c r="K3" s="12">
        <f>_xll.qlRateHelperEarliestDate($E3,Trigger)</f>
        <v>41771</v>
      </c>
      <c r="L3" s="11">
        <f>_xll.qlRateHelperLatestDate($E3,Trigger)</f>
        <v>41772</v>
      </c>
    </row>
    <row r="4" spans="1:14" x14ac:dyDescent="0.2">
      <c r="B4" s="31"/>
      <c r="C4" s="15"/>
      <c r="D4" s="14" t="s">
        <v>86</v>
      </c>
      <c r="E4" s="14" t="str">
        <f>ON_FRAs!H4</f>
        <v>USD_YCONRH_SND#0001</v>
      </c>
      <c r="F4" s="13">
        <f>_xll.qlRateHelperQuoteValue($E4,Trigger)</f>
        <v>1.5000000000000002E-3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41772</v>
      </c>
      <c r="L4" s="11">
        <f>_xll.qlRateHelperLatestDate($E4,Trigger)</f>
        <v>41773</v>
      </c>
    </row>
    <row r="5" spans="1:14" hidden="1" outlineLevel="1" x14ac:dyDescent="0.2">
      <c r="B5" s="31"/>
      <c r="C5" s="15"/>
      <c r="D5" s="14" t="s">
        <v>85</v>
      </c>
      <c r="E5" s="14" t="str">
        <f t="shared" ref="E5:E33" si="0">RateHelperPrefix&amp;"_"&amp;$B5&amp;$C5&amp;$D5</f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172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>ON_Swaps!L6</f>
        <v>USD_YCONRH_OISSW#0001</v>
      </c>
      <c r="F35" s="20">
        <f>_xll.qlRateHelperQuoteValue($E35,Trigger)</f>
        <v>8.5000000000000006E-4</v>
      </c>
      <c r="G35" s="20" t="e">
        <f>_xll.qlSwapRateHelperSpread($E35,Trigger)</f>
        <v>#NUM!</v>
      </c>
      <c r="H35" s="172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41772</v>
      </c>
      <c r="L35" s="17">
        <f>_xll.qlRateHelperLatestDate($E35,Trigger)</f>
        <v>41779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>ON_Swaps!L7</f>
        <v>USD_YCONRH_OIS2W#0001</v>
      </c>
      <c r="F36" s="13">
        <f>_xll.qlRateHelperQuoteValue($E36,Trigger)</f>
        <v>8.5000000000000006E-4</v>
      </c>
      <c r="G36" s="13" t="e">
        <f>_xll.qlSwapRateHelperSpread($E36,Trigger)</f>
        <v>#NUM!</v>
      </c>
      <c r="H36" s="6" t="b">
        <f t="shared" ref="H36:H61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41772</v>
      </c>
      <c r="L36" s="11">
        <f>_xll.qlRateHelperLatestDate($E36,Trigger)</f>
        <v>41786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>ON_Swaps!L8</f>
        <v>USD_YCONRH_OIS3W#0001</v>
      </c>
      <c r="F37" s="13">
        <f>_xll.qlRateHelperQuoteValue($E37,Trigger)</f>
        <v>8.5000000000000006E-4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41772</v>
      </c>
      <c r="L37" s="11">
        <f>_xll.qlRateHelperLatestDate($E37,Trigger)</f>
        <v>41793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>ON_Swaps!L9</f>
        <v>USD_YCONRH_OIS1M#0001</v>
      </c>
      <c r="F38" s="13">
        <f>_xll.qlRateHelperQuoteValue($E38,Trigger)</f>
        <v>8.5000000000000006E-4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41772</v>
      </c>
      <c r="L38" s="11">
        <f>_xll.qlRateHelperLatestDate($E38,Trigger)</f>
        <v>41803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>ON_Swaps!L10</f>
        <v>USD_YCONRH_OIS2M#0001</v>
      </c>
      <c r="F39" s="13">
        <f>_xll.qlRateHelperQuoteValue($E39,Trigger)</f>
        <v>8.9999999999999998E-4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41772</v>
      </c>
      <c r="L39" s="11">
        <f>_xll.qlRateHelperLatestDate($E39,Trigger)</f>
        <v>41834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>ON_Swaps!L11</f>
        <v>USD_YCONRH_OIS3M#0001</v>
      </c>
      <c r="F40" s="13">
        <f>_xll.qlRateHelperQuoteValue($E40,Trigger)</f>
        <v>9.2999999999999995E-4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41772</v>
      </c>
      <c r="L40" s="11">
        <f>_xll.qlRateHelperLatestDate($E40,Trigger)</f>
        <v>41864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>ON_Swaps!L12</f>
        <v>USD_YCONRH_OIS4M#0001</v>
      </c>
      <c r="F41" s="13">
        <f>_xll.qlRateHelperQuoteValue($E41,Trigger)</f>
        <v>9.5E-4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41772</v>
      </c>
      <c r="L41" s="11">
        <f>_xll.qlRateHelperLatestDate($E41,Trigger)</f>
        <v>41897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>ON_Swaps!L13</f>
        <v>USD_YCONRH_OIS5M#0001</v>
      </c>
      <c r="F42" s="13">
        <f>_xll.qlRateHelperQuoteValue($E42,Trigger)</f>
        <v>9.7999999999999997E-4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41772</v>
      </c>
      <c r="L42" s="11">
        <f>_xll.qlRateHelperLatestDate($E42,Trigger)</f>
        <v>41926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>ON_Swaps!L14</f>
        <v>USD_YCONRH_OIS6M#0001</v>
      </c>
      <c r="F43" s="13">
        <f>_xll.qlRateHelperQuoteValue($E43,Trigger)</f>
        <v>1.01E-3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41772</v>
      </c>
      <c r="L43" s="11">
        <f>_xll.qlRateHelperLatestDate($E43,Trigger)</f>
        <v>41956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>ON_Swaps!L15</f>
        <v>USD_YCONRH_OIS7M#0001</v>
      </c>
      <c r="F44" s="13">
        <f>_xll.qlRateHelperQuoteValue($E44,Trigger)</f>
        <v>1.0299999999999999E-3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41772</v>
      </c>
      <c r="L44" s="11">
        <f>_xll.qlRateHelperLatestDate($E44,Trigger)</f>
        <v>41988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>ON_Swaps!L16</f>
        <v>USD_YCONRH_OIS8M#0001</v>
      </c>
      <c r="F45" s="13">
        <f>_xll.qlRateHelperQuoteValue($E45,Trigger)</f>
        <v>1.07E-3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41772</v>
      </c>
      <c r="L45" s="11">
        <f>_xll.qlRateHelperLatestDate($E45,Trigger)</f>
        <v>42017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>ON_Swaps!L17</f>
        <v>USD_YCONRH_OIS9M#0001</v>
      </c>
      <c r="F46" s="13">
        <f>_xll.qlRateHelperQuoteValue($E46,Trigger)</f>
        <v>1.1200000000000001E-3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41772</v>
      </c>
      <c r="L46" s="11">
        <f>_xll.qlRateHelperLatestDate($E46,Trigger)</f>
        <v>42048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>ON_Swaps!L18</f>
        <v>USD_YCONRH_OIS10M#0001</v>
      </c>
      <c r="F47" s="13">
        <f>_xll.qlRateHelperQuoteValue($E47,Trigger)</f>
        <v>1.17E-3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41772</v>
      </c>
      <c r="L47" s="11">
        <f>_xll.qlRateHelperLatestDate($E47,Trigger)</f>
        <v>42076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>ON_Swaps!L19</f>
        <v>USD_YCONRH_OIS11M#0001</v>
      </c>
      <c r="F48" s="13">
        <f>_xll.qlRateHelperQuoteValue($E48,Trigger)</f>
        <v>1.25E-3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41772</v>
      </c>
      <c r="L48" s="11">
        <f>_xll.qlRateHelperLatestDate($E48,Trigger)</f>
        <v>42107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>ON_Swaps!L20</f>
        <v>USD_YCONRH_OIS1Y#0001</v>
      </c>
      <c r="F49" s="13">
        <f>_xll.qlRateHelperQuoteValue($E49,Trigger)</f>
        <v>1.33E-3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41772</v>
      </c>
      <c r="L49" s="11">
        <f>_xll.qlRateHelperLatestDate($E49,Trigger)</f>
        <v>42137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>ON_Swaps!L21</f>
        <v>USD_YCONRH_OIS13M#0001</v>
      </c>
      <c r="F50" s="13">
        <f>_xll.qlRateHelperQuoteValue($E50,Trigger)</f>
        <v>1.4400000000000001E-3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41772</v>
      </c>
      <c r="L50" s="11">
        <f>_xll.qlRateHelperLatestDate($E50,Trigger)</f>
        <v>42170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>ON_Swaps!L22</f>
        <v>USD_YCONRH_OIS14M#0001</v>
      </c>
      <c r="F51" s="13">
        <f>_xll.qlRateHelperQuoteValue($E51,Trigger)</f>
        <v>1.5699999999999998E-3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41772</v>
      </c>
      <c r="L51" s="11">
        <f>_xll.qlRateHelperLatestDate($E51,Trigger)</f>
        <v>42198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>ON_Swaps!L23</f>
        <v>USD_YCONRH_OIS15M#0001</v>
      </c>
      <c r="F52" s="13">
        <f>_xll.qlRateHelperQuoteValue($E52,Trigger)</f>
        <v>1.7499999999999998E-3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41772</v>
      </c>
      <c r="L52" s="11">
        <f>_xll.qlRateHelperLatestDate($E52,Trigger)</f>
        <v>42229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>ON_Swaps!L24</f>
        <v>USD_YCONRH_OIS16M#0001</v>
      </c>
      <c r="F53" s="13">
        <f>_xll.qlRateHelperQuoteValue($E53,Trigger)</f>
        <v>1.92E-3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41772</v>
      </c>
      <c r="L53" s="11">
        <f>_xll.qlRateHelperLatestDate($E53,Trigger)</f>
        <v>42261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>ON_Swaps!L25</f>
        <v>USD_YCONRH_OIS17M#0001</v>
      </c>
      <c r="F54" s="13">
        <f>_xll.qlRateHelperQuoteValue($E54,Trigger)</f>
        <v>2.1200000000000004E-3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41772</v>
      </c>
      <c r="L54" s="11">
        <f>_xll.qlRateHelperLatestDate($E54,Trigger)</f>
        <v>42290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>ON_Swaps!L26</f>
        <v>USD_YCONRH_OIS18M#0001</v>
      </c>
      <c r="F55" s="13">
        <f>_xll.qlRateHelperQuoteValue($E55,Trigger)</f>
        <v>2.3499999999999997E-3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41772</v>
      </c>
      <c r="L55" s="11">
        <f>_xll.qlRateHelperLatestDate($E55,Trigger)</f>
        <v>42321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>ON_Swaps!L27</f>
        <v>USD_YCONRH_OIS19M#0001</v>
      </c>
      <c r="F56" s="13">
        <f>_xll.qlRateHelperQuoteValue($E56,Trigger)</f>
        <v>2.5700000000000002E-3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41772</v>
      </c>
      <c r="L56" s="11">
        <f>_xll.qlRateHelperLatestDate($E56,Trigger)</f>
        <v>42352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>ON_Swaps!L28</f>
        <v>USD_YCONRH_OIS20M#0001</v>
      </c>
      <c r="F57" s="13">
        <f>_xll.qlRateHelperQuoteValue($E57,Trigger)</f>
        <v>2.8300000000000005E-3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41772</v>
      </c>
      <c r="L57" s="11">
        <f>_xll.qlRateHelperLatestDate($E57,Trigger)</f>
        <v>42382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>ON_Swaps!L29</f>
        <v>USD_YCONRH_OIS21M#0001</v>
      </c>
      <c r="F58" s="13">
        <f>_xll.qlRateHelperQuoteValue($E58,Trigger)</f>
        <v>3.1099999999999999E-3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41772</v>
      </c>
      <c r="L58" s="11">
        <f>_xll.qlRateHelperLatestDate($E58,Trigger)</f>
        <v>42416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>ON_Swaps!L30</f>
        <v>USD_YCONRH_OIS22M#0001</v>
      </c>
      <c r="F59" s="13">
        <f>_xll.qlRateHelperQuoteValue($E59,Trigger)</f>
        <v>3.3899999999999998E-3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41772</v>
      </c>
      <c r="L59" s="11">
        <f>_xll.qlRateHelperLatestDate($E59,Trigger)</f>
        <v>42443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>ON_Swaps!L31</f>
        <v>USD_YCONRH_OIS23M#0001</v>
      </c>
      <c r="F60" s="13">
        <f>_xll.qlRateHelperQuoteValue($E60,Trigger)</f>
        <v>3.7099999999999998E-3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41772</v>
      </c>
      <c r="L60" s="11">
        <f>_xll.qlRateHelperLatestDate($E60,Trigger)</f>
        <v>42473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>ON_Swaps!L32</f>
        <v>USD_YCONRH_OIS2Y#0001</v>
      </c>
      <c r="F61" s="13">
        <f>_xll.qlRateHelperQuoteValue($E61,Trigger)</f>
        <v>4.0400000000000002E-3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41772</v>
      </c>
      <c r="L61" s="11">
        <f>_xll.qlRateHelperLatestDate($E61,Trigger)</f>
        <v>42503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>ON_Swaps!L33</f>
        <v>USD_YCONRH_OIS27M#0001</v>
      </c>
      <c r="F62" s="13">
        <f>_xll.qlRateHelperQuoteValue($E62,Trigger)</f>
        <v>5.0699999999999999E-3</v>
      </c>
      <c r="G62" s="13" t="e">
        <f>_xll.qlSwapRateHelperSpread($E62,Trigger)</f>
        <v>#NUM!</v>
      </c>
      <c r="H62" s="6" t="b">
        <v>0</v>
      </c>
      <c r="I62" s="6">
        <v>50</v>
      </c>
      <c r="J62" s="6">
        <v>1</v>
      </c>
      <c r="K62" s="12">
        <f>_xll.qlRateHelperEarliestDate($E62,Trigger)</f>
        <v>41772</v>
      </c>
      <c r="L62" s="11">
        <f>_xll.qlRateHelperLatestDate($E62,Trigger)</f>
        <v>42597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>ON_Swaps!L34</f>
        <v>USD_YCONRH_OIS30M#0001</v>
      </c>
      <c r="F63" s="13">
        <f>_xll.qlRateHelperQuoteValue($E63,Trigger)</f>
        <v>6.1500000000000001E-3</v>
      </c>
      <c r="G63" s="13" t="e">
        <f>_xll.qlSwapRateHelperSpread($E63,Trigger)</f>
        <v>#NUM!</v>
      </c>
      <c r="H63" s="6" t="b">
        <v>0</v>
      </c>
      <c r="I63" s="6">
        <v>50</v>
      </c>
      <c r="J63" s="6">
        <v>1</v>
      </c>
      <c r="K63" s="12">
        <f>_xll.qlRateHelperEarliestDate($E63,Trigger)</f>
        <v>41772</v>
      </c>
      <c r="L63" s="11">
        <f>_xll.qlRateHelperLatestDate($E63,Trigger)</f>
        <v>42688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>ON_Swaps!L35</f>
        <v>USD_YCONRH_OIS33M#0001</v>
      </c>
      <c r="F64" s="13">
        <f>_xll.qlRateHelperQuoteValue($E64,Trigger)</f>
        <v>7.26E-3</v>
      </c>
      <c r="G64" s="13" t="e">
        <f>_xll.qlSwapRateHelperSpread($E64,Trigger)</f>
        <v>#NUM!</v>
      </c>
      <c r="H64" s="6" t="b">
        <v>0</v>
      </c>
      <c r="I64" s="6">
        <v>50</v>
      </c>
      <c r="J64" s="6">
        <v>1</v>
      </c>
      <c r="K64" s="12">
        <f>_xll.qlRateHelperEarliestDate($E64,Trigger)</f>
        <v>41772</v>
      </c>
      <c r="L64" s="11">
        <f>_xll.qlRateHelperLatestDate($E64,Trigger)</f>
        <v>42779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>ON_Swaps!L36</f>
        <v>USD_YCONRH_OIS3Y#0001</v>
      </c>
      <c r="F65" s="13">
        <f>_xll.qlRateHelperQuoteValue($E65,Trigger)</f>
        <v>8.320000000000001E-3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41772</v>
      </c>
      <c r="L65" s="11">
        <f>_xll.qlRateHelperLatestDate($E65,Trigger)</f>
        <v>42870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>ON_Swaps!L37</f>
        <v>USD_YCONRH_OIS39M#0001</v>
      </c>
      <c r="F66" s="13">
        <f>_xll.qlRateHelperQuoteValue($E66,Trigger)</f>
        <v>9.3699999999999999E-3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41772</v>
      </c>
      <c r="L66" s="11">
        <f>_xll.qlRateHelperLatestDate($E66,Trigger)</f>
        <v>42961</v>
      </c>
    </row>
    <row r="67" spans="2:12" x14ac:dyDescent="0.2">
      <c r="B67" s="16" t="str">
        <f t="shared" si="4"/>
        <v/>
      </c>
      <c r="C67" s="15" t="str">
        <f t="shared" ref="C67:C88" si="5">IborType</f>
        <v>OIS</v>
      </c>
      <c r="D67" s="14" t="s">
        <v>42</v>
      </c>
      <c r="E67" s="14" t="str">
        <f>ON_Swaps!L38</f>
        <v>USD_YCONRH_OIS42M#0001</v>
      </c>
      <c r="F67" s="13">
        <f>_xll.qlRateHelperQuoteValue($E67,Trigger)</f>
        <v>1.0369999999999999E-2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41772</v>
      </c>
      <c r="L67" s="11">
        <f>_xll.qlRateHelperLatestDate($E67,Trigger)</f>
        <v>43052</v>
      </c>
    </row>
    <row r="68" spans="2:12" x14ac:dyDescent="0.2">
      <c r="B68" s="16" t="str">
        <f t="shared" si="4"/>
        <v/>
      </c>
      <c r="C68" s="15" t="str">
        <f t="shared" si="5"/>
        <v>OIS</v>
      </c>
      <c r="D68" s="14" t="s">
        <v>41</v>
      </c>
      <c r="E68" s="14" t="str">
        <f>ON_Swaps!L39</f>
        <v>USD_YCONRH_OIS45M#0001</v>
      </c>
      <c r="F68" s="13">
        <f>_xll.qlRateHelperQuoteValue($E68,Trigger)</f>
        <v>1.1360000000000002E-2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41772</v>
      </c>
      <c r="L68" s="11">
        <f>_xll.qlRateHelperLatestDate($E68,Trigger)</f>
        <v>43144</v>
      </c>
    </row>
    <row r="69" spans="2:12" x14ac:dyDescent="0.2">
      <c r="B69" s="16" t="str">
        <f t="shared" si="4"/>
        <v/>
      </c>
      <c r="C69" s="15" t="str">
        <f t="shared" si="5"/>
        <v>OIS</v>
      </c>
      <c r="D69" s="14" t="s">
        <v>30</v>
      </c>
      <c r="E69" s="14" t="str">
        <f>ON_Swaps!L40</f>
        <v>USD_YCONRH_OIS4Y#0001</v>
      </c>
      <c r="F69" s="13">
        <f>_xll.qlRateHelperQuoteValue($E69,Trigger)</f>
        <v>1.2269999999999998E-2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41772</v>
      </c>
      <c r="L69" s="11">
        <f>_xll.qlRateHelperLatestDate($E69,Trigger)</f>
        <v>43234</v>
      </c>
    </row>
    <row r="70" spans="2:12" x14ac:dyDescent="0.2">
      <c r="B70" s="16" t="str">
        <f t="shared" si="4"/>
        <v/>
      </c>
      <c r="C70" s="15" t="str">
        <f t="shared" si="5"/>
        <v>OIS</v>
      </c>
      <c r="D70" s="14" t="s">
        <v>40</v>
      </c>
      <c r="E70" s="14" t="str">
        <f>ON_Swaps!L41</f>
        <v>USD_YCONRH_OIS51M#0001</v>
      </c>
      <c r="F70" s="13">
        <f>_xll.qlRateHelperQuoteValue($E70,Trigger)</f>
        <v>1.3170000000000001E-2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41772</v>
      </c>
      <c r="L70" s="11">
        <f>_xll.qlRateHelperLatestDate($E70,Trigger)</f>
        <v>43325</v>
      </c>
    </row>
    <row r="71" spans="2:12" x14ac:dyDescent="0.2">
      <c r="B71" s="16" t="str">
        <f t="shared" si="4"/>
        <v/>
      </c>
      <c r="C71" s="15" t="str">
        <f t="shared" si="5"/>
        <v>OIS</v>
      </c>
      <c r="D71" s="14" t="s">
        <v>39</v>
      </c>
      <c r="E71" s="14" t="str">
        <f>ON_Swaps!L42</f>
        <v>USD_YCONRH_OIS54M#0001</v>
      </c>
      <c r="F71" s="13">
        <f>_xll.qlRateHelperQuoteValue($E71,Trigger)</f>
        <v>1.3980000000000001E-2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41772</v>
      </c>
      <c r="L71" s="11">
        <f>_xll.qlRateHelperLatestDate($E71,Trigger)</f>
        <v>43417</v>
      </c>
    </row>
    <row r="72" spans="2:12" x14ac:dyDescent="0.2">
      <c r="B72" s="16" t="str">
        <f t="shared" si="4"/>
        <v/>
      </c>
      <c r="C72" s="15" t="str">
        <f t="shared" si="5"/>
        <v>OIS</v>
      </c>
      <c r="D72" s="14" t="s">
        <v>38</v>
      </c>
      <c r="E72" s="14" t="str">
        <f>ON_Swaps!L43</f>
        <v>USD_YCONRH_OIS57M#0001</v>
      </c>
      <c r="F72" s="13">
        <f>_xll.qlRateHelperQuoteValue($E72,Trigger)</f>
        <v>1.4849999999999999E-2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41772</v>
      </c>
      <c r="L72" s="11">
        <f>_xll.qlRateHelperLatestDate($E72,Trigger)</f>
        <v>43509</v>
      </c>
    </row>
    <row r="73" spans="2:12" x14ac:dyDescent="0.2">
      <c r="B73" s="16" t="str">
        <f t="shared" si="4"/>
        <v/>
      </c>
      <c r="C73" s="15" t="str">
        <f t="shared" si="5"/>
        <v>OIS</v>
      </c>
      <c r="D73" s="14" t="s">
        <v>29</v>
      </c>
      <c r="E73" s="14" t="str">
        <f>ON_Swaps!L44</f>
        <v>USD_YCONRH_OIS5Y#0001</v>
      </c>
      <c r="F73" s="13">
        <f>_xll.qlRateHelperQuoteValue($E73,Trigger)</f>
        <v>1.5539999999999998E-2</v>
      </c>
      <c r="G73" s="13" t="e">
        <f>_xll.qlSwapRateHelperSpread($E73,Trigger)</f>
        <v>#NUM!</v>
      </c>
      <c r="H73" s="6" t="b">
        <f t="shared" ref="H73:H81" si="6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41772</v>
      </c>
      <c r="L73" s="11">
        <f>_xll.qlRateHelperLatestDate($E73,Trigger)</f>
        <v>43598</v>
      </c>
    </row>
    <row r="74" spans="2:12" x14ac:dyDescent="0.2">
      <c r="B74" s="16" t="str">
        <f t="shared" si="4"/>
        <v/>
      </c>
      <c r="C74" s="15" t="str">
        <f t="shared" si="5"/>
        <v>OIS</v>
      </c>
      <c r="D74" s="14" t="s">
        <v>28</v>
      </c>
      <c r="E74" s="14" t="str">
        <f>ON_Swaps!L45</f>
        <v>USD_YCONRH_OIS6Y#0001</v>
      </c>
      <c r="F74" s="13">
        <f>_xll.qlRateHelperQuoteValue($E74,Trigger)</f>
        <v>1.822E-2</v>
      </c>
      <c r="G74" s="13" t="e">
        <f>_xll.qlSwapRateHelperSpread($E74,Trigger)</f>
        <v>#NUM!</v>
      </c>
      <c r="H74" s="6" t="b">
        <f t="shared" si="6"/>
        <v>1</v>
      </c>
      <c r="I74" s="6">
        <v>50</v>
      </c>
      <c r="J74" s="6">
        <v>1</v>
      </c>
      <c r="K74" s="12">
        <f>_xll.qlRateHelperEarliestDate($E74,Trigger)</f>
        <v>41772</v>
      </c>
      <c r="L74" s="11">
        <f>_xll.qlRateHelperLatestDate($E74,Trigger)</f>
        <v>43964</v>
      </c>
    </row>
    <row r="75" spans="2:12" x14ac:dyDescent="0.2">
      <c r="B75" s="16" t="str">
        <f t="shared" si="4"/>
        <v/>
      </c>
      <c r="C75" s="15" t="str">
        <f t="shared" si="5"/>
        <v>OIS</v>
      </c>
      <c r="D75" s="14" t="s">
        <v>27</v>
      </c>
      <c r="E75" s="14" t="str">
        <f>ON_Swaps!L46</f>
        <v>USD_YCONRH_OIS7Y#0001</v>
      </c>
      <c r="F75" s="13">
        <f>_xll.qlRateHelperQuoteValue($E75,Trigger)</f>
        <v>2.035E-2</v>
      </c>
      <c r="G75" s="13" t="e">
        <f>_xll.qlSwapRateHelperSpread($E75,Trigger)</f>
        <v>#NUM!</v>
      </c>
      <c r="H75" s="6" t="b">
        <f t="shared" si="6"/>
        <v>1</v>
      </c>
      <c r="I75" s="6">
        <v>50</v>
      </c>
      <c r="J75" s="6">
        <v>1</v>
      </c>
      <c r="K75" s="12">
        <f>_xll.qlRateHelperEarliestDate($E75,Trigger)</f>
        <v>41772</v>
      </c>
      <c r="L75" s="11">
        <f>_xll.qlRateHelperLatestDate($E75,Trigger)</f>
        <v>44329</v>
      </c>
    </row>
    <row r="76" spans="2:12" x14ac:dyDescent="0.2">
      <c r="B76" s="16" t="str">
        <f t="shared" si="4"/>
        <v/>
      </c>
      <c r="C76" s="15" t="str">
        <f t="shared" si="5"/>
        <v>OIS</v>
      </c>
      <c r="D76" s="14" t="s">
        <v>26</v>
      </c>
      <c r="E76" s="14" t="str">
        <f>ON_Swaps!L47</f>
        <v>USD_YCONRH_OIS8Y#0001</v>
      </c>
      <c r="F76" s="13">
        <f>_xll.qlRateHelperQuoteValue($E76,Trigger)</f>
        <v>2.2080000000000002E-2</v>
      </c>
      <c r="G76" s="13" t="e">
        <f>_xll.qlSwapRateHelperSpread($E76,Trigger)</f>
        <v>#NUM!</v>
      </c>
      <c r="H76" s="6" t="b">
        <f t="shared" si="6"/>
        <v>1</v>
      </c>
      <c r="I76" s="6">
        <v>50</v>
      </c>
      <c r="J76" s="6">
        <v>1</v>
      </c>
      <c r="K76" s="12">
        <f>_xll.qlRateHelperEarliestDate($E76,Trigger)</f>
        <v>41772</v>
      </c>
      <c r="L76" s="11">
        <f>_xll.qlRateHelperLatestDate($E76,Trigger)</f>
        <v>44694</v>
      </c>
    </row>
    <row r="77" spans="2:12" x14ac:dyDescent="0.2">
      <c r="B77" s="16" t="str">
        <f t="shared" si="4"/>
        <v/>
      </c>
      <c r="C77" s="15" t="str">
        <f t="shared" si="5"/>
        <v>OIS</v>
      </c>
      <c r="D77" s="14" t="s">
        <v>25</v>
      </c>
      <c r="E77" s="14" t="str">
        <f>ON_Swaps!L48</f>
        <v>USD_YCONRH_OIS9Y#0001</v>
      </c>
      <c r="F77" s="13">
        <f>_xll.qlRateHelperQuoteValue($E77,Trigger)</f>
        <v>2.3479999999999997E-2</v>
      </c>
      <c r="G77" s="13" t="e">
        <f>_xll.qlSwapRateHelperSpread($E77,Trigger)</f>
        <v>#NUM!</v>
      </c>
      <c r="H77" s="6" t="b">
        <f t="shared" si="6"/>
        <v>1</v>
      </c>
      <c r="I77" s="6">
        <v>50</v>
      </c>
      <c r="J77" s="6">
        <v>1</v>
      </c>
      <c r="K77" s="12">
        <f>_xll.qlRateHelperEarliestDate($E77,Trigger)</f>
        <v>41772</v>
      </c>
      <c r="L77" s="11">
        <f>_xll.qlRateHelperLatestDate($E77,Trigger)</f>
        <v>45061</v>
      </c>
    </row>
    <row r="78" spans="2:12" x14ac:dyDescent="0.2">
      <c r="B78" s="16" t="str">
        <f t="shared" si="4"/>
        <v/>
      </c>
      <c r="C78" s="15" t="str">
        <f t="shared" si="5"/>
        <v>OIS</v>
      </c>
      <c r="D78" s="14" t="s">
        <v>24</v>
      </c>
      <c r="E78" s="14" t="str">
        <f>ON_Swaps!L49</f>
        <v>USD_YCONRH_OIS10Y#0001</v>
      </c>
      <c r="F78" s="13">
        <f>_xll.qlRateHelperQuoteValue($E78,Trigger)</f>
        <v>2.4649999999999998E-2</v>
      </c>
      <c r="G78" s="13" t="e">
        <f>_xll.qlSwapRateHelperSpread($E78,Trigger)</f>
        <v>#NUM!</v>
      </c>
      <c r="H78" s="6" t="b">
        <f t="shared" si="6"/>
        <v>1</v>
      </c>
      <c r="I78" s="6">
        <v>50</v>
      </c>
      <c r="J78" s="6">
        <v>1</v>
      </c>
      <c r="K78" s="12">
        <f>_xll.qlRateHelperEarliestDate($E78,Trigger)</f>
        <v>41772</v>
      </c>
      <c r="L78" s="11">
        <f>_xll.qlRateHelperLatestDate($E78,Trigger)</f>
        <v>45425</v>
      </c>
    </row>
    <row r="79" spans="2:12" x14ac:dyDescent="0.2">
      <c r="B79" s="16" t="str">
        <f t="shared" si="4"/>
        <v/>
      </c>
      <c r="C79" s="15" t="str">
        <f t="shared" si="5"/>
        <v>OIS</v>
      </c>
      <c r="D79" s="14" t="s">
        <v>22</v>
      </c>
      <c r="E79" s="14" t="str">
        <f>ON_Swaps!L50</f>
        <v>USD_YCONRH_OIS12Y#0001</v>
      </c>
      <c r="F79" s="13">
        <f>_xll.qlRateHelperQuoteValue($E79,Trigger)</f>
        <v>2.6579999999999999E-2</v>
      </c>
      <c r="G79" s="13" t="e">
        <f>_xll.qlSwapRateHelperSpread($E79,Trigger)</f>
        <v>#NUM!</v>
      </c>
      <c r="H79" s="6" t="b">
        <f t="shared" si="6"/>
        <v>1</v>
      </c>
      <c r="I79" s="6">
        <v>50</v>
      </c>
      <c r="J79" s="6">
        <v>1</v>
      </c>
      <c r="K79" s="12">
        <f>_xll.qlRateHelperEarliestDate($E79,Trigger)</f>
        <v>41772</v>
      </c>
      <c r="L79" s="11">
        <f>_xll.qlRateHelperLatestDate($E79,Trigger)</f>
        <v>46155</v>
      </c>
    </row>
    <row r="80" spans="2:12" x14ac:dyDescent="0.2">
      <c r="B80" s="16" t="str">
        <f t="shared" si="4"/>
        <v/>
      </c>
      <c r="C80" s="15" t="str">
        <f t="shared" si="5"/>
        <v>OIS</v>
      </c>
      <c r="D80" s="14" t="s">
        <v>19</v>
      </c>
      <c r="E80" s="14" t="str">
        <f>ON_Swaps!L51</f>
        <v>USD_YCONRH_OIS15Y#0001</v>
      </c>
      <c r="F80" s="13">
        <f>_xll.qlRateHelperQuoteValue($E80,Trigger)</f>
        <v>2.8580000000000001E-2</v>
      </c>
      <c r="G80" s="13" t="e">
        <f>_xll.qlSwapRateHelperSpread($E80,Trigger)</f>
        <v>#NUM!</v>
      </c>
      <c r="H80" s="6" t="b">
        <f t="shared" si="6"/>
        <v>1</v>
      </c>
      <c r="I80" s="6">
        <v>50</v>
      </c>
      <c r="J80" s="6">
        <v>1</v>
      </c>
      <c r="K80" s="12">
        <f>_xll.qlRateHelperEarliestDate($E80,Trigger)</f>
        <v>41772</v>
      </c>
      <c r="L80" s="11">
        <f>_xll.qlRateHelperLatestDate($E80,Trigger)</f>
        <v>47252</v>
      </c>
    </row>
    <row r="81" spans="2:12" x14ac:dyDescent="0.2">
      <c r="B81" s="16"/>
      <c r="C81" s="15" t="str">
        <f t="shared" si="5"/>
        <v>OIS</v>
      </c>
      <c r="D81" s="14" t="s">
        <v>14</v>
      </c>
      <c r="E81" s="14" t="str">
        <f>ON_Swaps!L52</f>
        <v>USD_YCONRH_OIS20Y#0001</v>
      </c>
      <c r="F81" s="13">
        <f>_xll.qlRateHelperQuoteValue($E81,Trigger)</f>
        <v>3.023E-2</v>
      </c>
      <c r="G81" s="13" t="e">
        <f>_xll.qlSwapRateHelperSpread($E81,Trigger)</f>
        <v>#NUM!</v>
      </c>
      <c r="H81" s="6" t="b">
        <f t="shared" si="6"/>
        <v>1</v>
      </c>
      <c r="I81" s="6">
        <v>50</v>
      </c>
      <c r="J81" s="6">
        <v>1</v>
      </c>
      <c r="K81" s="12">
        <f>_xll.qlRateHelperEarliestDate($E81,Trigger)</f>
        <v>41772</v>
      </c>
      <c r="L81" s="11">
        <f>_xll.qlRateHelperLatestDate($E81,Trigger)</f>
        <v>49079</v>
      </c>
    </row>
    <row r="82" spans="2:12" x14ac:dyDescent="0.2">
      <c r="B82" s="16"/>
      <c r="C82" s="15" t="str">
        <f t="shared" si="5"/>
        <v>OIS</v>
      </c>
      <c r="D82" s="14" t="s">
        <v>9</v>
      </c>
      <c r="E82" s="14" t="str">
        <f>ON_Swaps!L53</f>
        <v>USD_YCONRH_OIS25Y#0001</v>
      </c>
      <c r="F82" s="13">
        <f>_xll.qlRateHelperQuoteValue($E82,Trigger)</f>
        <v>3.0990000000000004E-2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41772</v>
      </c>
      <c r="L82" s="11">
        <f>_xll.qlRateHelperLatestDate($E82,Trigger)</f>
        <v>50903</v>
      </c>
    </row>
    <row r="83" spans="2:12" x14ac:dyDescent="0.2">
      <c r="B83" s="16"/>
      <c r="C83" s="15" t="str">
        <f t="shared" si="5"/>
        <v>OIS</v>
      </c>
      <c r="D83" s="14" t="s">
        <v>7</v>
      </c>
      <c r="E83" s="14" t="str">
        <f>ON_Swaps!L54</f>
        <v>USD_YCONRH_OIS27Y#0001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7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41772</v>
      </c>
      <c r="L83" s="11">
        <f>_xll.qlRateHelperLatestDate($E83,Trigger)</f>
        <v>51634</v>
      </c>
    </row>
    <row r="84" spans="2:12" x14ac:dyDescent="0.2">
      <c r="B84" s="16" t="str">
        <f t="shared" ref="B84:B125" si="8">SwapFixedFreq</f>
        <v/>
      </c>
      <c r="C84" s="15" t="str">
        <f t="shared" si="5"/>
        <v>OIS</v>
      </c>
      <c r="D84" s="14" t="s">
        <v>4</v>
      </c>
      <c r="E84" s="14" t="str">
        <f>ON_Swaps!L55</f>
        <v>USD_YCONRH_OIS30Y#0001</v>
      </c>
      <c r="F84" s="13">
        <f>_xll.qlRateHelperQuoteValue($E84,Trigger)</f>
        <v>3.1289999999999998E-2</v>
      </c>
      <c r="G84" s="13" t="e">
        <f>_xll.qlSwapRateHelperSpread($E84,Trigger)</f>
        <v>#NUM!</v>
      </c>
      <c r="H84" s="6" t="b">
        <v>0</v>
      </c>
      <c r="I84" s="6">
        <v>50</v>
      </c>
      <c r="J84" s="6">
        <v>1</v>
      </c>
      <c r="K84" s="12">
        <f>_xll.qlRateHelperEarliestDate($E84,Trigger)</f>
        <v>41772</v>
      </c>
      <c r="L84" s="11">
        <f>_xll.qlRateHelperLatestDate($E84,Trigger)</f>
        <v>52730</v>
      </c>
    </row>
    <row r="85" spans="2:12" x14ac:dyDescent="0.2">
      <c r="B85" s="16" t="str">
        <f t="shared" si="8"/>
        <v/>
      </c>
      <c r="C85" s="15" t="str">
        <f t="shared" si="5"/>
        <v>OIS</v>
      </c>
      <c r="D85" s="14" t="s">
        <v>3</v>
      </c>
      <c r="E85" s="14" t="str">
        <f>ON_Swaps!L56</f>
        <v>USD_YCONRH_OIS35Y#0001</v>
      </c>
      <c r="F85" s="13">
        <f>_xll.qlRateHelperQuoteValue($E85,Trigger)</f>
        <v>3.1349999999999996E-2</v>
      </c>
      <c r="G85" s="13" t="e">
        <f>_xll.qlSwapRateHelperSpread($E85,Trigger)</f>
        <v>#NUM!</v>
      </c>
      <c r="H85" s="6" t="b">
        <f t="shared" si="7"/>
        <v>1</v>
      </c>
      <c r="I85" s="6">
        <v>50</v>
      </c>
      <c r="J85" s="6">
        <v>1</v>
      </c>
      <c r="K85" s="12">
        <f>_xll.qlRateHelperEarliestDate($E85,Trigger)</f>
        <v>41772</v>
      </c>
      <c r="L85" s="11">
        <f>_xll.qlRateHelperLatestDate($E85,Trigger)</f>
        <v>54556</v>
      </c>
    </row>
    <row r="86" spans="2:12" x14ac:dyDescent="0.2">
      <c r="B86" s="16" t="str">
        <f t="shared" si="8"/>
        <v/>
      </c>
      <c r="C86" s="15" t="str">
        <f t="shared" si="5"/>
        <v>OIS</v>
      </c>
      <c r="D86" s="14" t="s">
        <v>2</v>
      </c>
      <c r="E86" s="14" t="str">
        <f>ON_Swaps!L57</f>
        <v>USD_YCONRH_OIS40Y#0001</v>
      </c>
      <c r="F86" s="13">
        <f>_xll.qlRateHelperQuoteValue($E86,Trigger)</f>
        <v>3.1370000000000002E-2</v>
      </c>
      <c r="G86" s="13" t="e">
        <f>_xll.qlSwapRateHelperSpread($E86,Trigger)</f>
        <v>#NUM!</v>
      </c>
      <c r="H86" s="6" t="b">
        <f t="shared" si="7"/>
        <v>1</v>
      </c>
      <c r="I86" s="6">
        <v>50</v>
      </c>
      <c r="J86" s="6">
        <v>1</v>
      </c>
      <c r="K86" s="12">
        <f>_xll.qlRateHelperEarliestDate($E86,Trigger)</f>
        <v>41772</v>
      </c>
      <c r="L86" s="11">
        <f>_xll.qlRateHelperLatestDate($E86,Trigger)</f>
        <v>56382</v>
      </c>
    </row>
    <row r="87" spans="2:12" x14ac:dyDescent="0.2">
      <c r="B87" s="16" t="str">
        <f t="shared" si="8"/>
        <v/>
      </c>
      <c r="C87" s="15" t="str">
        <f t="shared" si="5"/>
        <v>OIS</v>
      </c>
      <c r="D87" s="14" t="s">
        <v>37</v>
      </c>
      <c r="E87" s="14" t="str">
        <f>ON_Swaps!L58</f>
        <v>USD_YCONRH_OIS45Y#0001</v>
      </c>
      <c r="F87" s="13">
        <f>_xll.qlRateHelperQuoteValue($E87,Trigger)</f>
        <v>3.1269999999999999E-2</v>
      </c>
      <c r="G87" s="13" t="e">
        <f>_xll.qlSwapRateHelperSpread($E87,Trigger)</f>
        <v>#NUM!</v>
      </c>
      <c r="H87" s="6" t="b">
        <f t="shared" si="7"/>
        <v>1</v>
      </c>
      <c r="I87" s="6">
        <v>50</v>
      </c>
      <c r="J87" s="6">
        <v>1</v>
      </c>
      <c r="K87" s="12">
        <f>_xll.qlRateHelperEarliestDate($E87,Trigger)</f>
        <v>41772</v>
      </c>
      <c r="L87" s="11">
        <f>_xll.qlRateHelperLatestDate($E87,Trigger)</f>
        <v>58208</v>
      </c>
    </row>
    <row r="88" spans="2:12" x14ac:dyDescent="0.2">
      <c r="B88" s="10" t="str">
        <f t="shared" si="8"/>
        <v/>
      </c>
      <c r="C88" s="9" t="str">
        <f t="shared" si="5"/>
        <v>OIS</v>
      </c>
      <c r="D88" s="8" t="s">
        <v>1</v>
      </c>
      <c r="E88" s="8" t="str">
        <f>ON_Swaps!L59</f>
        <v>USD_YCONRH_OIS50Y#0001</v>
      </c>
      <c r="F88" s="7">
        <f>_xll.qlRateHelperQuoteValue($E88,Trigger)</f>
        <v>3.1179999999999999E-2</v>
      </c>
      <c r="G88" s="7" t="e">
        <f>_xll.qlSwapRateHelperSpread($E88,Trigger)</f>
        <v>#NUM!</v>
      </c>
      <c r="H88" s="6" t="b">
        <f t="shared" si="7"/>
        <v>1</v>
      </c>
      <c r="I88" s="5">
        <v>50</v>
      </c>
      <c r="J88" s="5">
        <v>1</v>
      </c>
      <c r="K88" s="4">
        <f>_xll.qlRateHelperEarliestDate($E88,Trigger)</f>
        <v>41772</v>
      </c>
      <c r="L88" s="3">
        <f>_xll.qlRateHelperLatestDate($E88,Trigger)</f>
        <v>60035</v>
      </c>
    </row>
    <row r="89" spans="2:12" x14ac:dyDescent="0.2">
      <c r="B89" s="16" t="str">
        <f t="shared" si="8"/>
        <v/>
      </c>
      <c r="C89" s="15" t="str">
        <f t="shared" ref="C89:C125" si="9">IborType&amp;"BASIS"</f>
        <v>OISBASIS</v>
      </c>
      <c r="D89" s="14" t="s">
        <v>36</v>
      </c>
      <c r="E89" s="14" t="str">
        <f t="shared" ref="E89:E97" si="10">RateHelperPrefix&amp;"_"&amp;$B89&amp;$C89&amp;$D89</f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7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8"/>
        <v/>
      </c>
      <c r="C90" s="15" t="str">
        <f t="shared" si="9"/>
        <v>OISBASIS</v>
      </c>
      <c r="D90" s="14" t="s">
        <v>35</v>
      </c>
      <c r="E90" s="14" t="str">
        <f t="shared" si="10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7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8"/>
        <v/>
      </c>
      <c r="C91" s="15" t="str">
        <f t="shared" si="9"/>
        <v>OISBASIS</v>
      </c>
      <c r="D91" s="14" t="s">
        <v>34</v>
      </c>
      <c r="E91" s="14" t="str">
        <f t="shared" si="10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7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8"/>
        <v/>
      </c>
      <c r="C92" s="15" t="str">
        <f t="shared" si="9"/>
        <v>OISBASIS</v>
      </c>
      <c r="D92" s="14" t="s">
        <v>33</v>
      </c>
      <c r="E92" s="14" t="str">
        <f t="shared" si="10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7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8"/>
        <v/>
      </c>
      <c r="C93" s="15" t="str">
        <f t="shared" si="9"/>
        <v>OISBASIS</v>
      </c>
      <c r="D93" s="14" t="s">
        <v>32</v>
      </c>
      <c r="E93" s="14" t="str">
        <f t="shared" si="10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7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8"/>
        <v/>
      </c>
      <c r="C94" s="15" t="str">
        <f t="shared" si="9"/>
        <v>OISBASIS</v>
      </c>
      <c r="D94" s="14" t="s">
        <v>31</v>
      </c>
      <c r="E94" s="14" t="str">
        <f t="shared" si="10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7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8"/>
        <v/>
      </c>
      <c r="C95" s="15" t="str">
        <f t="shared" si="9"/>
        <v>OISBASIS</v>
      </c>
      <c r="D95" s="14" t="s">
        <v>30</v>
      </c>
      <c r="E95" s="14" t="str">
        <f t="shared" si="10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7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8"/>
        <v/>
      </c>
      <c r="C96" s="15" t="str">
        <f t="shared" si="9"/>
        <v>OISBASIS</v>
      </c>
      <c r="D96" s="14" t="s">
        <v>29</v>
      </c>
      <c r="E96" s="14" t="str">
        <f t="shared" si="10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7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8"/>
        <v/>
      </c>
      <c r="C97" s="15" t="str">
        <f t="shared" si="9"/>
        <v>OISBASIS</v>
      </c>
      <c r="D97" s="14" t="s">
        <v>28</v>
      </c>
      <c r="E97" s="14" t="str">
        <f t="shared" si="10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7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8"/>
        <v/>
      </c>
      <c r="C98" s="15" t="str">
        <f t="shared" si="9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7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8"/>
        <v/>
      </c>
      <c r="C99" s="15" t="str">
        <f t="shared" si="9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7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8"/>
        <v/>
      </c>
      <c r="C100" s="15" t="str">
        <f t="shared" si="9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7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8"/>
        <v/>
      </c>
      <c r="C101" s="15" t="str">
        <f t="shared" si="9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7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8"/>
        <v/>
      </c>
      <c r="C102" s="15" t="str">
        <f t="shared" si="9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7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8"/>
        <v/>
      </c>
      <c r="C103" s="15" t="str">
        <f t="shared" si="9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7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8"/>
        <v/>
      </c>
      <c r="C104" s="15" t="str">
        <f t="shared" si="9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7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8"/>
        <v/>
      </c>
      <c r="C105" s="15" t="str">
        <f t="shared" si="9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7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8"/>
        <v/>
      </c>
      <c r="C106" s="15" t="str">
        <f t="shared" si="9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7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8"/>
        <v/>
      </c>
      <c r="C107" s="15" t="str">
        <f t="shared" si="9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7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8"/>
        <v/>
      </c>
      <c r="C108" s="15" t="str">
        <f t="shared" si="9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7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8"/>
        <v/>
      </c>
      <c r="C109" s="15" t="str">
        <f t="shared" si="9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7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8"/>
        <v/>
      </c>
      <c r="C110" s="15" t="str">
        <f t="shared" si="9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7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8"/>
        <v/>
      </c>
      <c r="C111" s="15" t="str">
        <f t="shared" si="9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7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8"/>
        <v/>
      </c>
      <c r="C112" s="15" t="str">
        <f t="shared" si="9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7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8"/>
        <v/>
      </c>
      <c r="C113" s="15" t="str">
        <f t="shared" si="9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7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8"/>
        <v/>
      </c>
      <c r="C114" s="15" t="str">
        <f t="shared" si="9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7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8"/>
        <v/>
      </c>
      <c r="C115" s="15" t="str">
        <f t="shared" si="9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7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8"/>
        <v/>
      </c>
      <c r="C116" s="15" t="str">
        <f t="shared" si="9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7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8"/>
        <v/>
      </c>
      <c r="C117" s="15" t="str">
        <f t="shared" si="9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7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8"/>
        <v/>
      </c>
      <c r="C118" s="15" t="str">
        <f t="shared" si="9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7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8"/>
        <v/>
      </c>
      <c r="C119" s="15" t="str">
        <f t="shared" si="9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7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8"/>
        <v/>
      </c>
      <c r="C120" s="15" t="str">
        <f t="shared" si="9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7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8"/>
        <v/>
      </c>
      <c r="C121" s="15" t="str">
        <f t="shared" si="9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7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8"/>
        <v/>
      </c>
      <c r="C122" s="15" t="str">
        <f t="shared" si="9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7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8"/>
        <v/>
      </c>
      <c r="C123" s="15" t="str">
        <f t="shared" si="9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7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8"/>
        <v/>
      </c>
      <c r="C124" s="15" t="str">
        <f t="shared" si="9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7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8"/>
        <v/>
      </c>
      <c r="C125" s="9" t="str">
        <f t="shared" si="9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7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26"/>
  <sheetViews>
    <sheetView workbookViewId="0">
      <selection activeCell="F1" sqref="F1"/>
    </sheetView>
  </sheetViews>
  <sheetFormatPr defaultRowHeight="11.25" x14ac:dyDescent="0.2"/>
  <cols>
    <col min="1" max="1" width="36.85546875" style="1" bestFit="1" customWidth="1"/>
    <col min="2" max="2" width="9" style="1" customWidth="1"/>
    <col min="3" max="3" width="2.7109375" style="1" customWidth="1"/>
    <col min="4" max="4" width="25.7109375" style="2" customWidth="1"/>
    <col min="5" max="6" width="8.7109375" style="2" customWidth="1"/>
    <col min="7" max="8" width="17.28515625" style="2" bestFit="1" customWidth="1"/>
    <col min="9" max="9" width="12" style="1" bestFit="1" customWidth="1"/>
    <col min="10" max="16384" width="9.140625" style="1"/>
  </cols>
  <sheetData>
    <row r="1" spans="1:9" ht="23.25" customHeight="1" thickBot="1" x14ac:dyDescent="0.25">
      <c r="A1" s="200" t="s">
        <v>106</v>
      </c>
      <c r="B1" s="201"/>
      <c r="D1" s="51" t="s">
        <v>105</v>
      </c>
      <c r="E1" s="50" t="s">
        <v>104</v>
      </c>
      <c r="F1" s="50"/>
      <c r="G1" s="50" t="s">
        <v>90</v>
      </c>
      <c r="H1" s="49" t="s">
        <v>89</v>
      </c>
      <c r="I1" s="189">
        <f t="array" ref="I1:I126">_xll.qlPiecewiseYieldCurveData(YieldCurve)</f>
        <v>1</v>
      </c>
    </row>
    <row r="2" spans="1:9" x14ac:dyDescent="0.2">
      <c r="A2" s="48" t="s">
        <v>103</v>
      </c>
      <c r="B2" s="47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39">
        <f>_xll.qlRateHelperRate($D2)</f>
        <v>1.5000000000000002E-3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41768</v>
      </c>
      <c r="H2" s="37">
        <f>_xll.qlRateHelperLatestDate($D2)</f>
        <v>41771</v>
      </c>
      <c r="I2" s="189">
        <v>0.99998750015624804</v>
      </c>
    </row>
    <row r="3" spans="1:9" x14ac:dyDescent="0.2">
      <c r="A3" s="44" t="s">
        <v>102</v>
      </c>
      <c r="B3" s="46">
        <v>1</v>
      </c>
      <c r="D3" s="40" t="str">
        <v>USD_YCONRH_TND</v>
      </c>
      <c r="E3" s="39">
        <f>_xll.qlRateHelperRate($D3)</f>
        <v>1.5000000000000002E-3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41771</v>
      </c>
      <c r="H3" s="37">
        <f>_xll.qlRateHelperLatestDate($D3)</f>
        <v>41772</v>
      </c>
      <c r="I3" s="189">
        <v>0.99998333355907243</v>
      </c>
    </row>
    <row r="4" spans="1:9" x14ac:dyDescent="0.2">
      <c r="A4" s="44" t="s">
        <v>101</v>
      </c>
      <c r="B4" s="46">
        <v>2</v>
      </c>
      <c r="D4" s="40" t="str">
        <v>USD_YCONRH_OISSW</v>
      </c>
      <c r="E4" s="39">
        <f>_xll.qlRateHelperRate($D4)</f>
        <v>8.5000000000000006E-4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41772</v>
      </c>
      <c r="H4" s="37">
        <f>_xll.qlRateHelperLatestDate($D4)</f>
        <v>41779</v>
      </c>
      <c r="I4" s="189">
        <v>0.99996680632991219</v>
      </c>
    </row>
    <row r="5" spans="1:9" x14ac:dyDescent="0.2">
      <c r="A5" s="44" t="s">
        <v>100</v>
      </c>
      <c r="B5" s="45" t="s">
        <v>99</v>
      </c>
      <c r="D5" s="40" t="str">
        <v>USD_YCONRH_OIS2W</v>
      </c>
      <c r="E5" s="39">
        <f>_xll.qlRateHelperRate($D5)</f>
        <v>8.5000000000000006E-4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41772</v>
      </c>
      <c r="H5" s="37">
        <f>_xll.qlRateHelperLatestDate($D5)</f>
        <v>41786</v>
      </c>
      <c r="I5" s="189">
        <v>0.99995027964695959</v>
      </c>
    </row>
    <row r="6" spans="1:9" x14ac:dyDescent="0.2">
      <c r="A6" s="44" t="s">
        <v>98</v>
      </c>
      <c r="B6" s="43" t="str">
        <f>_xll.ohRangeRetrieveError(Selected!D2)</f>
        <v/>
      </c>
      <c r="D6" s="40" t="str">
        <v>USD_YCONRH_OIS3W</v>
      </c>
      <c r="E6" s="39">
        <f>_xll.qlRateHelperRate($D6)</f>
        <v>8.5000000000000006E-4</v>
      </c>
      <c r="F6" s="39" t="str">
        <f>IF(ISERROR(_xll.qlSwapRateHelperSpread($D6)),IF(ISERROR(_xll.qlFuturesRateHelperConvexityAdjustment($D6)),"--",_xll.qlFuturesRateHelperConvexityAdjustment($D6)),_xll.qlSwapRateHelperSpread($D6))</f>
        <v>--</v>
      </c>
      <c r="G6" s="38">
        <f>_xll.qlRateHelperEarliestDate($D6)</f>
        <v>41772</v>
      </c>
      <c r="H6" s="37">
        <f>_xll.qlRateHelperLatestDate($D6)</f>
        <v>41793</v>
      </c>
      <c r="I6" s="189">
        <v>0.99993375351061375</v>
      </c>
    </row>
    <row r="7" spans="1:9" ht="12" thickBot="1" x14ac:dyDescent="0.25">
      <c r="A7" s="42" t="str">
        <f>_xll.ohGroup(RateHelperPrefix&amp;"_RateHelpersSelected",_xll.ohPack(Selected!D2:D126),TRUE,,ObjectOverwrite)</f>
        <v>USD_YCONRH_RateHelpersSelected#0001</v>
      </c>
      <c r="B7" s="41" t="str">
        <f>_xll.ohRangeRetrieveError(RateHelpersSelected)</f>
        <v/>
      </c>
      <c r="D7" s="40" t="str">
        <v>USD_YCONRH_OIS1M</v>
      </c>
      <c r="E7" s="39">
        <f>_xll.qlRateHelperRate($D7)</f>
        <v>8.5000000000000006E-4</v>
      </c>
      <c r="F7" s="39" t="str">
        <f>IF(ISERROR(_xll.qlSwapRateHelperSpread($D7)),IF(ISERROR(_xll.qlFuturesRateHelperConvexityAdjustment($D7)),"--",_xll.qlFuturesRateHelperConvexityAdjustment($D7)),_xll.qlSwapRateHelperSpread($D7))</f>
        <v>--</v>
      </c>
      <c r="G7" s="38">
        <f>_xll.qlRateHelperEarliestDate($D7)</f>
        <v>41772</v>
      </c>
      <c r="H7" s="37">
        <f>_xll.qlRateHelperLatestDate($D7)</f>
        <v>41803</v>
      </c>
      <c r="I7" s="189">
        <v>0.99991014569169623</v>
      </c>
    </row>
    <row r="8" spans="1:9" x14ac:dyDescent="0.2">
      <c r="D8" s="40" t="str">
        <v>USD_YCONRH_OIS2M</v>
      </c>
      <c r="E8" s="39">
        <f>_xll.qlRateHelperRate($D8)</f>
        <v>8.9999999999999998E-4</v>
      </c>
      <c r="F8" s="39" t="str">
        <f>IF(ISERROR(_xll.qlSwapRateHelperSpread($D8)),IF(ISERROR(_xll.qlFuturesRateHelperConvexityAdjustment($D8)),"--",_xll.qlFuturesRateHelperConvexityAdjustment($D8)),_xll.qlSwapRateHelperSpread($D8))</f>
        <v>--</v>
      </c>
      <c r="G8" s="38">
        <f>_xll.qlRateHelperEarliestDate($D8)</f>
        <v>41772</v>
      </c>
      <c r="H8" s="37">
        <f>_xll.qlRateHelperLatestDate($D8)</f>
        <v>41834</v>
      </c>
      <c r="I8" s="189">
        <v>0.99982836016321486</v>
      </c>
    </row>
    <row r="9" spans="1:9" x14ac:dyDescent="0.2">
      <c r="D9" s="40" t="str">
        <v>USD_YCONRH_OIS3M</v>
      </c>
      <c r="E9" s="39">
        <f>_xll.qlRateHelperRate($D9)</f>
        <v>9.2999999999999995E-4</v>
      </c>
      <c r="F9" s="39" t="str">
        <f>IF(ISERROR(_xll.qlSwapRateHelperSpread($D9)),IF(ISERROR(_xll.qlFuturesRateHelperConvexityAdjustment($D9)),"--",_xll.qlFuturesRateHelperConvexityAdjustment($D9)),_xll.qlSwapRateHelperSpread($D9))</f>
        <v>--</v>
      </c>
      <c r="G9" s="38">
        <f>_xll.qlRateHelperEarliestDate($D9)</f>
        <v>41772</v>
      </c>
      <c r="H9" s="37">
        <f>_xll.qlRateHelperLatestDate($D9)</f>
        <v>41864</v>
      </c>
      <c r="I9" s="189">
        <v>0.99974572732441214</v>
      </c>
    </row>
    <row r="10" spans="1:9" x14ac:dyDescent="0.2">
      <c r="D10" s="40" t="str">
        <v>USD_YCONRH_OIS4M</v>
      </c>
      <c r="E10" s="39">
        <f>_xll.qlRateHelperRate($D10)</f>
        <v>9.5E-4</v>
      </c>
      <c r="F10" s="39" t="str">
        <f>IF(ISERROR(_xll.qlSwapRateHelperSpread($D10)),IF(ISERROR(_xll.qlFuturesRateHelperConvexityAdjustment($D10)),"--",_xll.qlFuturesRateHelperConvexityAdjustment($D10)),_xll.qlSwapRateHelperSpread($D10))</f>
        <v>--</v>
      </c>
      <c r="G10" s="38">
        <f>_xll.qlRateHelperEarliestDate($D10)</f>
        <v>41772</v>
      </c>
      <c r="H10" s="37">
        <f>_xll.qlRateHelperLatestDate($D10)</f>
        <v>41897</v>
      </c>
      <c r="I10" s="189">
        <v>0.99965358671606364</v>
      </c>
    </row>
    <row r="11" spans="1:9" x14ac:dyDescent="0.2">
      <c r="D11" s="40" t="str">
        <v>USD_YCONRH_OIS5M</v>
      </c>
      <c r="E11" s="39">
        <f>_xll.qlRateHelperRate($D11)</f>
        <v>9.7999999999999997E-4</v>
      </c>
      <c r="F11" s="39" t="str">
        <f>IF(ISERROR(_xll.qlSwapRateHelperSpread($D11)),IF(ISERROR(_xll.qlFuturesRateHelperConvexityAdjustment($D11)),"--",_xll.qlFuturesRateHelperConvexityAdjustment($D11)),_xll.qlSwapRateHelperSpread($D11))</f>
        <v>--</v>
      </c>
      <c r="G11" s="38">
        <f>_xll.qlRateHelperEarliestDate($D11)</f>
        <v>41772</v>
      </c>
      <c r="H11" s="37">
        <f>_xll.qlRateHelperLatestDate($D11)</f>
        <v>41926</v>
      </c>
      <c r="I11" s="189">
        <v>0.99956429399448998</v>
      </c>
    </row>
    <row r="12" spans="1:9" x14ac:dyDescent="0.2">
      <c r="D12" s="40" t="str">
        <v>USD_YCONRH_OIS6M</v>
      </c>
      <c r="E12" s="39">
        <f>_xll.qlRateHelperRate($D12)</f>
        <v>1.01E-3</v>
      </c>
      <c r="F12" s="39" t="str">
        <f>IF(ISERROR(_xll.qlSwapRateHelperSpread($D12)),IF(ISERROR(_xll.qlFuturesRateHelperConvexityAdjustment($D12)),"--",_xll.qlFuturesRateHelperConvexityAdjustment($D12)),_xll.qlSwapRateHelperSpread($D12))</f>
        <v>--</v>
      </c>
      <c r="G12" s="38">
        <f>_xll.qlRateHelperEarliestDate($D12)</f>
        <v>41772</v>
      </c>
      <c r="H12" s="37">
        <f>_xll.qlRateHelperLatestDate($D12)</f>
        <v>41956</v>
      </c>
      <c r="I12" s="189">
        <v>0.99946738628388632</v>
      </c>
    </row>
    <row r="13" spans="1:9" x14ac:dyDescent="0.2">
      <c r="D13" s="40" t="str">
        <v>USD_YCONRH_OIS7M</v>
      </c>
      <c r="E13" s="39">
        <f>_xll.qlRateHelperRate($D13)</f>
        <v>1.0299999999999999E-3</v>
      </c>
      <c r="F13" s="39" t="str">
        <f>IF(ISERROR(_xll.qlSwapRateHelperSpread($D13)),IF(ISERROR(_xll.qlFuturesRateHelperConvexityAdjustment($D13)),"--",_xll.qlFuturesRateHelperConvexityAdjustment($D13)),_xll.qlSwapRateHelperSpread($D13))</f>
        <v>--</v>
      </c>
      <c r="G13" s="38">
        <f>_xll.qlRateHelperEarliestDate($D13)</f>
        <v>41772</v>
      </c>
      <c r="H13" s="37">
        <f>_xll.qlRateHelperLatestDate($D13)</f>
        <v>41988</v>
      </c>
      <c r="I13" s="189">
        <v>0.99936572554068814</v>
      </c>
    </row>
    <row r="14" spans="1:9" x14ac:dyDescent="0.2">
      <c r="D14" s="40" t="str">
        <v>USD_YCONRH_OIS8M</v>
      </c>
      <c r="E14" s="39">
        <f>_xll.qlRateHelperRate($D14)</f>
        <v>1.07E-3</v>
      </c>
      <c r="F14" s="39" t="str">
        <f>IF(ISERROR(_xll.qlSwapRateHelperSpread($D14)),IF(ISERROR(_xll.qlFuturesRateHelperConvexityAdjustment($D14)),"--",_xll.qlFuturesRateHelperConvexityAdjustment($D14)),_xll.qlSwapRateHelperSpread($D14))</f>
        <v>--</v>
      </c>
      <c r="G14" s="38">
        <f>_xll.qlRateHelperEarliestDate($D14)</f>
        <v>41772</v>
      </c>
      <c r="H14" s="37">
        <f>_xll.qlRateHelperLatestDate($D14)</f>
        <v>42017</v>
      </c>
      <c r="I14" s="189">
        <v>0.99925568112349872</v>
      </c>
    </row>
    <row r="15" spans="1:9" x14ac:dyDescent="0.2">
      <c r="D15" s="40" t="str">
        <v>USD_YCONRH_OIS9M</v>
      </c>
      <c r="E15" s="39">
        <f>_xll.qlRateHelperRate($D15)</f>
        <v>1.1200000000000001E-3</v>
      </c>
      <c r="F15" s="39" t="str">
        <f>IF(ISERROR(_xll.qlSwapRateHelperSpread($D15)),IF(ISERROR(_xll.qlFuturesRateHelperConvexityAdjustment($D15)),"--",_xll.qlFuturesRateHelperConvexityAdjustment($D15)),_xll.qlSwapRateHelperSpread($D15))</f>
        <v>--</v>
      </c>
      <c r="G15" s="38">
        <f>_xll.qlRateHelperEarliestDate($D15)</f>
        <v>41772</v>
      </c>
      <c r="H15" s="37">
        <f>_xll.qlRateHelperLatestDate($D15)</f>
        <v>42048</v>
      </c>
      <c r="I15" s="189">
        <v>0.99912541786693065</v>
      </c>
    </row>
    <row r="16" spans="1:9" x14ac:dyDescent="0.2">
      <c r="D16" s="40" t="str">
        <v>USD_YCONRH_OIS10M</v>
      </c>
      <c r="E16" s="39">
        <f>_xll.qlRateHelperRate($D16)</f>
        <v>1.17E-3</v>
      </c>
      <c r="F16" s="39" t="str">
        <f>IF(ISERROR(_xll.qlSwapRateHelperSpread($D16)),IF(ISERROR(_xll.qlFuturesRateHelperConvexityAdjustment($D16)),"--",_xll.qlFuturesRateHelperConvexityAdjustment($D16)),_xll.qlSwapRateHelperSpread($D16))</f>
        <v>--</v>
      </c>
      <c r="G16" s="38">
        <f>_xll.qlRateHelperEarliestDate($D16)</f>
        <v>41772</v>
      </c>
      <c r="H16" s="37">
        <f>_xll.qlRateHelperLatestDate($D16)</f>
        <v>42076</v>
      </c>
      <c r="I16" s="189">
        <v>0.99899632518978487</v>
      </c>
    </row>
    <row r="17" spans="4:9" x14ac:dyDescent="0.2">
      <c r="D17" s="40" t="str">
        <v>USD_YCONRH_OIS11M</v>
      </c>
      <c r="E17" s="39">
        <f>_xll.qlRateHelperRate($D17)</f>
        <v>1.25E-3</v>
      </c>
      <c r="F17" s="39" t="str">
        <f>IF(ISERROR(_xll.qlSwapRateHelperSpread($D17)),IF(ISERROR(_xll.qlFuturesRateHelperConvexityAdjustment($D17)),"--",_xll.qlFuturesRateHelperConvexityAdjustment($D17)),_xll.qlSwapRateHelperSpread($D17))</f>
        <v>--</v>
      </c>
      <c r="G17" s="38">
        <f>_xll.qlRateHelperEarliestDate($D17)</f>
        <v>41772</v>
      </c>
      <c r="H17" s="37">
        <f>_xll.qlRateHelperLatestDate($D17)</f>
        <v>42107</v>
      </c>
      <c r="I17" s="189">
        <v>0.99882150992773311</v>
      </c>
    </row>
    <row r="18" spans="4:9" x14ac:dyDescent="0.2">
      <c r="D18" s="40" t="str">
        <v>USD_YCONRH_OIS1Y</v>
      </c>
      <c r="E18" s="39">
        <f>_xll.qlRateHelperRate($D18)</f>
        <v>1.33E-3</v>
      </c>
      <c r="F18" s="39" t="str">
        <f>IF(ISERROR(_xll.qlSwapRateHelperSpread($D18)),IF(ISERROR(_xll.qlFuturesRateHelperConvexityAdjustment($D18)),"--",_xll.qlFuturesRateHelperConvexityAdjustment($D18)),_xll.qlSwapRateHelperSpread($D18))</f>
        <v>--</v>
      </c>
      <c r="G18" s="38">
        <f>_xll.qlRateHelperEarliestDate($D18)</f>
        <v>41772</v>
      </c>
      <c r="H18" s="37">
        <f>_xll.qlRateHelperLatestDate($D18)</f>
        <v>42137</v>
      </c>
      <c r="I18" s="189">
        <v>0.99863669970942281</v>
      </c>
    </row>
    <row r="19" spans="4:9" x14ac:dyDescent="0.2">
      <c r="D19" s="40" t="str">
        <v>USD_YCONRH_OIS13M</v>
      </c>
      <c r="E19" s="39">
        <f>_xll.qlRateHelperRate($D19)</f>
        <v>1.4400000000000001E-3</v>
      </c>
      <c r="F19" s="39" t="str">
        <f>IF(ISERROR(_xll.qlSwapRateHelperSpread($D19)),IF(ISERROR(_xll.qlFuturesRateHelperConvexityAdjustment($D19)),"--",_xll.qlFuturesRateHelperConvexityAdjustment($D19)),_xll.qlSwapRateHelperSpread($D19))</f>
        <v>--</v>
      </c>
      <c r="G19" s="38">
        <f>_xll.qlRateHelperEarliestDate($D19)</f>
        <v>41772</v>
      </c>
      <c r="H19" s="37">
        <f>_xll.qlRateHelperLatestDate($D19)</f>
        <v>42170</v>
      </c>
      <c r="I19" s="189">
        <v>0.99839353603067815</v>
      </c>
    </row>
    <row r="20" spans="4:9" x14ac:dyDescent="0.2">
      <c r="D20" s="40" t="str">
        <v>USD_YCONRH_OIS14M</v>
      </c>
      <c r="E20" s="39">
        <f>_xll.qlRateHelperRate($D20)</f>
        <v>1.5699999999999998E-3</v>
      </c>
      <c r="F20" s="39" t="str">
        <f>IF(ISERROR(_xll.qlSwapRateHelperSpread($D20)),IF(ISERROR(_xll.qlFuturesRateHelperConvexityAdjustment($D20)),"--",_xll.qlFuturesRateHelperConvexityAdjustment($D20)),_xll.qlSwapRateHelperSpread($D20))</f>
        <v>--</v>
      </c>
      <c r="G20" s="38">
        <f>_xll.qlRateHelperEarliestDate($D20)</f>
        <v>41772</v>
      </c>
      <c r="H20" s="37">
        <f>_xll.qlRateHelperLatestDate($D20)</f>
        <v>42198</v>
      </c>
      <c r="I20" s="189">
        <v>0.99812816829406981</v>
      </c>
    </row>
    <row r="21" spans="4:9" x14ac:dyDescent="0.2">
      <c r="D21" s="40" t="str">
        <v>USD_YCONRH_OIS15M</v>
      </c>
      <c r="E21" s="39">
        <f>_xll.qlRateHelperRate($D21)</f>
        <v>1.7499999999999998E-3</v>
      </c>
      <c r="F21" s="39" t="str">
        <f>IF(ISERROR(_xll.qlSwapRateHelperSpread($D21)),IF(ISERROR(_xll.qlFuturesRateHelperConvexityAdjustment($D21)),"--",_xll.qlFuturesRateHelperConvexityAdjustment($D21)),_xll.qlSwapRateHelperSpread($D21))</f>
        <v>--</v>
      </c>
      <c r="G21" s="38">
        <f>_xll.qlRateHelperEarliestDate($D21)</f>
        <v>41772</v>
      </c>
      <c r="H21" s="37">
        <f>_xll.qlRateHelperLatestDate($D21)</f>
        <v>42229</v>
      </c>
      <c r="I21" s="189">
        <v>0.99776522413400293</v>
      </c>
    </row>
    <row r="22" spans="4:9" x14ac:dyDescent="0.2">
      <c r="D22" s="40" t="str">
        <v>USD_YCONRH_OIS16M</v>
      </c>
      <c r="E22" s="39">
        <f>_xll.qlRateHelperRate($D22)</f>
        <v>1.92E-3</v>
      </c>
      <c r="F22" s="39" t="str">
        <f>IF(ISERROR(_xll.qlSwapRateHelperSpread($D22)),IF(ISERROR(_xll.qlFuturesRateHelperConvexityAdjustment($D22)),"--",_xll.qlFuturesRateHelperConvexityAdjustment($D22)),_xll.qlSwapRateHelperSpread($D22))</f>
        <v>--</v>
      </c>
      <c r="G22" s="38">
        <f>_xll.qlRateHelperEarliestDate($D22)</f>
        <v>41772</v>
      </c>
      <c r="H22" s="37">
        <f>_xll.qlRateHelperLatestDate($D22)</f>
        <v>42261</v>
      </c>
      <c r="I22" s="189">
        <v>0.99737972032859401</v>
      </c>
    </row>
    <row r="23" spans="4:9" x14ac:dyDescent="0.2">
      <c r="D23" s="40" t="str">
        <v>USD_YCONRH_OIS17M</v>
      </c>
      <c r="E23" s="39">
        <f>_xll.qlRateHelperRate($D23)</f>
        <v>2.1200000000000004E-3</v>
      </c>
      <c r="F23" s="39" t="str">
        <f>IF(ISERROR(_xll.qlSwapRateHelperSpread($D23)),IF(ISERROR(_xll.qlFuturesRateHelperConvexityAdjustment($D23)),"--",_xll.qlFuturesRateHelperConvexityAdjustment($D23)),_xll.qlSwapRateHelperSpread($D23))</f>
        <v>--</v>
      </c>
      <c r="G23" s="38">
        <f>_xll.qlRateHelperEarliestDate($D23)</f>
        <v>41772</v>
      </c>
      <c r="H23" s="37">
        <f>_xll.qlRateHelperLatestDate($D23)</f>
        <v>42290</v>
      </c>
      <c r="I23" s="189">
        <v>0.99693857779427109</v>
      </c>
    </row>
    <row r="24" spans="4:9" x14ac:dyDescent="0.2">
      <c r="D24" s="40" t="str">
        <v>USD_YCONRH_OIS18M</v>
      </c>
      <c r="E24" s="39">
        <f>_xll.qlRateHelperRate($D24)</f>
        <v>2.3499999999999997E-3</v>
      </c>
      <c r="F24" s="39" t="str">
        <f>IF(ISERROR(_xll.qlSwapRateHelperSpread($D24)),IF(ISERROR(_xll.qlFuturesRateHelperConvexityAdjustment($D24)),"--",_xll.qlFuturesRateHelperConvexityAdjustment($D24)),_xll.qlSwapRateHelperSpread($D24))</f>
        <v>--</v>
      </c>
      <c r="G24" s="38">
        <f>_xll.qlRateHelperEarliestDate($D24)</f>
        <v>41772</v>
      </c>
      <c r="H24" s="37">
        <f>_xll.qlRateHelperLatestDate($D24)</f>
        <v>42321</v>
      </c>
      <c r="I24" s="189">
        <v>0.99640714722674861</v>
      </c>
    </row>
    <row r="25" spans="4:9" x14ac:dyDescent="0.2">
      <c r="D25" s="40" t="str">
        <v>USD_YCONRH_OIS19M</v>
      </c>
      <c r="E25" s="39">
        <f>_xll.qlRateHelperRate($D25)</f>
        <v>2.5700000000000002E-3</v>
      </c>
      <c r="F25" s="39" t="str">
        <f>IF(ISERROR(_xll.qlSwapRateHelperSpread($D25)),IF(ISERROR(_xll.qlFuturesRateHelperConvexityAdjustment($D25)),"--",_xll.qlFuturesRateHelperConvexityAdjustment($D25)),_xll.qlSwapRateHelperSpread($D25))</f>
        <v>--</v>
      </c>
      <c r="G25" s="38">
        <f>_xll.qlRateHelperEarliestDate($D25)</f>
        <v>41772</v>
      </c>
      <c r="H25" s="37">
        <f>_xll.qlRateHelperLatestDate($D25)</f>
        <v>42352</v>
      </c>
      <c r="I25" s="189">
        <v>0.99585269588331493</v>
      </c>
    </row>
    <row r="26" spans="4:9" x14ac:dyDescent="0.2">
      <c r="D26" s="40" t="str">
        <v>USD_YCONRH_OIS20M</v>
      </c>
      <c r="E26" s="39">
        <f>_xll.qlRateHelperRate($D26)</f>
        <v>2.8300000000000005E-3</v>
      </c>
      <c r="F26" s="39" t="str">
        <f>IF(ISERROR(_xll.qlSwapRateHelperSpread($D26)),IF(ISERROR(_xll.qlFuturesRateHelperConvexityAdjustment($D26)),"--",_xll.qlFuturesRateHelperConvexityAdjustment($D26)),_xll.qlSwapRateHelperSpread($D26))</f>
        <v>--</v>
      </c>
      <c r="G26" s="38">
        <f>_xll.qlRateHelperEarliestDate($D26)</f>
        <v>41772</v>
      </c>
      <c r="H26" s="37">
        <f>_xll.qlRateHelperLatestDate($D26)</f>
        <v>42382</v>
      </c>
      <c r="I26" s="189">
        <v>0.99520120984293536</v>
      </c>
    </row>
    <row r="27" spans="4:9" x14ac:dyDescent="0.2">
      <c r="D27" s="40" t="str">
        <v>USD_YCONRH_OIS21M</v>
      </c>
      <c r="E27" s="39">
        <f>_xll.qlRateHelperRate($D27)</f>
        <v>3.1099999999999999E-3</v>
      </c>
      <c r="F27" s="39" t="str">
        <f>IF(ISERROR(_xll.qlSwapRateHelperSpread($D27)),IF(ISERROR(_xll.qlFuturesRateHelperConvexityAdjustment($D27)),"--",_xll.qlFuturesRateHelperConvexityAdjustment($D27)),_xll.qlSwapRateHelperSpread($D27))</f>
        <v>--</v>
      </c>
      <c r="G27" s="38">
        <f>_xll.qlRateHelperEarliestDate($D27)</f>
        <v>41772</v>
      </c>
      <c r="H27" s="37">
        <f>_xll.qlRateHelperLatestDate($D27)</f>
        <v>42416</v>
      </c>
      <c r="I27" s="189">
        <v>0.99443759465301906</v>
      </c>
    </row>
    <row r="28" spans="4:9" x14ac:dyDescent="0.2">
      <c r="D28" s="40" t="str">
        <v>USD_YCONRH_OIS22M</v>
      </c>
      <c r="E28" s="39">
        <f>_xll.qlRateHelperRate($D28)</f>
        <v>3.3899999999999998E-3</v>
      </c>
      <c r="F28" s="39" t="str">
        <f>IF(ISERROR(_xll.qlSwapRateHelperSpread($D28)),IF(ISERROR(_xll.qlFuturesRateHelperConvexityAdjustment($D28)),"--",_xll.qlFuturesRateHelperConvexityAdjustment($D28)),_xll.qlSwapRateHelperSpread($D28))</f>
        <v>--</v>
      </c>
      <c r="G28" s="38">
        <f>_xll.qlRateHelperEarliestDate($D28)</f>
        <v>41772</v>
      </c>
      <c r="H28" s="37">
        <f>_xll.qlRateHelperLatestDate($D28)</f>
        <v>42443</v>
      </c>
      <c r="I28" s="189">
        <v>0.99368762511069053</v>
      </c>
    </row>
    <row r="29" spans="4:9" x14ac:dyDescent="0.2">
      <c r="D29" s="40" t="str">
        <v>USD_YCONRH_OIS23M</v>
      </c>
      <c r="E29" s="39">
        <f>_xll.qlRateHelperRate($D29)</f>
        <v>3.7099999999999998E-3</v>
      </c>
      <c r="F29" s="39" t="str">
        <f>IF(ISERROR(_xll.qlSwapRateHelperSpread($D29)),IF(ISERROR(_xll.qlFuturesRateHelperConvexityAdjustment($D29)),"--",_xll.qlFuturesRateHelperConvexityAdjustment($D29)),_xll.qlSwapRateHelperSpread($D29))</f>
        <v>--</v>
      </c>
      <c r="G29" s="38">
        <f>_xll.qlRateHelperEarliestDate($D29)</f>
        <v>41772</v>
      </c>
      <c r="H29" s="37">
        <f>_xll.qlRateHelperLatestDate($D29)</f>
        <v>42473</v>
      </c>
      <c r="I29" s="189">
        <v>0.99278923567979604</v>
      </c>
    </row>
    <row r="30" spans="4:9" x14ac:dyDescent="0.2">
      <c r="D30" s="40" t="str">
        <v>USD_YCONRH_OIS2Y</v>
      </c>
      <c r="E30" s="39">
        <f>_xll.qlRateHelperRate($D30)</f>
        <v>4.0400000000000002E-3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>
        <f>_xll.qlRateHelperEarliestDate($D30)</f>
        <v>41772</v>
      </c>
      <c r="H30" s="37">
        <f>_xll.qlRateHelperLatestDate($D30)</f>
        <v>42503</v>
      </c>
      <c r="I30" s="189">
        <v>0.99181907512951839</v>
      </c>
    </row>
    <row r="31" spans="4:9" x14ac:dyDescent="0.2">
      <c r="D31" s="40" t="str">
        <v>USD_YCONRH_OIS3Y</v>
      </c>
      <c r="E31" s="39">
        <f>_xll.qlRateHelperRate($D31)</f>
        <v>8.320000000000001E-3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>
        <f>_xll.qlRateHelperEarliestDate($D31)</f>
        <v>41772</v>
      </c>
      <c r="H31" s="37">
        <f>_xll.qlRateHelperLatestDate($D31)</f>
        <v>42870</v>
      </c>
      <c r="I31" s="189">
        <v>0.97490091830428804</v>
      </c>
    </row>
    <row r="32" spans="4:9" x14ac:dyDescent="0.2">
      <c r="D32" s="40" t="str">
        <v>USD_YCONRH_OIS4Y</v>
      </c>
      <c r="E32" s="39">
        <f>_xll.qlRateHelperRate($D32)</f>
        <v>1.2269999999999998E-2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>
        <f>_xll.qlRateHelperEarliestDate($D32)</f>
        <v>41772</v>
      </c>
      <c r="H32" s="37">
        <f>_xll.qlRateHelperLatestDate($D32)</f>
        <v>43234</v>
      </c>
      <c r="I32" s="189">
        <v>0.95119199552453104</v>
      </c>
    </row>
    <row r="33" spans="4:9" x14ac:dyDescent="0.2">
      <c r="D33" s="40" t="str">
        <v>USD_YCONRH_OIS5Y</v>
      </c>
      <c r="E33" s="39">
        <f>_xll.qlRateHelperRate($D33)</f>
        <v>1.5539999999999998E-2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>
        <f>_xll.qlRateHelperEarliestDate($D33)</f>
        <v>41772</v>
      </c>
      <c r="H33" s="37">
        <f>_xll.qlRateHelperLatestDate($D33)</f>
        <v>43598</v>
      </c>
      <c r="I33" s="189">
        <v>0.92367551945168336</v>
      </c>
    </row>
    <row r="34" spans="4:9" x14ac:dyDescent="0.2">
      <c r="D34" s="40" t="str">
        <v>USD_YCONRH_OIS6Y</v>
      </c>
      <c r="E34" s="39">
        <f>_xll.qlRateHelperRate($D34)</f>
        <v>1.822E-2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>
        <f>_xll.qlRateHelperEarliestDate($D34)</f>
        <v>41772</v>
      </c>
      <c r="H34" s="37">
        <f>_xll.qlRateHelperLatestDate($D34)</f>
        <v>43964</v>
      </c>
      <c r="I34" s="189">
        <v>0.89395626541138662</v>
      </c>
    </row>
    <row r="35" spans="4:9" x14ac:dyDescent="0.2">
      <c r="D35" s="40" t="str">
        <v>USD_YCONRH_OIS7Y</v>
      </c>
      <c r="E35" s="39">
        <f>_xll.qlRateHelperRate($D35)</f>
        <v>2.035E-2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>
        <f>_xll.qlRateHelperEarliestDate($D35)</f>
        <v>41772</v>
      </c>
      <c r="H35" s="37">
        <f>_xll.qlRateHelperLatestDate($D35)</f>
        <v>44329</v>
      </c>
      <c r="I35" s="189">
        <v>0.86373998868450252</v>
      </c>
    </row>
    <row r="36" spans="4:9" x14ac:dyDescent="0.2">
      <c r="D36" s="40" t="str">
        <v>USD_YCONRH_OIS8Y</v>
      </c>
      <c r="E36" s="39">
        <f>_xll.qlRateHelperRate($D36)</f>
        <v>2.2080000000000002E-2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>
        <f>_xll.qlRateHelperEarliestDate($D36)</f>
        <v>41772</v>
      </c>
      <c r="H36" s="37">
        <f>_xll.qlRateHelperLatestDate($D36)</f>
        <v>44694</v>
      </c>
      <c r="I36" s="189">
        <v>0.83349838021394218</v>
      </c>
    </row>
    <row r="37" spans="4:9" x14ac:dyDescent="0.2">
      <c r="D37" s="40" t="str">
        <v>USD_YCONRH_OIS9Y</v>
      </c>
      <c r="E37" s="39">
        <f>_xll.qlRateHelperRate($D37)</f>
        <v>2.3479999999999997E-2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>
        <f>_xll.qlRateHelperEarliestDate($D37)</f>
        <v>41772</v>
      </c>
      <c r="H37" s="37">
        <f>_xll.qlRateHelperLatestDate($D37)</f>
        <v>45061</v>
      </c>
      <c r="I37" s="189">
        <v>0.80370435509570637</v>
      </c>
    </row>
    <row r="38" spans="4:9" x14ac:dyDescent="0.2">
      <c r="D38" s="40" t="str">
        <v>USD_YCONRH_OIS10Y</v>
      </c>
      <c r="E38" s="39">
        <f>_xll.qlRateHelperRate($D38)</f>
        <v>2.4649999999999998E-2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>
        <f>_xll.qlRateHelperEarliestDate($D38)</f>
        <v>41772</v>
      </c>
      <c r="H38" s="37">
        <f>_xll.qlRateHelperLatestDate($D38)</f>
        <v>45425</v>
      </c>
      <c r="I38" s="189">
        <v>0.77461736664038361</v>
      </c>
    </row>
    <row r="39" spans="4:9" x14ac:dyDescent="0.2">
      <c r="D39" s="40" t="str">
        <v>USD_YCONRH_OIS12Y</v>
      </c>
      <c r="E39" s="39">
        <f>_xll.qlRateHelperRate($D39)</f>
        <v>2.6579999999999999E-2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>
        <f>_xll.qlRateHelperEarliestDate($D39)</f>
        <v>41772</v>
      </c>
      <c r="H39" s="37">
        <f>_xll.qlRateHelperLatestDate($D39)</f>
        <v>46155</v>
      </c>
      <c r="I39" s="189">
        <v>0.71753663720989758</v>
      </c>
    </row>
    <row r="40" spans="4:9" x14ac:dyDescent="0.2">
      <c r="D40" s="40" t="str">
        <v>USD_YCONRH_OIS15Y</v>
      </c>
      <c r="E40" s="39">
        <f>_xll.qlRateHelperRate($D40)</f>
        <v>2.8580000000000001E-2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>
        <f>_xll.qlRateHelperEarliestDate($D40)</f>
        <v>41772</v>
      </c>
      <c r="H40" s="37">
        <f>_xll.qlRateHelperLatestDate($D40)</f>
        <v>47252</v>
      </c>
      <c r="I40" s="189">
        <v>0.6384512970162739</v>
      </c>
    </row>
    <row r="41" spans="4:9" x14ac:dyDescent="0.2">
      <c r="D41" s="40" t="str">
        <v>USD_YCONRH_OIS20Y</v>
      </c>
      <c r="E41" s="39">
        <f>_xll.qlRateHelperRate($D41)</f>
        <v>3.023E-2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>
        <f>_xll.qlRateHelperEarliestDate($D41)</f>
        <v>41772</v>
      </c>
      <c r="H41" s="37">
        <f>_xll.qlRateHelperLatestDate($D41)</f>
        <v>49079</v>
      </c>
      <c r="I41" s="189">
        <v>0.52993646259720251</v>
      </c>
    </row>
    <row r="42" spans="4:9" x14ac:dyDescent="0.2">
      <c r="D42" s="40" t="str">
        <v>USD_YCONRH_OIS25Y</v>
      </c>
      <c r="E42" s="39">
        <f>_xll.qlRateHelperRate($D42)</f>
        <v>3.0990000000000004E-2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>
        <f>_xll.qlRateHelperEarliestDate($D42)</f>
        <v>41772</v>
      </c>
      <c r="H42" s="37">
        <f>_xll.qlRateHelperLatestDate($D42)</f>
        <v>50903</v>
      </c>
      <c r="I42" s="189">
        <v>0.44331831416751843</v>
      </c>
    </row>
    <row r="43" spans="4:9" x14ac:dyDescent="0.2">
      <c r="D43" s="40" t="str">
        <v>USD_YCONRH_OIS35Y</v>
      </c>
      <c r="E43" s="39">
        <f>_xll.qlRateHelperRate($D43)</f>
        <v>3.1349999999999996E-2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>
        <f>_xll.qlRateHelperEarliestDate($D43)</f>
        <v>41772</v>
      </c>
      <c r="H43" s="37">
        <f>_xll.qlRateHelperLatestDate($D43)</f>
        <v>54556</v>
      </c>
      <c r="I43" s="189">
        <v>0.31892104342031019</v>
      </c>
    </row>
    <row r="44" spans="4:9" x14ac:dyDescent="0.2">
      <c r="D44" s="40" t="str">
        <v>USD_YCONRH_OIS40Y</v>
      </c>
      <c r="E44" s="39">
        <f>_xll.qlRateHelperRate($D44)</f>
        <v>3.1370000000000002E-2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>
        <f>_xll.qlRateHelperEarliestDate($D44)</f>
        <v>41772</v>
      </c>
      <c r="H44" s="37">
        <f>_xll.qlRateHelperLatestDate($D44)</f>
        <v>56382</v>
      </c>
      <c r="I44" s="189">
        <v>0.27231512843594996</v>
      </c>
    </row>
    <row r="45" spans="4:9" x14ac:dyDescent="0.2">
      <c r="D45" s="40" t="str">
        <v>USD_YCONRH_OIS45Y</v>
      </c>
      <c r="E45" s="39">
        <f>_xll.qlRateHelperRate($D45)</f>
        <v>3.1269999999999999E-2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>
        <f>_xll.qlRateHelperEarliestDate($D45)</f>
        <v>41772</v>
      </c>
      <c r="H45" s="37">
        <f>_xll.qlRateHelperLatestDate($D45)</f>
        <v>58208</v>
      </c>
      <c r="I45" s="189">
        <v>0.23508009478397687</v>
      </c>
    </row>
    <row r="46" spans="4:9" x14ac:dyDescent="0.2">
      <c r="D46" s="40" t="str">
        <v>USD_YCONRH_OIS50Y</v>
      </c>
      <c r="E46" s="39">
        <f>_xll.qlRateHelperRate($D46)</f>
        <v>3.1179999999999999E-2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>
        <f>_xll.qlRateHelperEarliestDate($D46)</f>
        <v>41772</v>
      </c>
      <c r="H46" s="37">
        <f>_xll.qlRateHelperLatestDate($D46)</f>
        <v>60035</v>
      </c>
      <c r="I46" s="189">
        <v>0.20316819626589766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189" t="e">
        <v>#N/A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189" t="e">
        <v>#N/A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189" t="e">
        <v>#N/A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189" t="e">
        <v>#N/A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189" t="e">
        <v>#N/A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189" t="e">
        <v>#N/A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189" t="e">
        <v>#N/A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189" t="e">
        <v>#N/A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189" t="e">
        <v>#N/A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189" t="e">
        <v>#N/A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189" t="e">
        <v>#N/A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189" t="e">
        <v>#N/A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189" t="e">
        <v>#N/A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189" t="e">
        <v>#N/A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189" t="e">
        <v>#N/A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189" t="e">
        <v>#N/A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189" t="e">
        <v>#N/A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189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189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189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189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189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189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189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189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189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189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189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189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189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189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189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189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189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189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189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189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189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189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189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189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189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189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189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189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189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189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189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189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189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189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189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189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189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189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189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189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189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189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189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189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189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189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189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189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189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189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189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189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189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189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189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189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189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189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189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189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189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189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189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F2" sqref="F2"/>
    </sheetView>
  </sheetViews>
  <sheetFormatPr defaultRowHeight="12.75" x14ac:dyDescent="0.2"/>
  <cols>
    <col min="1" max="1" width="3" style="92" customWidth="1"/>
    <col min="2" max="2" width="4.140625" style="92" bestFit="1" customWidth="1"/>
    <col min="3" max="3" width="10.5703125" style="92" bestFit="1" customWidth="1"/>
    <col min="4" max="4" width="13.140625" style="92" bestFit="1" customWidth="1"/>
    <col min="5" max="5" width="22" style="92" bestFit="1" customWidth="1"/>
    <col min="6" max="6" width="20.28515625" style="92" bestFit="1" customWidth="1"/>
    <col min="7" max="7" width="54" style="92" customWidth="1"/>
    <col min="8" max="8" width="4.7109375" style="92" customWidth="1"/>
    <col min="9" max="16384" width="9.140625" style="92"/>
  </cols>
  <sheetData>
    <row r="1" spans="1:8" x14ac:dyDescent="0.2">
      <c r="A1" s="111" t="s">
        <v>151</v>
      </c>
      <c r="B1" s="110"/>
      <c r="C1" s="110"/>
      <c r="D1" s="109" t="s">
        <v>131</v>
      </c>
      <c r="E1" s="108" t="str">
        <f>Currency&amp;"_YC"&amp;$D$1&amp;"RH"</f>
        <v>USD_YCONRH</v>
      </c>
      <c r="F1" s="107"/>
      <c r="G1" s="107"/>
      <c r="H1" s="96"/>
    </row>
    <row r="2" spans="1:8" ht="23.25" customHeight="1" x14ac:dyDescent="0.2">
      <c r="A2" s="102"/>
      <c r="B2" s="106"/>
      <c r="C2" s="106" t="s">
        <v>140</v>
      </c>
      <c r="D2" s="106" t="s">
        <v>139</v>
      </c>
      <c r="E2" s="105" t="str">
        <f>$E$1&amp;"_Deposits.xml"</f>
        <v>USD_YCONRH_Deposits.xml</v>
      </c>
      <c r="F2" s="104" t="str">
        <f>IF(Serialize,_xll.ohObjectSave(F3,SerializationPath&amp;E2,FileOverwrite,Serialize),"---")</f>
        <v>---</v>
      </c>
      <c r="G2" s="103" t="str">
        <f>_xll.ohRangeRetrieveError(F2)</f>
        <v/>
      </c>
      <c r="H2" s="96"/>
    </row>
    <row r="3" spans="1:8" x14ac:dyDescent="0.2">
      <c r="A3" s="102"/>
      <c r="B3" s="101" t="s">
        <v>131</v>
      </c>
      <c r="C3" s="100" t="s">
        <v>174</v>
      </c>
      <c r="D3" s="99" t="str">
        <f>Currency&amp;$B3&amp;"D"&amp;QuoteSuffix</f>
        <v>USDOND_Quote</v>
      </c>
      <c r="E3" s="99" t="str">
        <f>$E$1&amp;"_"&amp;$B3&amp;"D"</f>
        <v>USD_YCONRH_OND</v>
      </c>
      <c r="F3" s="98" t="str">
        <f>_xll.qlDepositRateHelper(E3,D3,C3,Permanent,Trigger,ObjectOverwrite)</f>
        <v>USD_YCONRH_OND#0001</v>
      </c>
      <c r="G3" s="97" t="str">
        <f>_xll.ohRangeRetrieveError(F3)</f>
        <v/>
      </c>
      <c r="H3" s="96"/>
    </row>
    <row r="4" spans="1:8" ht="13.5" thickBot="1" x14ac:dyDescent="0.25">
      <c r="A4" s="95"/>
      <c r="B4" s="94"/>
      <c r="C4" s="94"/>
      <c r="D4" s="94"/>
      <c r="E4" s="94"/>
      <c r="F4" s="94"/>
      <c r="G4" s="94"/>
      <c r="H4" s="93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7"/>
  <sheetViews>
    <sheetView workbookViewId="0">
      <selection activeCell="H2" sqref="H2"/>
    </sheetView>
  </sheetViews>
  <sheetFormatPr defaultRowHeight="11.25" x14ac:dyDescent="0.2"/>
  <cols>
    <col min="1" max="1" width="3.7109375" style="107" customWidth="1"/>
    <col min="2" max="2" width="3" style="107" bestFit="1" customWidth="1"/>
    <col min="3" max="3" width="5" style="107" customWidth="1"/>
    <col min="4" max="4" width="3.5703125" style="133" bestFit="1" customWidth="1"/>
    <col min="5" max="5" width="10.85546875" style="133" bestFit="1" customWidth="1"/>
    <col min="6" max="6" width="14.7109375" style="107" bestFit="1" customWidth="1"/>
    <col min="7" max="7" width="19.5703125" style="107" bestFit="1" customWidth="1"/>
    <col min="8" max="8" width="19.85546875" style="132" bestFit="1" customWidth="1"/>
    <col min="9" max="9" width="38.28515625" style="107" customWidth="1"/>
    <col min="10" max="10" width="3" style="107" customWidth="1"/>
    <col min="11" max="16384" width="9.140625" style="107"/>
  </cols>
  <sheetData>
    <row r="1" spans="1:10" x14ac:dyDescent="0.2">
      <c r="A1" s="151" t="s">
        <v>156</v>
      </c>
      <c r="B1" s="150"/>
      <c r="C1" s="150"/>
      <c r="D1" s="150"/>
      <c r="E1" s="149" t="s">
        <v>131</v>
      </c>
      <c r="G1" s="148" t="str">
        <f>Currency&amp;"_YC"&amp;$E$1&amp;"RH"</f>
        <v>USD_YCONRH</v>
      </c>
      <c r="H1" s="147"/>
      <c r="I1" s="146"/>
      <c r="J1" s="145"/>
    </row>
    <row r="2" spans="1:10" ht="23.25" customHeight="1" x14ac:dyDescent="0.2">
      <c r="A2" s="102"/>
      <c r="B2" s="113"/>
      <c r="C2" s="113"/>
      <c r="D2" s="144"/>
      <c r="E2" s="106" t="s">
        <v>140</v>
      </c>
      <c r="F2" s="106" t="s">
        <v>139</v>
      </c>
      <c r="G2" s="105" t="str">
        <f>$G$1&amp;"_FRAs.xml"</f>
        <v>USD_YCONRH_FRAs.xml</v>
      </c>
      <c r="H2" s="143" t="str">
        <f>IF(Serialize,_xll.ohObjectSave(H3:H4,SerializationPath&amp;G2,FileOverwrite,Serialize),"---")</f>
        <v>---</v>
      </c>
      <c r="I2" s="142" t="str">
        <f>_xll.ohRangeRetrieveError(H2)</f>
        <v/>
      </c>
      <c r="J2" s="96"/>
    </row>
    <row r="3" spans="1:10" x14ac:dyDescent="0.2">
      <c r="A3" s="102"/>
      <c r="B3" s="141" t="s">
        <v>155</v>
      </c>
      <c r="C3" s="141" t="s">
        <v>154</v>
      </c>
      <c r="D3" s="140" t="s">
        <v>152</v>
      </c>
      <c r="E3" s="139" t="s">
        <v>175</v>
      </c>
      <c r="F3" s="139" t="str">
        <f>Currency&amp;C3&amp;D3&amp;"_Quote"</f>
        <v>USDTND_Quote</v>
      </c>
      <c r="G3" s="139" t="str">
        <f>$G$1&amp;"_"&amp;$C3&amp;$D3</f>
        <v>USD_YCONRH_TND</v>
      </c>
      <c r="H3" s="139" t="str">
        <f>_xll.qlFraRateHelper(G3,F3,B3,E3,Permanent,Trigger,ObjectOverwrite)</f>
        <v>USD_YCONRH_TND#0001</v>
      </c>
      <c r="I3" s="138" t="str">
        <f>_xll.ohRangeRetrieveError(H3)</f>
        <v/>
      </c>
      <c r="J3" s="96"/>
    </row>
    <row r="4" spans="1:10" x14ac:dyDescent="0.2">
      <c r="A4" s="102"/>
      <c r="B4" s="137" t="s">
        <v>153</v>
      </c>
      <c r="C4" s="137" t="s">
        <v>141</v>
      </c>
      <c r="D4" s="112" t="s">
        <v>152</v>
      </c>
      <c r="E4" s="136" t="s">
        <v>175</v>
      </c>
      <c r="F4" s="136" t="str">
        <f>Currency&amp;C4&amp;D4&amp;"_Quote"</f>
        <v>USDSND_Quote</v>
      </c>
      <c r="G4" s="136" t="str">
        <f>$G$1&amp;"_"&amp;$C4&amp;$D4</f>
        <v>USD_YCONRH_SND</v>
      </c>
      <c r="H4" s="136" t="str">
        <f>_xll.qlFraRateHelper(G4,F4,B4,E4,Permanent,Trigger,ObjectOverwrite)</f>
        <v>USD_YCONRH_SND#0001</v>
      </c>
      <c r="I4" s="135" t="str">
        <f>_xll.ohRangeRetrieveError(H4)</f>
        <v/>
      </c>
      <c r="J4" s="96"/>
    </row>
    <row r="5" spans="1:10" ht="12" thickBot="1" x14ac:dyDescent="0.25">
      <c r="A5" s="95"/>
      <c r="B5" s="94"/>
      <c r="C5" s="94"/>
      <c r="D5" s="94"/>
      <c r="E5" s="94"/>
      <c r="F5" s="94"/>
      <c r="G5" s="94"/>
      <c r="H5" s="134"/>
      <c r="I5" s="134"/>
      <c r="J5" s="93"/>
    </row>
    <row r="7" spans="1:10" x14ac:dyDescent="0.2">
      <c r="D7" s="107"/>
      <c r="E7" s="107"/>
      <c r="H7" s="107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96"/>
  <sheetViews>
    <sheetView topLeftCell="E1" workbookViewId="0">
      <selection activeCell="L3" sqref="L3"/>
    </sheetView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151" t="s">
        <v>170</v>
      </c>
      <c r="B1" s="170"/>
      <c r="C1" s="170"/>
      <c r="D1" s="170"/>
      <c r="E1" s="170"/>
      <c r="F1" s="170"/>
      <c r="G1" s="170"/>
      <c r="H1" s="170"/>
      <c r="I1" s="170"/>
      <c r="J1" s="170"/>
      <c r="K1" s="171"/>
      <c r="L1" s="170"/>
      <c r="M1" s="170"/>
      <c r="N1" s="169"/>
    </row>
    <row r="2" spans="1:17" x14ac:dyDescent="0.2">
      <c r="A2" s="87"/>
      <c r="B2" s="90"/>
      <c r="C2" s="90"/>
      <c r="D2" s="90"/>
      <c r="E2" s="90"/>
      <c r="F2" s="90"/>
      <c r="G2" s="90"/>
      <c r="H2" s="90"/>
      <c r="I2" s="90"/>
      <c r="J2" s="6" t="s">
        <v>131</v>
      </c>
      <c r="K2" s="6" t="str">
        <f>Currency&amp;"_YC"&amp;$J$2&amp;"RH"</f>
        <v>USD_YCONRH</v>
      </c>
      <c r="L2" s="110" t="e">
        <f>NA()</f>
        <v>#N/A</v>
      </c>
      <c r="M2" s="90"/>
      <c r="N2" s="154"/>
    </row>
    <row r="3" spans="1:17" ht="36" customHeight="1" x14ac:dyDescent="0.2">
      <c r="A3" s="87"/>
      <c r="B3" s="89" t="s">
        <v>162</v>
      </c>
      <c r="C3" s="89" t="s">
        <v>167</v>
      </c>
      <c r="D3" s="89"/>
      <c r="E3" s="89"/>
      <c r="F3" s="89" t="s">
        <v>161</v>
      </c>
      <c r="G3" s="89" t="s">
        <v>160</v>
      </c>
      <c r="H3" s="89" t="s">
        <v>159</v>
      </c>
      <c r="I3" s="89" t="s">
        <v>158</v>
      </c>
      <c r="J3" s="89" t="s">
        <v>139</v>
      </c>
      <c r="K3" s="168" t="str">
        <f>K2&amp;"_Swaps.xml"</f>
        <v>USD_YCONRH_Swaps.xml</v>
      </c>
      <c r="L3" s="167" t="str">
        <f>IF(Serialize,_xll.ohObjectSave(_xll.ohPack(L4:L95),SerializationPath&amp;K3,FileOverwrite,Serialize),"---")</f>
        <v>---</v>
      </c>
      <c r="M3" s="88" t="str">
        <f>_xll.ohRangeRetrieveError(L3)</f>
        <v/>
      </c>
      <c r="N3" s="154"/>
    </row>
    <row r="4" spans="1:17" x14ac:dyDescent="0.2">
      <c r="A4" s="91"/>
      <c r="B4" s="90"/>
      <c r="C4" s="90"/>
      <c r="D4" s="90"/>
      <c r="E4" s="90"/>
      <c r="F4" s="90"/>
      <c r="G4" s="90"/>
      <c r="H4" s="90"/>
      <c r="I4" s="90"/>
      <c r="J4" s="90"/>
      <c r="K4" s="166" t="str">
        <f>$K$2&amp;"_"&amp;$D6&amp;"_"&amp;FamilyName&amp;$J$2</f>
        <v>USD_YCONRH_OIS_LiborON</v>
      </c>
      <c r="L4" s="165" t="str">
        <f>_xll.qlOvernightIndex(K4,"usd-no-fix",0,"USD",Calendar,"act/360",,Permanent,Trigger,ObjectOverwrite)</f>
        <v>USD_YCONRH_OIS_LiborON#0001</v>
      </c>
      <c r="M4" s="164" t="str">
        <f>_xll.ohRangeRetrieveError(L4)</f>
        <v/>
      </c>
      <c r="N4" s="154"/>
    </row>
    <row r="5" spans="1:17" x14ac:dyDescent="0.2">
      <c r="A5" s="91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154"/>
    </row>
    <row r="6" spans="1:17" x14ac:dyDescent="0.2">
      <c r="A6" s="87"/>
      <c r="B6" s="162"/>
      <c r="C6" s="161" t="s">
        <v>166</v>
      </c>
      <c r="D6" s="162" t="s">
        <v>73</v>
      </c>
      <c r="E6" s="161" t="s">
        <v>68</v>
      </c>
      <c r="F6" s="160" t="s">
        <v>164</v>
      </c>
      <c r="G6" s="160" t="s">
        <v>163</v>
      </c>
      <c r="H6" s="160">
        <f t="shared" ref="H6:H37" si="0">DayCounter</f>
        <v>0</v>
      </c>
      <c r="I6" s="159">
        <v>0</v>
      </c>
      <c r="J6" s="158" t="str">
        <f t="shared" ref="J6:J37" si="1">Currency&amp;$D6&amp;$E6&amp;QuoteSuffix</f>
        <v>USDOISSW_Quote</v>
      </c>
      <c r="K6" s="158" t="str">
        <f t="shared" ref="K6:K37" si="2">$K$2&amp;"_"&amp;$D6&amp;$E6</f>
        <v>USD_YCONRH_OISSW</v>
      </c>
      <c r="L6" s="157" t="str">
        <f>_xll.qlOISRateHelper(K6,2,C6,J6,$L$4,,Permanent,,ObjectOverwrite)</f>
        <v>USD_YCONRH_OISSW#0001</v>
      </c>
      <c r="M6" s="88" t="str">
        <f>_xll.ohRangeRetrieveError(L6)</f>
        <v/>
      </c>
      <c r="N6" s="154"/>
      <c r="P6" s="156">
        <f>_xll.qlRateHelperEarliestDate($L6)</f>
        <v>41772</v>
      </c>
      <c r="Q6" s="156">
        <f>_xll.qlRateHelperLatestDate($L6)</f>
        <v>41779</v>
      </c>
    </row>
    <row r="7" spans="1:17" x14ac:dyDescent="0.2">
      <c r="A7" s="87"/>
      <c r="B7" s="162"/>
      <c r="C7" s="161" t="s">
        <v>67</v>
      </c>
      <c r="D7" s="162" t="s">
        <v>73</v>
      </c>
      <c r="E7" s="161" t="str">
        <f t="shared" ref="E7:E38" si="3">C7</f>
        <v>2W</v>
      </c>
      <c r="F7" s="160" t="s">
        <v>164</v>
      </c>
      <c r="G7" s="160" t="s">
        <v>163</v>
      </c>
      <c r="H7" s="160">
        <f t="shared" si="0"/>
        <v>0</v>
      </c>
      <c r="I7" s="159">
        <v>0</v>
      </c>
      <c r="J7" s="158" t="str">
        <f t="shared" si="1"/>
        <v>USDOIS2W_Quote</v>
      </c>
      <c r="K7" s="158" t="str">
        <f t="shared" si="2"/>
        <v>USD_YCONRH_OIS2W</v>
      </c>
      <c r="L7" s="157" t="str">
        <f>_xll.qlOISRateHelper(K7,2,C7,J7,$L$4,,Permanent,,ObjectOverwrite)</f>
        <v>USD_YCONRH_OIS2W#0001</v>
      </c>
      <c r="M7" s="88" t="str">
        <f>_xll.ohRangeRetrieveError(L7)</f>
        <v/>
      </c>
      <c r="N7" s="154"/>
      <c r="P7" s="156">
        <f>_xll.qlRateHelperEarliestDate(L7)</f>
        <v>41772</v>
      </c>
      <c r="Q7" s="156">
        <f>_xll.qlRateHelperLatestDate($L7)</f>
        <v>41786</v>
      </c>
    </row>
    <row r="8" spans="1:17" x14ac:dyDescent="0.2">
      <c r="A8" s="87"/>
      <c r="B8" s="162"/>
      <c r="C8" s="161" t="s">
        <v>66</v>
      </c>
      <c r="D8" s="162" t="s">
        <v>73</v>
      </c>
      <c r="E8" s="161" t="str">
        <f t="shared" si="3"/>
        <v>3W</v>
      </c>
      <c r="F8" s="160" t="s">
        <v>164</v>
      </c>
      <c r="G8" s="160" t="s">
        <v>163</v>
      </c>
      <c r="H8" s="160">
        <f t="shared" si="0"/>
        <v>0</v>
      </c>
      <c r="I8" s="159">
        <v>0</v>
      </c>
      <c r="J8" s="158" t="str">
        <f t="shared" si="1"/>
        <v>USDOIS3W_Quote</v>
      </c>
      <c r="K8" s="158" t="str">
        <f t="shared" si="2"/>
        <v>USD_YCONRH_OIS3W</v>
      </c>
      <c r="L8" s="157" t="str">
        <f>_xll.qlOISRateHelper(K8,2,C8,J8,$L$4,,Permanent,,ObjectOverwrite)</f>
        <v>USD_YCONRH_OIS3W#0001</v>
      </c>
      <c r="M8" s="88" t="str">
        <f>_xll.ohRangeRetrieveError(L8)</f>
        <v/>
      </c>
      <c r="N8" s="154"/>
      <c r="P8" s="156">
        <f>_xll.qlRateHelperEarliestDate(L8)</f>
        <v>41772</v>
      </c>
      <c r="Q8" s="156">
        <f>_xll.qlRateHelperLatestDate($L8)</f>
        <v>41793</v>
      </c>
    </row>
    <row r="9" spans="1:17" x14ac:dyDescent="0.2">
      <c r="A9" s="87"/>
      <c r="B9" s="162"/>
      <c r="C9" s="161" t="s">
        <v>65</v>
      </c>
      <c r="D9" s="162" t="s">
        <v>73</v>
      </c>
      <c r="E9" s="161" t="str">
        <f t="shared" si="3"/>
        <v>1M</v>
      </c>
      <c r="F9" s="160" t="s">
        <v>164</v>
      </c>
      <c r="G9" s="160" t="s">
        <v>157</v>
      </c>
      <c r="H9" s="160">
        <f t="shared" si="0"/>
        <v>0</v>
      </c>
      <c r="I9" s="159">
        <v>0</v>
      </c>
      <c r="J9" s="158" t="str">
        <f t="shared" si="1"/>
        <v>USDOIS1M_Quote</v>
      </c>
      <c r="K9" s="158" t="str">
        <f t="shared" si="2"/>
        <v>USD_YCONRH_OIS1M</v>
      </c>
      <c r="L9" s="157" t="str">
        <f>_xll.qlOISRateHelper(K9,2,C9,J9,$L$4,,Permanent,,ObjectOverwrite)</f>
        <v>USD_YCONRH_OIS1M#0001</v>
      </c>
      <c r="M9" s="88" t="str">
        <f>_xll.ohRangeRetrieveError(L9)</f>
        <v/>
      </c>
      <c r="N9" s="154"/>
      <c r="P9" s="156">
        <f>_xll.qlRateHelperEarliestDate(L9)</f>
        <v>41772</v>
      </c>
      <c r="Q9" s="156">
        <f>_xll.qlRateHelperLatestDate($L9)</f>
        <v>41803</v>
      </c>
    </row>
    <row r="10" spans="1:17" x14ac:dyDescent="0.2">
      <c r="A10" s="87"/>
      <c r="B10" s="162"/>
      <c r="C10" s="161" t="s">
        <v>64</v>
      </c>
      <c r="D10" s="162" t="s">
        <v>73</v>
      </c>
      <c r="E10" s="161" t="str">
        <f t="shared" si="3"/>
        <v>2M</v>
      </c>
      <c r="F10" s="160" t="s">
        <v>164</v>
      </c>
      <c r="G10" s="160" t="s">
        <v>157</v>
      </c>
      <c r="H10" s="160">
        <f t="shared" si="0"/>
        <v>0</v>
      </c>
      <c r="I10" s="159">
        <v>0</v>
      </c>
      <c r="J10" s="158" t="str">
        <f t="shared" si="1"/>
        <v>USDOIS2M_Quote</v>
      </c>
      <c r="K10" s="158" t="str">
        <f t="shared" si="2"/>
        <v>USD_YCONRH_OIS2M</v>
      </c>
      <c r="L10" s="157" t="str">
        <f>_xll.qlOISRateHelper(K10,2,C10,J10,$L$4,,Permanent,,ObjectOverwrite)</f>
        <v>USD_YCONRH_OIS2M#0001</v>
      </c>
      <c r="M10" s="88" t="str">
        <f>_xll.ohRangeRetrieveError(L10)</f>
        <v/>
      </c>
      <c r="N10" s="154"/>
      <c r="P10" s="156">
        <f>_xll.qlRateHelperEarliestDate(L10)</f>
        <v>41772</v>
      </c>
      <c r="Q10" s="156">
        <f>_xll.qlRateHelperLatestDate($L10)</f>
        <v>41834</v>
      </c>
    </row>
    <row r="11" spans="1:17" x14ac:dyDescent="0.2">
      <c r="A11" s="87"/>
      <c r="B11" s="162"/>
      <c r="C11" s="161" t="s">
        <v>63</v>
      </c>
      <c r="D11" s="162" t="s">
        <v>73</v>
      </c>
      <c r="E11" s="161" t="str">
        <f t="shared" si="3"/>
        <v>3M</v>
      </c>
      <c r="F11" s="160" t="s">
        <v>164</v>
      </c>
      <c r="G11" s="160" t="s">
        <v>157</v>
      </c>
      <c r="H11" s="160">
        <f t="shared" si="0"/>
        <v>0</v>
      </c>
      <c r="I11" s="159">
        <v>0</v>
      </c>
      <c r="J11" s="158" t="str">
        <f t="shared" si="1"/>
        <v>USDOIS3M_Quote</v>
      </c>
      <c r="K11" s="158" t="str">
        <f t="shared" si="2"/>
        <v>USD_YCONRH_OIS3M</v>
      </c>
      <c r="L11" s="157" t="str">
        <f>_xll.qlOISRateHelper(K11,2,C11,J11,$L$4,,Permanent,,ObjectOverwrite)</f>
        <v>USD_YCONRH_OIS3M#0001</v>
      </c>
      <c r="M11" s="88" t="str">
        <f>_xll.ohRangeRetrieveError(L11)</f>
        <v/>
      </c>
      <c r="N11" s="154"/>
      <c r="P11" s="156">
        <f>_xll.qlRateHelperEarliestDate(L11)</f>
        <v>41772</v>
      </c>
      <c r="Q11" s="156">
        <f>_xll.qlRateHelperLatestDate($L11)</f>
        <v>41864</v>
      </c>
    </row>
    <row r="12" spans="1:17" x14ac:dyDescent="0.2">
      <c r="A12" s="87"/>
      <c r="B12" s="162"/>
      <c r="C12" s="161" t="s">
        <v>62</v>
      </c>
      <c r="D12" s="162" t="s">
        <v>73</v>
      </c>
      <c r="E12" s="161" t="str">
        <f t="shared" si="3"/>
        <v>4M</v>
      </c>
      <c r="F12" s="160" t="s">
        <v>164</v>
      </c>
      <c r="G12" s="160" t="s">
        <v>157</v>
      </c>
      <c r="H12" s="160">
        <f t="shared" si="0"/>
        <v>0</v>
      </c>
      <c r="I12" s="159">
        <v>0</v>
      </c>
      <c r="J12" s="158" t="str">
        <f t="shared" si="1"/>
        <v>USDOIS4M_Quote</v>
      </c>
      <c r="K12" s="158" t="str">
        <f t="shared" si="2"/>
        <v>USD_YCONRH_OIS4M</v>
      </c>
      <c r="L12" s="157" t="str">
        <f>_xll.qlOISRateHelper(K12,2,C12,J12,$L$4,,Permanent,,ObjectOverwrite)</f>
        <v>USD_YCONRH_OIS4M#0001</v>
      </c>
      <c r="M12" s="88" t="str">
        <f>_xll.ohRangeRetrieveError(L12)</f>
        <v/>
      </c>
      <c r="N12" s="154"/>
      <c r="P12" s="156">
        <f>_xll.qlRateHelperEarliestDate(L12)</f>
        <v>41772</v>
      </c>
      <c r="Q12" s="156">
        <f>_xll.qlRateHelperLatestDate($L12)</f>
        <v>41897</v>
      </c>
    </row>
    <row r="13" spans="1:17" x14ac:dyDescent="0.2">
      <c r="A13" s="87"/>
      <c r="B13" s="162"/>
      <c r="C13" s="161" t="s">
        <v>61</v>
      </c>
      <c r="D13" s="162" t="s">
        <v>73</v>
      </c>
      <c r="E13" s="161" t="str">
        <f t="shared" si="3"/>
        <v>5M</v>
      </c>
      <c r="F13" s="160" t="s">
        <v>164</v>
      </c>
      <c r="G13" s="160" t="s">
        <v>157</v>
      </c>
      <c r="H13" s="160">
        <f t="shared" si="0"/>
        <v>0</v>
      </c>
      <c r="I13" s="159">
        <v>0</v>
      </c>
      <c r="J13" s="158" t="str">
        <f t="shared" si="1"/>
        <v>USDOIS5M_Quote</v>
      </c>
      <c r="K13" s="158" t="str">
        <f t="shared" si="2"/>
        <v>USD_YCONRH_OIS5M</v>
      </c>
      <c r="L13" s="157" t="str">
        <f>_xll.qlOISRateHelper(K13,2,C13,J13,$L$4,,Permanent,,ObjectOverwrite)</f>
        <v>USD_YCONRH_OIS5M#0001</v>
      </c>
      <c r="M13" s="88" t="str">
        <f>_xll.ohRangeRetrieveError(L13)</f>
        <v/>
      </c>
      <c r="N13" s="154"/>
      <c r="P13" s="156">
        <f>_xll.qlRateHelperEarliestDate(L13)</f>
        <v>41772</v>
      </c>
      <c r="Q13" s="156">
        <f>_xll.qlRateHelperLatestDate($L13)</f>
        <v>41926</v>
      </c>
    </row>
    <row r="14" spans="1:17" x14ac:dyDescent="0.2">
      <c r="A14" s="87"/>
      <c r="B14" s="162"/>
      <c r="C14" s="161" t="s">
        <v>60</v>
      </c>
      <c r="D14" s="162" t="s">
        <v>73</v>
      </c>
      <c r="E14" s="161" t="str">
        <f t="shared" si="3"/>
        <v>6M</v>
      </c>
      <c r="F14" s="160" t="s">
        <v>164</v>
      </c>
      <c r="G14" s="160" t="s">
        <v>157</v>
      </c>
      <c r="H14" s="160">
        <f t="shared" si="0"/>
        <v>0</v>
      </c>
      <c r="I14" s="159">
        <v>0</v>
      </c>
      <c r="J14" s="158" t="str">
        <f t="shared" si="1"/>
        <v>USDOIS6M_Quote</v>
      </c>
      <c r="K14" s="158" t="str">
        <f t="shared" si="2"/>
        <v>USD_YCONRH_OIS6M</v>
      </c>
      <c r="L14" s="157" t="str">
        <f>_xll.qlOISRateHelper(K14,2,C14,J14,$L$4,,Permanent,,ObjectOverwrite)</f>
        <v>USD_YCONRH_OIS6M#0001</v>
      </c>
      <c r="M14" s="88" t="str">
        <f>_xll.ohRangeRetrieveError(L14)</f>
        <v/>
      </c>
      <c r="N14" s="154"/>
      <c r="P14" s="156">
        <f>_xll.qlRateHelperEarliestDate(L14)</f>
        <v>41772</v>
      </c>
      <c r="Q14" s="156">
        <f>_xll.qlRateHelperLatestDate($L14)</f>
        <v>41956</v>
      </c>
    </row>
    <row r="15" spans="1:17" x14ac:dyDescent="0.2">
      <c r="A15" s="87"/>
      <c r="B15" s="162"/>
      <c r="C15" s="161" t="s">
        <v>59</v>
      </c>
      <c r="D15" s="162" t="s">
        <v>73</v>
      </c>
      <c r="E15" s="161" t="str">
        <f t="shared" si="3"/>
        <v>7M</v>
      </c>
      <c r="F15" s="160" t="s">
        <v>164</v>
      </c>
      <c r="G15" s="160" t="s">
        <v>157</v>
      </c>
      <c r="H15" s="160">
        <f t="shared" si="0"/>
        <v>0</v>
      </c>
      <c r="I15" s="159">
        <v>0</v>
      </c>
      <c r="J15" s="158" t="str">
        <f t="shared" si="1"/>
        <v>USDOIS7M_Quote</v>
      </c>
      <c r="K15" s="158" t="str">
        <f t="shared" si="2"/>
        <v>USD_YCONRH_OIS7M</v>
      </c>
      <c r="L15" s="157" t="str">
        <f>_xll.qlOISRateHelper(K15,2,C15,J15,$L$4,,Permanent,,ObjectOverwrite)</f>
        <v>USD_YCONRH_OIS7M#0001</v>
      </c>
      <c r="M15" s="88" t="str">
        <f>_xll.ohRangeRetrieveError(L15)</f>
        <v/>
      </c>
      <c r="N15" s="154"/>
      <c r="P15" s="156">
        <f>_xll.qlRateHelperEarliestDate(L15)</f>
        <v>41772</v>
      </c>
      <c r="Q15" s="156">
        <f>_xll.qlRateHelperLatestDate($L15)</f>
        <v>41988</v>
      </c>
    </row>
    <row r="16" spans="1:17" x14ac:dyDescent="0.2">
      <c r="A16" s="87"/>
      <c r="B16" s="162"/>
      <c r="C16" s="161" t="s">
        <v>58</v>
      </c>
      <c r="D16" s="162" t="s">
        <v>73</v>
      </c>
      <c r="E16" s="161" t="str">
        <f t="shared" si="3"/>
        <v>8M</v>
      </c>
      <c r="F16" s="160" t="s">
        <v>164</v>
      </c>
      <c r="G16" s="160" t="s">
        <v>157</v>
      </c>
      <c r="H16" s="160">
        <f t="shared" si="0"/>
        <v>0</v>
      </c>
      <c r="I16" s="159">
        <v>0</v>
      </c>
      <c r="J16" s="158" t="str">
        <f t="shared" si="1"/>
        <v>USDOIS8M_Quote</v>
      </c>
      <c r="K16" s="158" t="str">
        <f t="shared" si="2"/>
        <v>USD_YCONRH_OIS8M</v>
      </c>
      <c r="L16" s="157" t="str">
        <f>_xll.qlOISRateHelper(K16,2,C16,J16,$L$4,,Permanent,,ObjectOverwrite)</f>
        <v>USD_YCONRH_OIS8M#0001</v>
      </c>
      <c r="M16" s="88" t="str">
        <f>_xll.ohRangeRetrieveError(L16)</f>
        <v/>
      </c>
      <c r="N16" s="154"/>
      <c r="P16" s="156">
        <f>_xll.qlRateHelperEarliestDate(L16)</f>
        <v>41772</v>
      </c>
      <c r="Q16" s="156">
        <f>_xll.qlRateHelperLatestDate($L16)</f>
        <v>42017</v>
      </c>
    </row>
    <row r="17" spans="1:17" x14ac:dyDescent="0.2">
      <c r="A17" s="87"/>
      <c r="B17" s="162"/>
      <c r="C17" s="161" t="s">
        <v>57</v>
      </c>
      <c r="D17" s="162" t="s">
        <v>73</v>
      </c>
      <c r="E17" s="161" t="str">
        <f t="shared" si="3"/>
        <v>9M</v>
      </c>
      <c r="F17" s="160" t="s">
        <v>164</v>
      </c>
      <c r="G17" s="160" t="s">
        <v>157</v>
      </c>
      <c r="H17" s="160">
        <f t="shared" si="0"/>
        <v>0</v>
      </c>
      <c r="I17" s="159">
        <v>0</v>
      </c>
      <c r="J17" s="158" t="str">
        <f t="shared" si="1"/>
        <v>USDOIS9M_Quote</v>
      </c>
      <c r="K17" s="158" t="str">
        <f t="shared" si="2"/>
        <v>USD_YCONRH_OIS9M</v>
      </c>
      <c r="L17" s="157" t="str">
        <f>_xll.qlOISRateHelper(K17,2,C17,J17,$L$4,,Permanent,,ObjectOverwrite)</f>
        <v>USD_YCONRH_OIS9M#0001</v>
      </c>
      <c r="M17" s="88" t="str">
        <f>_xll.ohRangeRetrieveError(L17)</f>
        <v/>
      </c>
      <c r="N17" s="154"/>
      <c r="P17" s="156">
        <f>_xll.qlRateHelperEarliestDate(L17)</f>
        <v>41772</v>
      </c>
      <c r="Q17" s="156">
        <f>_xll.qlRateHelperLatestDate($L17)</f>
        <v>42048</v>
      </c>
    </row>
    <row r="18" spans="1:17" x14ac:dyDescent="0.2">
      <c r="A18" s="87"/>
      <c r="B18" s="162"/>
      <c r="C18" s="161" t="s">
        <v>56</v>
      </c>
      <c r="D18" s="162" t="s">
        <v>73</v>
      </c>
      <c r="E18" s="161" t="str">
        <f t="shared" si="3"/>
        <v>10M</v>
      </c>
      <c r="F18" s="160" t="s">
        <v>164</v>
      </c>
      <c r="G18" s="160" t="s">
        <v>157</v>
      </c>
      <c r="H18" s="160">
        <f t="shared" si="0"/>
        <v>0</v>
      </c>
      <c r="I18" s="159">
        <v>0</v>
      </c>
      <c r="J18" s="158" t="str">
        <f t="shared" si="1"/>
        <v>USDOIS10M_Quote</v>
      </c>
      <c r="K18" s="158" t="str">
        <f t="shared" si="2"/>
        <v>USD_YCONRH_OIS10M</v>
      </c>
      <c r="L18" s="157" t="str">
        <f>_xll.qlOISRateHelper(K18,2,C18,J18,$L$4,,Permanent,,ObjectOverwrite)</f>
        <v>USD_YCONRH_OIS10M#0001</v>
      </c>
      <c r="M18" s="88" t="str">
        <f>_xll.ohRangeRetrieveError(L18)</f>
        <v/>
      </c>
      <c r="N18" s="154"/>
      <c r="P18" s="156">
        <f>_xll.qlRateHelperEarliestDate(L18)</f>
        <v>41772</v>
      </c>
      <c r="Q18" s="156">
        <f>_xll.qlRateHelperLatestDate($L18)</f>
        <v>42076</v>
      </c>
    </row>
    <row r="19" spans="1:17" x14ac:dyDescent="0.2">
      <c r="A19" s="87"/>
      <c r="B19" s="162"/>
      <c r="C19" s="161" t="s">
        <v>55</v>
      </c>
      <c r="D19" s="162" t="s">
        <v>73</v>
      </c>
      <c r="E19" s="161" t="str">
        <f t="shared" si="3"/>
        <v>11M</v>
      </c>
      <c r="F19" s="160" t="s">
        <v>164</v>
      </c>
      <c r="G19" s="160" t="s">
        <v>157</v>
      </c>
      <c r="H19" s="160">
        <f t="shared" si="0"/>
        <v>0</v>
      </c>
      <c r="I19" s="159">
        <v>0</v>
      </c>
      <c r="J19" s="158" t="str">
        <f t="shared" si="1"/>
        <v>USDOIS11M_Quote</v>
      </c>
      <c r="K19" s="158" t="str">
        <f t="shared" si="2"/>
        <v>USD_YCONRH_OIS11M</v>
      </c>
      <c r="L19" s="157" t="str">
        <f>_xll.qlOISRateHelper(K19,2,C19,J19,$L$4,,Permanent,,ObjectOverwrite)</f>
        <v>USD_YCONRH_OIS11M#0001</v>
      </c>
      <c r="M19" s="88" t="str">
        <f>_xll.ohRangeRetrieveError(L19)</f>
        <v/>
      </c>
      <c r="N19" s="154"/>
      <c r="P19" s="156">
        <f>_xll.qlRateHelperEarliestDate(L19)</f>
        <v>41772</v>
      </c>
      <c r="Q19" s="156">
        <f>_xll.qlRateHelperLatestDate($L19)</f>
        <v>42107</v>
      </c>
    </row>
    <row r="20" spans="1:17" x14ac:dyDescent="0.2">
      <c r="A20" s="87"/>
      <c r="B20" s="162"/>
      <c r="C20" s="161" t="s">
        <v>36</v>
      </c>
      <c r="D20" s="162" t="s">
        <v>73</v>
      </c>
      <c r="E20" s="161" t="str">
        <f t="shared" si="3"/>
        <v>1Y</v>
      </c>
      <c r="F20" s="160" t="s">
        <v>164</v>
      </c>
      <c r="G20" s="160" t="s">
        <v>157</v>
      </c>
      <c r="H20" s="160">
        <f t="shared" si="0"/>
        <v>0</v>
      </c>
      <c r="I20" s="159">
        <v>0</v>
      </c>
      <c r="J20" s="158" t="str">
        <f t="shared" si="1"/>
        <v>USDOIS1Y_Quote</v>
      </c>
      <c r="K20" s="158" t="str">
        <f t="shared" si="2"/>
        <v>USD_YCONRH_OIS1Y</v>
      </c>
      <c r="L20" s="157" t="str">
        <f>_xll.qlOISRateHelper(K20,2,C20,J20,$L$4,,Permanent,,ObjectOverwrite)</f>
        <v>USD_YCONRH_OIS1Y#0001</v>
      </c>
      <c r="M20" s="88" t="str">
        <f>_xll.ohRangeRetrieveError(L20)</f>
        <v/>
      </c>
      <c r="N20" s="154"/>
      <c r="P20" s="156">
        <f>_xll.qlRateHelperEarliestDate(L20)</f>
        <v>41772</v>
      </c>
      <c r="Q20" s="156">
        <f>_xll.qlRateHelperLatestDate($L20)</f>
        <v>42137</v>
      </c>
    </row>
    <row r="21" spans="1:17" x14ac:dyDescent="0.2">
      <c r="A21" s="87"/>
      <c r="B21" s="162"/>
      <c r="C21" s="161" t="s">
        <v>54</v>
      </c>
      <c r="D21" s="162" t="s">
        <v>73</v>
      </c>
      <c r="E21" s="161" t="str">
        <f t="shared" si="3"/>
        <v>13M</v>
      </c>
      <c r="F21" s="160" t="s">
        <v>164</v>
      </c>
      <c r="G21" s="160" t="s">
        <v>157</v>
      </c>
      <c r="H21" s="160">
        <f t="shared" si="0"/>
        <v>0</v>
      </c>
      <c r="I21" s="159">
        <v>0</v>
      </c>
      <c r="J21" s="158" t="str">
        <f t="shared" si="1"/>
        <v>USDOIS13M_Quote</v>
      </c>
      <c r="K21" s="158" t="str">
        <f t="shared" si="2"/>
        <v>USD_YCONRH_OIS13M</v>
      </c>
      <c r="L21" s="157" t="str">
        <f>_xll.qlOISRateHelper(K21,2,C21,J21,$L$4,,Permanent,,ObjectOverwrite)</f>
        <v>USD_YCONRH_OIS13M#0001</v>
      </c>
      <c r="M21" s="88" t="str">
        <f>_xll.ohRangeRetrieveError(L21)</f>
        <v/>
      </c>
      <c r="N21" s="154"/>
      <c r="P21" s="156">
        <f>_xll.qlRateHelperEarliestDate(L21)</f>
        <v>41772</v>
      </c>
      <c r="Q21" s="156">
        <f>_xll.qlRateHelperLatestDate($L21)</f>
        <v>42170</v>
      </c>
    </row>
    <row r="22" spans="1:17" x14ac:dyDescent="0.2">
      <c r="A22" s="87"/>
      <c r="B22" s="162"/>
      <c r="C22" s="161" t="s">
        <v>53</v>
      </c>
      <c r="D22" s="162" t="s">
        <v>73</v>
      </c>
      <c r="E22" s="161" t="str">
        <f t="shared" si="3"/>
        <v>14M</v>
      </c>
      <c r="F22" s="160" t="s">
        <v>164</v>
      </c>
      <c r="G22" s="160" t="s">
        <v>157</v>
      </c>
      <c r="H22" s="160">
        <f t="shared" si="0"/>
        <v>0</v>
      </c>
      <c r="I22" s="159">
        <v>0</v>
      </c>
      <c r="J22" s="158" t="str">
        <f t="shared" si="1"/>
        <v>USDOIS14M_Quote</v>
      </c>
      <c r="K22" s="158" t="str">
        <f t="shared" si="2"/>
        <v>USD_YCONRH_OIS14M</v>
      </c>
      <c r="L22" s="157" t="str">
        <f>_xll.qlOISRateHelper(K22,2,C22,J22,$L$4,,Permanent,,ObjectOverwrite)</f>
        <v>USD_YCONRH_OIS14M#0001</v>
      </c>
      <c r="M22" s="88" t="str">
        <f>_xll.ohRangeRetrieveError(L22)</f>
        <v/>
      </c>
      <c r="N22" s="154"/>
      <c r="P22" s="156">
        <f>_xll.qlRateHelperEarliestDate(L22)</f>
        <v>41772</v>
      </c>
      <c r="Q22" s="156">
        <f>_xll.qlRateHelperLatestDate($L22)</f>
        <v>42198</v>
      </c>
    </row>
    <row r="23" spans="1:17" x14ac:dyDescent="0.2">
      <c r="A23" s="87"/>
      <c r="B23" s="162"/>
      <c r="C23" s="161" t="s">
        <v>35</v>
      </c>
      <c r="D23" s="162" t="s">
        <v>73</v>
      </c>
      <c r="E23" s="161" t="str">
        <f t="shared" si="3"/>
        <v>15M</v>
      </c>
      <c r="F23" s="160" t="s">
        <v>164</v>
      </c>
      <c r="G23" s="160" t="s">
        <v>157</v>
      </c>
      <c r="H23" s="160">
        <f t="shared" si="0"/>
        <v>0</v>
      </c>
      <c r="I23" s="159">
        <v>0</v>
      </c>
      <c r="J23" s="158" t="str">
        <f t="shared" si="1"/>
        <v>USDOIS15M_Quote</v>
      </c>
      <c r="K23" s="158" t="str">
        <f t="shared" si="2"/>
        <v>USD_YCONRH_OIS15M</v>
      </c>
      <c r="L23" s="157" t="str">
        <f>_xll.qlOISRateHelper(K23,2,C23,J23,$L$4,,Permanent,,ObjectOverwrite)</f>
        <v>USD_YCONRH_OIS15M#0001</v>
      </c>
      <c r="M23" s="88" t="str">
        <f>_xll.ohRangeRetrieveError(L23)</f>
        <v/>
      </c>
      <c r="N23" s="154"/>
      <c r="P23" s="156">
        <f>_xll.qlRateHelperEarliestDate(L23)</f>
        <v>41772</v>
      </c>
      <c r="Q23" s="156">
        <f>_xll.qlRateHelperLatestDate($L23)</f>
        <v>42229</v>
      </c>
    </row>
    <row r="24" spans="1:17" x14ac:dyDescent="0.2">
      <c r="A24" s="87"/>
      <c r="B24" s="162"/>
      <c r="C24" s="161" t="s">
        <v>52</v>
      </c>
      <c r="D24" s="162" t="s">
        <v>73</v>
      </c>
      <c r="E24" s="161" t="str">
        <f t="shared" si="3"/>
        <v>16M</v>
      </c>
      <c r="F24" s="160" t="s">
        <v>164</v>
      </c>
      <c r="G24" s="160" t="s">
        <v>157</v>
      </c>
      <c r="H24" s="160">
        <f t="shared" si="0"/>
        <v>0</v>
      </c>
      <c r="I24" s="159">
        <v>0</v>
      </c>
      <c r="J24" s="158" t="str">
        <f t="shared" si="1"/>
        <v>USDOIS16M_Quote</v>
      </c>
      <c r="K24" s="158" t="str">
        <f t="shared" si="2"/>
        <v>USD_YCONRH_OIS16M</v>
      </c>
      <c r="L24" s="157" t="str">
        <f>_xll.qlOISRateHelper(K24,2,C24,J24,$L$4,,Permanent,,ObjectOverwrite)</f>
        <v>USD_YCONRH_OIS16M#0001</v>
      </c>
      <c r="M24" s="88" t="str">
        <f>_xll.ohRangeRetrieveError(L24)</f>
        <v/>
      </c>
      <c r="N24" s="154"/>
      <c r="P24" s="156">
        <f>_xll.qlRateHelperEarliestDate(L24)</f>
        <v>41772</v>
      </c>
      <c r="Q24" s="156">
        <f>_xll.qlRateHelperLatestDate($L24)</f>
        <v>42261</v>
      </c>
    </row>
    <row r="25" spans="1:17" x14ac:dyDescent="0.2">
      <c r="A25" s="87"/>
      <c r="B25" s="162"/>
      <c r="C25" s="161" t="s">
        <v>51</v>
      </c>
      <c r="D25" s="162" t="s">
        <v>73</v>
      </c>
      <c r="E25" s="161" t="str">
        <f t="shared" si="3"/>
        <v>17M</v>
      </c>
      <c r="F25" s="160" t="s">
        <v>164</v>
      </c>
      <c r="G25" s="160" t="s">
        <v>157</v>
      </c>
      <c r="H25" s="160">
        <f t="shared" si="0"/>
        <v>0</v>
      </c>
      <c r="I25" s="159">
        <v>0</v>
      </c>
      <c r="J25" s="158" t="str">
        <f t="shared" si="1"/>
        <v>USDOIS17M_Quote</v>
      </c>
      <c r="K25" s="158" t="str">
        <f t="shared" si="2"/>
        <v>USD_YCONRH_OIS17M</v>
      </c>
      <c r="L25" s="157" t="str">
        <f>_xll.qlOISRateHelper(K25,2,C25,J25,$L$4,,Permanent,,ObjectOverwrite)</f>
        <v>USD_YCONRH_OIS17M#0001</v>
      </c>
      <c r="M25" s="88" t="str">
        <f>_xll.ohRangeRetrieveError(L25)</f>
        <v/>
      </c>
      <c r="N25" s="154"/>
      <c r="P25" s="156">
        <f>_xll.qlRateHelperEarliestDate(L25)</f>
        <v>41772</v>
      </c>
      <c r="Q25" s="156">
        <f>_xll.qlRateHelperLatestDate($L25)</f>
        <v>42290</v>
      </c>
    </row>
    <row r="26" spans="1:17" x14ac:dyDescent="0.2">
      <c r="A26" s="87"/>
      <c r="B26" s="162"/>
      <c r="C26" s="161" t="s">
        <v>34</v>
      </c>
      <c r="D26" s="162" t="s">
        <v>73</v>
      </c>
      <c r="E26" s="161" t="str">
        <f t="shared" si="3"/>
        <v>18M</v>
      </c>
      <c r="F26" s="160" t="s">
        <v>164</v>
      </c>
      <c r="G26" s="160" t="s">
        <v>157</v>
      </c>
      <c r="H26" s="160">
        <f t="shared" si="0"/>
        <v>0</v>
      </c>
      <c r="I26" s="159">
        <v>0</v>
      </c>
      <c r="J26" s="158" t="str">
        <f t="shared" si="1"/>
        <v>USDOIS18M_Quote</v>
      </c>
      <c r="K26" s="158" t="str">
        <f t="shared" si="2"/>
        <v>USD_YCONRH_OIS18M</v>
      </c>
      <c r="L26" s="157" t="str">
        <f>_xll.qlOISRateHelper(K26,2,C26,J26,$L$4,,Permanent,,ObjectOverwrite)</f>
        <v>USD_YCONRH_OIS18M#0001</v>
      </c>
      <c r="M26" s="88" t="str">
        <f>_xll.ohRangeRetrieveError(L26)</f>
        <v/>
      </c>
      <c r="N26" s="154"/>
      <c r="P26" s="156">
        <f>_xll.qlRateHelperEarliestDate(L26)</f>
        <v>41772</v>
      </c>
      <c r="Q26" s="156">
        <f>_xll.qlRateHelperLatestDate($L26)</f>
        <v>42321</v>
      </c>
    </row>
    <row r="27" spans="1:17" x14ac:dyDescent="0.2">
      <c r="A27" s="87"/>
      <c r="B27" s="162"/>
      <c r="C27" s="161" t="s">
        <v>50</v>
      </c>
      <c r="D27" s="162" t="s">
        <v>73</v>
      </c>
      <c r="E27" s="161" t="str">
        <f t="shared" si="3"/>
        <v>19M</v>
      </c>
      <c r="F27" s="160" t="s">
        <v>164</v>
      </c>
      <c r="G27" s="160" t="s">
        <v>157</v>
      </c>
      <c r="H27" s="160">
        <f t="shared" si="0"/>
        <v>0</v>
      </c>
      <c r="I27" s="159">
        <v>0</v>
      </c>
      <c r="J27" s="158" t="str">
        <f t="shared" si="1"/>
        <v>USDOIS19M_Quote</v>
      </c>
      <c r="K27" s="158" t="str">
        <f t="shared" si="2"/>
        <v>USD_YCONRH_OIS19M</v>
      </c>
      <c r="L27" s="157" t="str">
        <f>_xll.qlOISRateHelper(K27,2,C27,J27,$L$4,,Permanent,,ObjectOverwrite)</f>
        <v>USD_YCONRH_OIS19M#0001</v>
      </c>
      <c r="M27" s="88" t="str">
        <f>_xll.ohRangeRetrieveError(L27)</f>
        <v/>
      </c>
      <c r="N27" s="154"/>
      <c r="P27" s="156">
        <f>_xll.qlRateHelperEarliestDate(L27)</f>
        <v>41772</v>
      </c>
      <c r="Q27" s="156">
        <f>_xll.qlRateHelperLatestDate($L27)</f>
        <v>42352</v>
      </c>
    </row>
    <row r="28" spans="1:17" x14ac:dyDescent="0.2">
      <c r="A28" s="87"/>
      <c r="B28" s="162"/>
      <c r="C28" s="161" t="s">
        <v>49</v>
      </c>
      <c r="D28" s="162" t="s">
        <v>73</v>
      </c>
      <c r="E28" s="161" t="str">
        <f t="shared" si="3"/>
        <v>20M</v>
      </c>
      <c r="F28" s="160" t="s">
        <v>164</v>
      </c>
      <c r="G28" s="160" t="s">
        <v>157</v>
      </c>
      <c r="H28" s="160">
        <f t="shared" si="0"/>
        <v>0</v>
      </c>
      <c r="I28" s="159">
        <v>0</v>
      </c>
      <c r="J28" s="158" t="str">
        <f t="shared" si="1"/>
        <v>USDOIS20M_Quote</v>
      </c>
      <c r="K28" s="158" t="str">
        <f t="shared" si="2"/>
        <v>USD_YCONRH_OIS20M</v>
      </c>
      <c r="L28" s="157" t="str">
        <f>_xll.qlOISRateHelper(K28,2,C28,J28,$L$4,,Permanent,,ObjectOverwrite)</f>
        <v>USD_YCONRH_OIS20M#0001</v>
      </c>
      <c r="M28" s="88" t="str">
        <f>_xll.ohRangeRetrieveError(L28)</f>
        <v/>
      </c>
      <c r="N28" s="154"/>
      <c r="P28" s="156">
        <f>_xll.qlRateHelperEarliestDate(L28)</f>
        <v>41772</v>
      </c>
      <c r="Q28" s="156">
        <f>_xll.qlRateHelperLatestDate($L28)</f>
        <v>42382</v>
      </c>
    </row>
    <row r="29" spans="1:17" x14ac:dyDescent="0.2">
      <c r="A29" s="87"/>
      <c r="B29" s="162"/>
      <c r="C29" s="161" t="s">
        <v>33</v>
      </c>
      <c r="D29" s="162" t="s">
        <v>73</v>
      </c>
      <c r="E29" s="161" t="str">
        <f t="shared" si="3"/>
        <v>21M</v>
      </c>
      <c r="F29" s="160" t="s">
        <v>164</v>
      </c>
      <c r="G29" s="160" t="s">
        <v>157</v>
      </c>
      <c r="H29" s="160">
        <f t="shared" si="0"/>
        <v>0</v>
      </c>
      <c r="I29" s="159">
        <v>0</v>
      </c>
      <c r="J29" s="158" t="str">
        <f t="shared" si="1"/>
        <v>USDOIS21M_Quote</v>
      </c>
      <c r="K29" s="158" t="str">
        <f t="shared" si="2"/>
        <v>USD_YCONRH_OIS21M</v>
      </c>
      <c r="L29" s="157" t="str">
        <f>_xll.qlOISRateHelper(K29,2,C29,J29,$L$4,,Permanent,,ObjectOverwrite)</f>
        <v>USD_YCONRH_OIS21M#0001</v>
      </c>
      <c r="M29" s="88" t="str">
        <f>_xll.ohRangeRetrieveError(L29)</f>
        <v/>
      </c>
      <c r="N29" s="154"/>
      <c r="P29" s="156">
        <f>_xll.qlRateHelperEarliestDate(L29)</f>
        <v>41772</v>
      </c>
      <c r="Q29" s="156">
        <f>_xll.qlRateHelperLatestDate($L29)</f>
        <v>42416</v>
      </c>
    </row>
    <row r="30" spans="1:17" x14ac:dyDescent="0.2">
      <c r="A30" s="87"/>
      <c r="B30" s="162"/>
      <c r="C30" s="161" t="s">
        <v>48</v>
      </c>
      <c r="D30" s="162" t="s">
        <v>73</v>
      </c>
      <c r="E30" s="161" t="str">
        <f t="shared" si="3"/>
        <v>22M</v>
      </c>
      <c r="F30" s="160" t="s">
        <v>164</v>
      </c>
      <c r="G30" s="160" t="s">
        <v>157</v>
      </c>
      <c r="H30" s="160">
        <f t="shared" si="0"/>
        <v>0</v>
      </c>
      <c r="I30" s="159">
        <v>0</v>
      </c>
      <c r="J30" s="158" t="str">
        <f t="shared" si="1"/>
        <v>USDOIS22M_Quote</v>
      </c>
      <c r="K30" s="158" t="str">
        <f t="shared" si="2"/>
        <v>USD_YCONRH_OIS22M</v>
      </c>
      <c r="L30" s="157" t="str">
        <f>_xll.qlOISRateHelper(K30,2,C30,J30,$L$4,,Permanent,,ObjectOverwrite)</f>
        <v>USD_YCONRH_OIS22M#0001</v>
      </c>
      <c r="M30" s="88" t="str">
        <f>_xll.ohRangeRetrieveError(L30)</f>
        <v/>
      </c>
      <c r="N30" s="154"/>
      <c r="P30" s="156">
        <f>_xll.qlRateHelperEarliestDate(L30)</f>
        <v>41772</v>
      </c>
      <c r="Q30" s="156">
        <f>_xll.qlRateHelperLatestDate($L30)</f>
        <v>42443</v>
      </c>
    </row>
    <row r="31" spans="1:17" x14ac:dyDescent="0.2">
      <c r="A31" s="87"/>
      <c r="B31" s="162"/>
      <c r="C31" s="161" t="s">
        <v>47</v>
      </c>
      <c r="D31" s="162" t="s">
        <v>73</v>
      </c>
      <c r="E31" s="161" t="str">
        <f t="shared" si="3"/>
        <v>23M</v>
      </c>
      <c r="F31" s="160" t="s">
        <v>164</v>
      </c>
      <c r="G31" s="160" t="s">
        <v>157</v>
      </c>
      <c r="H31" s="160">
        <f t="shared" si="0"/>
        <v>0</v>
      </c>
      <c r="I31" s="159">
        <v>0</v>
      </c>
      <c r="J31" s="158" t="str">
        <f t="shared" si="1"/>
        <v>USDOIS23M_Quote</v>
      </c>
      <c r="K31" s="158" t="str">
        <f t="shared" si="2"/>
        <v>USD_YCONRH_OIS23M</v>
      </c>
      <c r="L31" s="157" t="str">
        <f>_xll.qlOISRateHelper(K31,2,C31,J31,$L$4,,Permanent,,ObjectOverwrite)</f>
        <v>USD_YCONRH_OIS23M#0001</v>
      </c>
      <c r="M31" s="88" t="str">
        <f>_xll.ohRangeRetrieveError(L31)</f>
        <v/>
      </c>
      <c r="N31" s="154"/>
      <c r="P31" s="156">
        <f>_xll.qlRateHelperEarliestDate(L31)</f>
        <v>41772</v>
      </c>
      <c r="Q31" s="156">
        <f>_xll.qlRateHelperLatestDate($L31)</f>
        <v>42473</v>
      </c>
    </row>
    <row r="32" spans="1:17" x14ac:dyDescent="0.2">
      <c r="A32" s="87"/>
      <c r="B32" s="162"/>
      <c r="C32" s="161" t="s">
        <v>32</v>
      </c>
      <c r="D32" s="162" t="s">
        <v>73</v>
      </c>
      <c r="E32" s="161" t="str">
        <f t="shared" si="3"/>
        <v>2Y</v>
      </c>
      <c r="F32" s="160" t="s">
        <v>164</v>
      </c>
      <c r="G32" s="160" t="s">
        <v>157</v>
      </c>
      <c r="H32" s="160">
        <f t="shared" si="0"/>
        <v>0</v>
      </c>
      <c r="I32" s="159">
        <v>0</v>
      </c>
      <c r="J32" s="158" t="str">
        <f t="shared" si="1"/>
        <v>USDOIS2Y_Quote</v>
      </c>
      <c r="K32" s="158" t="str">
        <f t="shared" si="2"/>
        <v>USD_YCONRH_OIS2Y</v>
      </c>
      <c r="L32" s="157" t="str">
        <f>_xll.qlOISRateHelper(K32,2,C32,J32,$L$4,,Permanent,,ObjectOverwrite)</f>
        <v>USD_YCONRH_OIS2Y#0001</v>
      </c>
      <c r="M32" s="88" t="str">
        <f>_xll.ohRangeRetrieveError(L32)</f>
        <v/>
      </c>
      <c r="N32" s="154"/>
      <c r="P32" s="156">
        <f>_xll.qlRateHelperEarliestDate(L32)</f>
        <v>41772</v>
      </c>
      <c r="Q32" s="156">
        <f>_xll.qlRateHelperLatestDate($L32)</f>
        <v>42503</v>
      </c>
    </row>
    <row r="33" spans="1:17" x14ac:dyDescent="0.2">
      <c r="A33" s="87"/>
      <c r="B33" s="162"/>
      <c r="C33" s="161" t="s">
        <v>46</v>
      </c>
      <c r="D33" s="162" t="s">
        <v>73</v>
      </c>
      <c r="E33" s="161" t="str">
        <f t="shared" si="3"/>
        <v>27M</v>
      </c>
      <c r="F33" s="160" t="s">
        <v>164</v>
      </c>
      <c r="G33" s="160" t="s">
        <v>157</v>
      </c>
      <c r="H33" s="160">
        <f t="shared" si="0"/>
        <v>0</v>
      </c>
      <c r="I33" s="159">
        <v>0</v>
      </c>
      <c r="J33" s="158" t="str">
        <f t="shared" si="1"/>
        <v>USDOIS27M_Quote</v>
      </c>
      <c r="K33" s="158" t="str">
        <f t="shared" si="2"/>
        <v>USD_YCONRH_OIS27M</v>
      </c>
      <c r="L33" s="157" t="str">
        <f>_xll.qlOISRateHelper(K33,2,C33,J33,$L$4,,Permanent,,ObjectOverwrite)</f>
        <v>USD_YCONRH_OIS27M#0001</v>
      </c>
      <c r="M33" s="88" t="str">
        <f>_xll.ohRangeRetrieveError(L33)</f>
        <v/>
      </c>
      <c r="N33" s="154"/>
      <c r="P33" s="156">
        <f>_xll.qlRateHelperEarliestDate(L33)</f>
        <v>41772</v>
      </c>
      <c r="Q33" s="156">
        <f>_xll.qlRateHelperLatestDate($L33)</f>
        <v>42597</v>
      </c>
    </row>
    <row r="34" spans="1:17" x14ac:dyDescent="0.2">
      <c r="A34" s="87"/>
      <c r="B34" s="162"/>
      <c r="C34" s="161" t="s">
        <v>45</v>
      </c>
      <c r="D34" s="162" t="s">
        <v>73</v>
      </c>
      <c r="E34" s="161" t="str">
        <f t="shared" si="3"/>
        <v>30M</v>
      </c>
      <c r="F34" s="160" t="s">
        <v>164</v>
      </c>
      <c r="G34" s="160" t="s">
        <v>157</v>
      </c>
      <c r="H34" s="160">
        <f t="shared" si="0"/>
        <v>0</v>
      </c>
      <c r="I34" s="159">
        <v>0</v>
      </c>
      <c r="J34" s="158" t="str">
        <f t="shared" si="1"/>
        <v>USDOIS30M_Quote</v>
      </c>
      <c r="K34" s="158" t="str">
        <f t="shared" si="2"/>
        <v>USD_YCONRH_OIS30M</v>
      </c>
      <c r="L34" s="157" t="str">
        <f>_xll.qlOISRateHelper(K34,2,C34,J34,$L$4,,Permanent,,ObjectOverwrite)</f>
        <v>USD_YCONRH_OIS30M#0001</v>
      </c>
      <c r="M34" s="88" t="str">
        <f>_xll.ohRangeRetrieveError(L34)</f>
        <v/>
      </c>
      <c r="N34" s="154"/>
      <c r="P34" s="156">
        <f>_xll.qlRateHelperEarliestDate(L34)</f>
        <v>41772</v>
      </c>
      <c r="Q34" s="156">
        <f>_xll.qlRateHelperLatestDate($L34)</f>
        <v>42688</v>
      </c>
    </row>
    <row r="35" spans="1:17" x14ac:dyDescent="0.2">
      <c r="A35" s="87"/>
      <c r="B35" s="162"/>
      <c r="C35" s="161" t="s">
        <v>44</v>
      </c>
      <c r="D35" s="162" t="s">
        <v>73</v>
      </c>
      <c r="E35" s="161" t="str">
        <f t="shared" si="3"/>
        <v>33M</v>
      </c>
      <c r="F35" s="160" t="s">
        <v>164</v>
      </c>
      <c r="G35" s="160" t="s">
        <v>157</v>
      </c>
      <c r="H35" s="160">
        <f t="shared" si="0"/>
        <v>0</v>
      </c>
      <c r="I35" s="159">
        <v>0</v>
      </c>
      <c r="J35" s="158" t="str">
        <f t="shared" si="1"/>
        <v>USDOIS33M_Quote</v>
      </c>
      <c r="K35" s="158" t="str">
        <f t="shared" si="2"/>
        <v>USD_YCONRH_OIS33M</v>
      </c>
      <c r="L35" s="157" t="str">
        <f>_xll.qlOISRateHelper(K35,2,C35,J35,$L$4,,Permanent,,ObjectOverwrite)</f>
        <v>USD_YCONRH_OIS33M#0001</v>
      </c>
      <c r="M35" s="88" t="str">
        <f>_xll.ohRangeRetrieveError(L35)</f>
        <v/>
      </c>
      <c r="N35" s="154"/>
      <c r="P35" s="156">
        <f>_xll.qlRateHelperEarliestDate(L35)</f>
        <v>41772</v>
      </c>
      <c r="Q35" s="156">
        <f>_xll.qlRateHelperLatestDate($L35)</f>
        <v>42779</v>
      </c>
    </row>
    <row r="36" spans="1:17" x14ac:dyDescent="0.2">
      <c r="A36" s="87"/>
      <c r="B36" s="162"/>
      <c r="C36" s="161" t="s">
        <v>31</v>
      </c>
      <c r="D36" s="162" t="s">
        <v>73</v>
      </c>
      <c r="E36" s="161" t="str">
        <f t="shared" si="3"/>
        <v>3Y</v>
      </c>
      <c r="F36" s="160" t="s">
        <v>164</v>
      </c>
      <c r="G36" s="160" t="s">
        <v>157</v>
      </c>
      <c r="H36" s="160">
        <f t="shared" si="0"/>
        <v>0</v>
      </c>
      <c r="I36" s="159">
        <v>0</v>
      </c>
      <c r="J36" s="158" t="str">
        <f t="shared" si="1"/>
        <v>USDOIS3Y_Quote</v>
      </c>
      <c r="K36" s="158" t="str">
        <f t="shared" si="2"/>
        <v>USD_YCONRH_OIS3Y</v>
      </c>
      <c r="L36" s="157" t="str">
        <f>_xll.qlOISRateHelper(K36,2,C36,J36,$L$4,,Permanent,,ObjectOverwrite)</f>
        <v>USD_YCONRH_OIS3Y#0001</v>
      </c>
      <c r="M36" s="88" t="str">
        <f>_xll.ohRangeRetrieveError(L36)</f>
        <v/>
      </c>
      <c r="N36" s="154"/>
      <c r="P36" s="156">
        <f>_xll.qlRateHelperEarliestDate(L36)</f>
        <v>41772</v>
      </c>
      <c r="Q36" s="156">
        <f>_xll.qlRateHelperLatestDate($L36)</f>
        <v>42870</v>
      </c>
    </row>
    <row r="37" spans="1:17" x14ac:dyDescent="0.2">
      <c r="A37" s="87"/>
      <c r="B37" s="162"/>
      <c r="C37" s="161" t="s">
        <v>43</v>
      </c>
      <c r="D37" s="162" t="s">
        <v>73</v>
      </c>
      <c r="E37" s="161" t="str">
        <f t="shared" si="3"/>
        <v>39M</v>
      </c>
      <c r="F37" s="160" t="s">
        <v>164</v>
      </c>
      <c r="G37" s="160" t="s">
        <v>157</v>
      </c>
      <c r="H37" s="160">
        <f t="shared" si="0"/>
        <v>0</v>
      </c>
      <c r="I37" s="159">
        <v>0</v>
      </c>
      <c r="J37" s="158" t="str">
        <f t="shared" si="1"/>
        <v>USDOIS39M_Quote</v>
      </c>
      <c r="K37" s="158" t="str">
        <f t="shared" si="2"/>
        <v>USD_YCONRH_OIS39M</v>
      </c>
      <c r="L37" s="157" t="str">
        <f>_xll.qlOISRateHelper(K37,2,C37,J37,$L$4,,Permanent,,ObjectOverwrite)</f>
        <v>USD_YCONRH_OIS39M#0001</v>
      </c>
      <c r="M37" s="88" t="str">
        <f>_xll.ohRangeRetrieveError(L37)</f>
        <v/>
      </c>
      <c r="N37" s="154"/>
      <c r="P37" s="156">
        <f>_xll.qlRateHelperEarliestDate(L37)</f>
        <v>41772</v>
      </c>
      <c r="Q37" s="156">
        <f>_xll.qlRateHelperLatestDate($L37)</f>
        <v>42961</v>
      </c>
    </row>
    <row r="38" spans="1:17" x14ac:dyDescent="0.2">
      <c r="A38" s="87"/>
      <c r="B38" s="162"/>
      <c r="C38" s="161" t="s">
        <v>42</v>
      </c>
      <c r="D38" s="162" t="s">
        <v>73</v>
      </c>
      <c r="E38" s="161" t="str">
        <f t="shared" si="3"/>
        <v>42M</v>
      </c>
      <c r="F38" s="160" t="s">
        <v>164</v>
      </c>
      <c r="G38" s="160" t="s">
        <v>157</v>
      </c>
      <c r="H38" s="160">
        <f t="shared" ref="H38:H59" si="4">DayCounter</f>
        <v>0</v>
      </c>
      <c r="I38" s="159">
        <v>0</v>
      </c>
      <c r="J38" s="158" t="str">
        <f t="shared" ref="J38:J59" si="5">Currency&amp;$D38&amp;$E38&amp;QuoteSuffix</f>
        <v>USDOIS42M_Quote</v>
      </c>
      <c r="K38" s="158" t="str">
        <f t="shared" ref="K38:K59" si="6">$K$2&amp;"_"&amp;$D38&amp;$E38</f>
        <v>USD_YCONRH_OIS42M</v>
      </c>
      <c r="L38" s="157" t="str">
        <f>_xll.qlOISRateHelper(K38,2,C38,J38,$L$4,,Permanent,,ObjectOverwrite)</f>
        <v>USD_YCONRH_OIS42M#0001</v>
      </c>
      <c r="M38" s="88" t="str">
        <f>_xll.ohRangeRetrieveError(L38)</f>
        <v/>
      </c>
      <c r="N38" s="154"/>
      <c r="P38" s="156"/>
      <c r="Q38" s="156"/>
    </row>
    <row r="39" spans="1:17" x14ac:dyDescent="0.2">
      <c r="A39" s="87"/>
      <c r="B39" s="162"/>
      <c r="C39" s="161" t="s">
        <v>41</v>
      </c>
      <c r="D39" s="162" t="s">
        <v>73</v>
      </c>
      <c r="E39" s="161" t="str">
        <f t="shared" ref="E39:E59" si="7">C39</f>
        <v>45M</v>
      </c>
      <c r="F39" s="160" t="s">
        <v>164</v>
      </c>
      <c r="G39" s="160" t="s">
        <v>157</v>
      </c>
      <c r="H39" s="160">
        <f t="shared" si="4"/>
        <v>0</v>
      </c>
      <c r="I39" s="159">
        <v>0</v>
      </c>
      <c r="J39" s="158" t="str">
        <f t="shared" si="5"/>
        <v>USDOIS45M_Quote</v>
      </c>
      <c r="K39" s="158" t="str">
        <f t="shared" si="6"/>
        <v>USD_YCONRH_OIS45M</v>
      </c>
      <c r="L39" s="157" t="str">
        <f>_xll.qlOISRateHelper(K39,2,C39,J39,$L$4,,Permanent,,ObjectOverwrite)</f>
        <v>USD_YCONRH_OIS45M#0001</v>
      </c>
      <c r="M39" s="88" t="str">
        <f>_xll.ohRangeRetrieveError(L39)</f>
        <v/>
      </c>
      <c r="N39" s="154"/>
      <c r="P39" s="156"/>
      <c r="Q39" s="156"/>
    </row>
    <row r="40" spans="1:17" x14ac:dyDescent="0.2">
      <c r="A40" s="87"/>
      <c r="B40" s="162"/>
      <c r="C40" s="161" t="s">
        <v>30</v>
      </c>
      <c r="D40" s="162" t="s">
        <v>73</v>
      </c>
      <c r="E40" s="161" t="str">
        <f t="shared" si="7"/>
        <v>4Y</v>
      </c>
      <c r="F40" s="160" t="s">
        <v>164</v>
      </c>
      <c r="G40" s="160" t="s">
        <v>157</v>
      </c>
      <c r="H40" s="160">
        <f t="shared" si="4"/>
        <v>0</v>
      </c>
      <c r="I40" s="159">
        <v>0</v>
      </c>
      <c r="J40" s="158" t="str">
        <f t="shared" si="5"/>
        <v>USDOIS4Y_Quote</v>
      </c>
      <c r="K40" s="158" t="str">
        <f t="shared" si="6"/>
        <v>USD_YCONRH_OIS4Y</v>
      </c>
      <c r="L40" s="157" t="str">
        <f>_xll.qlOISRateHelper(K40,2,C40,J40,$L$4,,Permanent,,ObjectOverwrite)</f>
        <v>USD_YCONRH_OIS4Y#0001</v>
      </c>
      <c r="M40" s="88" t="str">
        <f>_xll.ohRangeRetrieveError(L40)</f>
        <v/>
      </c>
      <c r="N40" s="154"/>
      <c r="P40" s="156"/>
      <c r="Q40" s="156"/>
    </row>
    <row r="41" spans="1:17" x14ac:dyDescent="0.2">
      <c r="A41" s="87"/>
      <c r="B41" s="162"/>
      <c r="C41" s="161" t="s">
        <v>40</v>
      </c>
      <c r="D41" s="162" t="s">
        <v>73</v>
      </c>
      <c r="E41" s="161" t="str">
        <f t="shared" si="7"/>
        <v>51M</v>
      </c>
      <c r="F41" s="160" t="s">
        <v>164</v>
      </c>
      <c r="G41" s="160" t="s">
        <v>157</v>
      </c>
      <c r="H41" s="160">
        <f t="shared" si="4"/>
        <v>0</v>
      </c>
      <c r="I41" s="159">
        <v>0</v>
      </c>
      <c r="J41" s="158" t="str">
        <f t="shared" si="5"/>
        <v>USDOIS51M_Quote</v>
      </c>
      <c r="K41" s="158" t="str">
        <f t="shared" si="6"/>
        <v>USD_YCONRH_OIS51M</v>
      </c>
      <c r="L41" s="157" t="str">
        <f>_xll.qlOISRateHelper(K41,2,C41,J41,$L$4,,Permanent,,ObjectOverwrite)</f>
        <v>USD_YCONRH_OIS51M#0001</v>
      </c>
      <c r="M41" s="88" t="str">
        <f>_xll.ohRangeRetrieveError(L41)</f>
        <v/>
      </c>
      <c r="N41" s="154"/>
      <c r="P41" s="156"/>
      <c r="Q41" s="156"/>
    </row>
    <row r="42" spans="1:17" x14ac:dyDescent="0.2">
      <c r="A42" s="87"/>
      <c r="B42" s="162"/>
      <c r="C42" s="161" t="s">
        <v>39</v>
      </c>
      <c r="D42" s="162" t="s">
        <v>73</v>
      </c>
      <c r="E42" s="161" t="str">
        <f t="shared" si="7"/>
        <v>54M</v>
      </c>
      <c r="F42" s="160" t="s">
        <v>164</v>
      </c>
      <c r="G42" s="160" t="s">
        <v>157</v>
      </c>
      <c r="H42" s="160">
        <f t="shared" si="4"/>
        <v>0</v>
      </c>
      <c r="I42" s="159">
        <v>0</v>
      </c>
      <c r="J42" s="158" t="str">
        <f t="shared" si="5"/>
        <v>USDOIS54M_Quote</v>
      </c>
      <c r="K42" s="158" t="str">
        <f t="shared" si="6"/>
        <v>USD_YCONRH_OIS54M</v>
      </c>
      <c r="L42" s="157" t="str">
        <f>_xll.qlOISRateHelper(K42,2,C42,J42,$L$4,,Permanent,,ObjectOverwrite)</f>
        <v>USD_YCONRH_OIS54M#0001</v>
      </c>
      <c r="M42" s="88" t="str">
        <f>_xll.ohRangeRetrieveError(L42)</f>
        <v/>
      </c>
      <c r="N42" s="154"/>
      <c r="P42" s="156"/>
      <c r="Q42" s="156"/>
    </row>
    <row r="43" spans="1:17" x14ac:dyDescent="0.2">
      <c r="A43" s="87"/>
      <c r="B43" s="162"/>
      <c r="C43" s="161" t="s">
        <v>38</v>
      </c>
      <c r="D43" s="162" t="s">
        <v>73</v>
      </c>
      <c r="E43" s="161" t="str">
        <f t="shared" si="7"/>
        <v>57M</v>
      </c>
      <c r="F43" s="160" t="s">
        <v>164</v>
      </c>
      <c r="G43" s="160" t="s">
        <v>157</v>
      </c>
      <c r="H43" s="160">
        <f t="shared" si="4"/>
        <v>0</v>
      </c>
      <c r="I43" s="159">
        <v>0</v>
      </c>
      <c r="J43" s="158" t="str">
        <f t="shared" si="5"/>
        <v>USDOIS57M_Quote</v>
      </c>
      <c r="K43" s="158" t="str">
        <f t="shared" si="6"/>
        <v>USD_YCONRH_OIS57M</v>
      </c>
      <c r="L43" s="157" t="str">
        <f>_xll.qlOISRateHelper(K43,2,C43,J43,$L$4,,Permanent,,ObjectOverwrite)</f>
        <v>USD_YCONRH_OIS57M#0001</v>
      </c>
      <c r="M43" s="88" t="str">
        <f>_xll.ohRangeRetrieveError(L43)</f>
        <v/>
      </c>
      <c r="N43" s="154"/>
      <c r="P43" s="156"/>
      <c r="Q43" s="156"/>
    </row>
    <row r="44" spans="1:17" x14ac:dyDescent="0.2">
      <c r="A44" s="87"/>
      <c r="B44" s="162"/>
      <c r="C44" s="161" t="s">
        <v>29</v>
      </c>
      <c r="D44" s="162" t="s">
        <v>73</v>
      </c>
      <c r="E44" s="161" t="str">
        <f t="shared" si="7"/>
        <v>5Y</v>
      </c>
      <c r="F44" s="160" t="s">
        <v>164</v>
      </c>
      <c r="G44" s="160" t="s">
        <v>157</v>
      </c>
      <c r="H44" s="160">
        <f t="shared" si="4"/>
        <v>0</v>
      </c>
      <c r="I44" s="159">
        <v>0</v>
      </c>
      <c r="J44" s="158" t="str">
        <f t="shared" si="5"/>
        <v>USDOIS5Y_Quote</v>
      </c>
      <c r="K44" s="158" t="str">
        <f t="shared" si="6"/>
        <v>USD_YCONRH_OIS5Y</v>
      </c>
      <c r="L44" s="157" t="str">
        <f>_xll.qlOISRateHelper(K44,2,C44,J44,$L$4,,Permanent,,ObjectOverwrite)</f>
        <v>USD_YCONRH_OIS5Y#0001</v>
      </c>
      <c r="M44" s="88" t="str">
        <f>_xll.ohRangeRetrieveError(L44)</f>
        <v/>
      </c>
      <c r="N44" s="154"/>
      <c r="P44" s="156"/>
      <c r="Q44" s="156"/>
    </row>
    <row r="45" spans="1:17" x14ac:dyDescent="0.2">
      <c r="A45" s="87"/>
      <c r="B45" s="162"/>
      <c r="C45" s="161" t="s">
        <v>28</v>
      </c>
      <c r="D45" s="162" t="s">
        <v>73</v>
      </c>
      <c r="E45" s="161" t="str">
        <f t="shared" si="7"/>
        <v>6Y</v>
      </c>
      <c r="F45" s="160" t="s">
        <v>164</v>
      </c>
      <c r="G45" s="160" t="s">
        <v>157</v>
      </c>
      <c r="H45" s="160">
        <f t="shared" si="4"/>
        <v>0</v>
      </c>
      <c r="I45" s="159">
        <v>0</v>
      </c>
      <c r="J45" s="158" t="str">
        <f t="shared" si="5"/>
        <v>USDOIS6Y_Quote</v>
      </c>
      <c r="K45" s="158" t="str">
        <f t="shared" si="6"/>
        <v>USD_YCONRH_OIS6Y</v>
      </c>
      <c r="L45" s="157" t="str">
        <f>_xll.qlOISRateHelper(K45,2,C45,J45,$L$4,,Permanent,,ObjectOverwrite)</f>
        <v>USD_YCONRH_OIS6Y#0001</v>
      </c>
      <c r="M45" s="88" t="str">
        <f>_xll.ohRangeRetrieveError(L45)</f>
        <v/>
      </c>
      <c r="N45" s="154"/>
      <c r="P45" s="156"/>
      <c r="Q45" s="156"/>
    </row>
    <row r="46" spans="1:17" x14ac:dyDescent="0.2">
      <c r="A46" s="87"/>
      <c r="B46" s="162"/>
      <c r="C46" s="161" t="s">
        <v>27</v>
      </c>
      <c r="D46" s="162" t="s">
        <v>73</v>
      </c>
      <c r="E46" s="161" t="str">
        <f t="shared" si="7"/>
        <v>7Y</v>
      </c>
      <c r="F46" s="160" t="s">
        <v>164</v>
      </c>
      <c r="G46" s="160" t="s">
        <v>157</v>
      </c>
      <c r="H46" s="160">
        <f t="shared" si="4"/>
        <v>0</v>
      </c>
      <c r="I46" s="159">
        <v>0</v>
      </c>
      <c r="J46" s="158" t="str">
        <f t="shared" si="5"/>
        <v>USDOIS7Y_Quote</v>
      </c>
      <c r="K46" s="158" t="str">
        <f t="shared" si="6"/>
        <v>USD_YCONRH_OIS7Y</v>
      </c>
      <c r="L46" s="157" t="str">
        <f>_xll.qlOISRateHelper(K46,2,C46,J46,$L$4,,Permanent,,ObjectOverwrite)</f>
        <v>USD_YCONRH_OIS7Y#0001</v>
      </c>
      <c r="M46" s="88" t="str">
        <f>_xll.ohRangeRetrieveError(L46)</f>
        <v/>
      </c>
      <c r="N46" s="154"/>
      <c r="P46" s="156"/>
      <c r="Q46" s="156"/>
    </row>
    <row r="47" spans="1:17" x14ac:dyDescent="0.2">
      <c r="A47" s="87"/>
      <c r="B47" s="162"/>
      <c r="C47" s="161" t="s">
        <v>26</v>
      </c>
      <c r="D47" s="162" t="s">
        <v>73</v>
      </c>
      <c r="E47" s="161" t="str">
        <f t="shared" si="7"/>
        <v>8Y</v>
      </c>
      <c r="F47" s="160" t="s">
        <v>164</v>
      </c>
      <c r="G47" s="160" t="s">
        <v>157</v>
      </c>
      <c r="H47" s="160">
        <f t="shared" si="4"/>
        <v>0</v>
      </c>
      <c r="I47" s="159">
        <v>0</v>
      </c>
      <c r="J47" s="158" t="str">
        <f t="shared" si="5"/>
        <v>USDOIS8Y_Quote</v>
      </c>
      <c r="K47" s="158" t="str">
        <f t="shared" si="6"/>
        <v>USD_YCONRH_OIS8Y</v>
      </c>
      <c r="L47" s="157" t="str">
        <f>_xll.qlOISRateHelper(K47,2,C47,J47,$L$4,,Permanent,,ObjectOverwrite)</f>
        <v>USD_YCONRH_OIS8Y#0001</v>
      </c>
      <c r="M47" s="88" t="str">
        <f>_xll.ohRangeRetrieveError(L47)</f>
        <v/>
      </c>
      <c r="N47" s="154"/>
      <c r="P47" s="156"/>
      <c r="Q47" s="156"/>
    </row>
    <row r="48" spans="1:17" x14ac:dyDescent="0.2">
      <c r="A48" s="87"/>
      <c r="B48" s="162"/>
      <c r="C48" s="161" t="s">
        <v>25</v>
      </c>
      <c r="D48" s="162" t="s">
        <v>73</v>
      </c>
      <c r="E48" s="161" t="str">
        <f t="shared" si="7"/>
        <v>9Y</v>
      </c>
      <c r="F48" s="160" t="s">
        <v>164</v>
      </c>
      <c r="G48" s="160" t="s">
        <v>157</v>
      </c>
      <c r="H48" s="160">
        <f t="shared" si="4"/>
        <v>0</v>
      </c>
      <c r="I48" s="159">
        <v>0</v>
      </c>
      <c r="J48" s="158" t="str">
        <f t="shared" si="5"/>
        <v>USDOIS9Y_Quote</v>
      </c>
      <c r="K48" s="158" t="str">
        <f t="shared" si="6"/>
        <v>USD_YCONRH_OIS9Y</v>
      </c>
      <c r="L48" s="157" t="str">
        <f>_xll.qlOISRateHelper(K48,2,C48,J48,$L$4,,Permanent,,ObjectOverwrite)</f>
        <v>USD_YCONRH_OIS9Y#0001</v>
      </c>
      <c r="M48" s="88" t="str">
        <f>_xll.ohRangeRetrieveError(L48)</f>
        <v/>
      </c>
      <c r="N48" s="154"/>
      <c r="P48" s="156"/>
      <c r="Q48" s="156"/>
    </row>
    <row r="49" spans="1:17" x14ac:dyDescent="0.2">
      <c r="A49" s="87"/>
      <c r="B49" s="162"/>
      <c r="C49" s="161" t="s">
        <v>24</v>
      </c>
      <c r="D49" s="162" t="s">
        <v>73</v>
      </c>
      <c r="E49" s="161" t="str">
        <f t="shared" si="7"/>
        <v>10Y</v>
      </c>
      <c r="F49" s="160" t="s">
        <v>164</v>
      </c>
      <c r="G49" s="160" t="s">
        <v>157</v>
      </c>
      <c r="H49" s="160">
        <f t="shared" si="4"/>
        <v>0</v>
      </c>
      <c r="I49" s="159">
        <v>0</v>
      </c>
      <c r="J49" s="158" t="str">
        <f t="shared" si="5"/>
        <v>USDOIS10Y_Quote</v>
      </c>
      <c r="K49" s="158" t="str">
        <f t="shared" si="6"/>
        <v>USD_YCONRH_OIS10Y</v>
      </c>
      <c r="L49" s="157" t="str">
        <f>_xll.qlOISRateHelper(K49,2,C49,J49,$L$4,,Permanent,,ObjectOverwrite)</f>
        <v>USD_YCONRH_OIS10Y#0001</v>
      </c>
      <c r="M49" s="88" t="str">
        <f>_xll.ohRangeRetrieveError(L49)</f>
        <v/>
      </c>
      <c r="N49" s="154"/>
      <c r="P49" s="156"/>
      <c r="Q49" s="156"/>
    </row>
    <row r="50" spans="1:17" x14ac:dyDescent="0.2">
      <c r="A50" s="87"/>
      <c r="B50" s="162"/>
      <c r="C50" s="161" t="s">
        <v>22</v>
      </c>
      <c r="D50" s="162" t="s">
        <v>73</v>
      </c>
      <c r="E50" s="161" t="str">
        <f t="shared" si="7"/>
        <v>12Y</v>
      </c>
      <c r="F50" s="160" t="s">
        <v>164</v>
      </c>
      <c r="G50" s="160" t="s">
        <v>157</v>
      </c>
      <c r="H50" s="160">
        <f t="shared" si="4"/>
        <v>0</v>
      </c>
      <c r="I50" s="159">
        <v>0</v>
      </c>
      <c r="J50" s="158" t="str">
        <f t="shared" si="5"/>
        <v>USDOIS12Y_Quote</v>
      </c>
      <c r="K50" s="158" t="str">
        <f t="shared" si="6"/>
        <v>USD_YCONRH_OIS12Y</v>
      </c>
      <c r="L50" s="157" t="str">
        <f>_xll.qlOISRateHelper(K50,2,C50,J50,$L$4,,Permanent,,ObjectOverwrite)</f>
        <v>USD_YCONRH_OIS12Y#0001</v>
      </c>
      <c r="M50" s="88" t="str">
        <f>_xll.ohRangeRetrieveError(L50)</f>
        <v/>
      </c>
      <c r="N50" s="154"/>
      <c r="P50" s="156"/>
      <c r="Q50" s="156"/>
    </row>
    <row r="51" spans="1:17" x14ac:dyDescent="0.2">
      <c r="A51" s="87"/>
      <c r="B51" s="162"/>
      <c r="C51" s="161" t="s">
        <v>19</v>
      </c>
      <c r="D51" s="162" t="s">
        <v>73</v>
      </c>
      <c r="E51" s="161" t="str">
        <f t="shared" si="7"/>
        <v>15Y</v>
      </c>
      <c r="F51" s="160" t="s">
        <v>164</v>
      </c>
      <c r="G51" s="160" t="s">
        <v>157</v>
      </c>
      <c r="H51" s="160">
        <f t="shared" si="4"/>
        <v>0</v>
      </c>
      <c r="I51" s="159">
        <v>0</v>
      </c>
      <c r="J51" s="158" t="str">
        <f t="shared" si="5"/>
        <v>USDOIS15Y_Quote</v>
      </c>
      <c r="K51" s="158" t="str">
        <f t="shared" si="6"/>
        <v>USD_YCONRH_OIS15Y</v>
      </c>
      <c r="L51" s="157" t="str">
        <f>_xll.qlOISRateHelper(K51,2,C51,J51,$L$4,,Permanent,,ObjectOverwrite)</f>
        <v>USD_YCONRH_OIS15Y#0001</v>
      </c>
      <c r="M51" s="88" t="str">
        <f>_xll.ohRangeRetrieveError(L51)</f>
        <v/>
      </c>
      <c r="N51" s="154"/>
      <c r="P51" s="156"/>
      <c r="Q51" s="156"/>
    </row>
    <row r="52" spans="1:17" x14ac:dyDescent="0.2">
      <c r="A52" s="87"/>
      <c r="B52" s="162"/>
      <c r="C52" s="161" t="s">
        <v>14</v>
      </c>
      <c r="D52" s="162" t="s">
        <v>73</v>
      </c>
      <c r="E52" s="161" t="str">
        <f t="shared" si="7"/>
        <v>20Y</v>
      </c>
      <c r="F52" s="160" t="s">
        <v>164</v>
      </c>
      <c r="G52" s="160" t="s">
        <v>157</v>
      </c>
      <c r="H52" s="160">
        <f t="shared" si="4"/>
        <v>0</v>
      </c>
      <c r="I52" s="159">
        <v>0</v>
      </c>
      <c r="J52" s="158" t="str">
        <f t="shared" si="5"/>
        <v>USDOIS20Y_Quote</v>
      </c>
      <c r="K52" s="158" t="str">
        <f t="shared" si="6"/>
        <v>USD_YCONRH_OIS20Y</v>
      </c>
      <c r="L52" s="157" t="str">
        <f>_xll.qlOISRateHelper(K52,2,C52,J52,$L$4,,Permanent,,ObjectOverwrite)</f>
        <v>USD_YCONRH_OIS20Y#0001</v>
      </c>
      <c r="M52" s="88" t="str">
        <f>_xll.ohRangeRetrieveError(L52)</f>
        <v/>
      </c>
      <c r="N52" s="154"/>
      <c r="P52" s="156"/>
      <c r="Q52" s="156"/>
    </row>
    <row r="53" spans="1:17" x14ac:dyDescent="0.2">
      <c r="A53" s="87"/>
      <c r="B53" s="162"/>
      <c r="C53" s="161" t="s">
        <v>9</v>
      </c>
      <c r="D53" s="162" t="s">
        <v>73</v>
      </c>
      <c r="E53" s="161" t="str">
        <f t="shared" si="7"/>
        <v>25Y</v>
      </c>
      <c r="F53" s="160" t="s">
        <v>164</v>
      </c>
      <c r="G53" s="160" t="s">
        <v>157</v>
      </c>
      <c r="H53" s="160">
        <f t="shared" si="4"/>
        <v>0</v>
      </c>
      <c r="I53" s="159">
        <v>0</v>
      </c>
      <c r="J53" s="158" t="str">
        <f t="shared" si="5"/>
        <v>USDOIS25Y_Quote</v>
      </c>
      <c r="K53" s="158" t="str">
        <f t="shared" si="6"/>
        <v>USD_YCONRH_OIS25Y</v>
      </c>
      <c r="L53" s="157" t="str">
        <f>_xll.qlOISRateHelper(K53,2,C53,J53,$L$4,,Permanent,,ObjectOverwrite)</f>
        <v>USD_YCONRH_OIS25Y#0001</v>
      </c>
      <c r="M53" s="88" t="str">
        <f>_xll.ohRangeRetrieveError(L53)</f>
        <v/>
      </c>
      <c r="N53" s="154"/>
      <c r="P53" s="156"/>
      <c r="Q53" s="156"/>
    </row>
    <row r="54" spans="1:17" x14ac:dyDescent="0.2">
      <c r="A54" s="87"/>
      <c r="B54" s="162"/>
      <c r="C54" s="161" t="s">
        <v>7</v>
      </c>
      <c r="D54" s="162" t="s">
        <v>73</v>
      </c>
      <c r="E54" s="161" t="str">
        <f t="shared" si="7"/>
        <v>27Y</v>
      </c>
      <c r="F54" s="160" t="s">
        <v>164</v>
      </c>
      <c r="G54" s="160" t="s">
        <v>157</v>
      </c>
      <c r="H54" s="160">
        <f t="shared" si="4"/>
        <v>0</v>
      </c>
      <c r="I54" s="159">
        <v>0</v>
      </c>
      <c r="J54" s="158" t="str">
        <f t="shared" si="5"/>
        <v>USDOIS27Y_Quote</v>
      </c>
      <c r="K54" s="158" t="str">
        <f t="shared" si="6"/>
        <v>USD_YCONRH_OIS27Y</v>
      </c>
      <c r="L54" s="157" t="str">
        <f>_xll.qlOISRateHelper(K54,2,C54,J54,$L$4,,Permanent,,ObjectOverwrite)</f>
        <v>USD_YCONRH_OIS27Y#0001</v>
      </c>
      <c r="M54" s="88" t="str">
        <f>_xll.ohRangeRetrieveError(L54)</f>
        <v/>
      </c>
      <c r="N54" s="154"/>
      <c r="P54" s="156"/>
      <c r="Q54" s="156"/>
    </row>
    <row r="55" spans="1:17" x14ac:dyDescent="0.2">
      <c r="A55" s="87"/>
      <c r="B55" s="162"/>
      <c r="C55" s="161" t="s">
        <v>4</v>
      </c>
      <c r="D55" s="162" t="s">
        <v>73</v>
      </c>
      <c r="E55" s="161" t="str">
        <f t="shared" si="7"/>
        <v>30Y</v>
      </c>
      <c r="F55" s="160" t="s">
        <v>164</v>
      </c>
      <c r="G55" s="160" t="s">
        <v>157</v>
      </c>
      <c r="H55" s="160">
        <f t="shared" si="4"/>
        <v>0</v>
      </c>
      <c r="I55" s="159">
        <v>0</v>
      </c>
      <c r="J55" s="158" t="str">
        <f t="shared" si="5"/>
        <v>USDOIS30Y_Quote</v>
      </c>
      <c r="K55" s="158" t="str">
        <f t="shared" si="6"/>
        <v>USD_YCONRH_OIS30Y</v>
      </c>
      <c r="L55" s="157" t="str">
        <f>_xll.qlOISRateHelper(K55,2,C55,J55,$L$4,,Permanent,,ObjectOverwrite)</f>
        <v>USD_YCONRH_OIS30Y#0001</v>
      </c>
      <c r="M55" s="88" t="str">
        <f>_xll.ohRangeRetrieveError(L55)</f>
        <v/>
      </c>
      <c r="N55" s="154"/>
      <c r="P55" s="156"/>
      <c r="Q55" s="156"/>
    </row>
    <row r="56" spans="1:17" x14ac:dyDescent="0.2">
      <c r="A56" s="87"/>
      <c r="B56" s="162"/>
      <c r="C56" s="161" t="s">
        <v>3</v>
      </c>
      <c r="D56" s="162" t="s">
        <v>73</v>
      </c>
      <c r="E56" s="161" t="str">
        <f t="shared" si="7"/>
        <v>35Y</v>
      </c>
      <c r="F56" s="160" t="s">
        <v>164</v>
      </c>
      <c r="G56" s="160" t="s">
        <v>157</v>
      </c>
      <c r="H56" s="160">
        <f t="shared" si="4"/>
        <v>0</v>
      </c>
      <c r="I56" s="159">
        <v>0</v>
      </c>
      <c r="J56" s="158" t="str">
        <f t="shared" si="5"/>
        <v>USDOIS35Y_Quote</v>
      </c>
      <c r="K56" s="158" t="str">
        <f t="shared" si="6"/>
        <v>USD_YCONRH_OIS35Y</v>
      </c>
      <c r="L56" s="157" t="str">
        <f>_xll.qlOISRateHelper(K56,2,C56,J56,$L$4,,Permanent,,ObjectOverwrite)</f>
        <v>USD_YCONRH_OIS35Y#0001</v>
      </c>
      <c r="M56" s="88" t="str">
        <f>_xll.ohRangeRetrieveError(L56)</f>
        <v/>
      </c>
      <c r="N56" s="154"/>
      <c r="P56" s="156"/>
      <c r="Q56" s="156"/>
    </row>
    <row r="57" spans="1:17" x14ac:dyDescent="0.2">
      <c r="A57" s="87"/>
      <c r="B57" s="162"/>
      <c r="C57" s="161" t="s">
        <v>2</v>
      </c>
      <c r="D57" s="162" t="s">
        <v>73</v>
      </c>
      <c r="E57" s="161" t="str">
        <f t="shared" si="7"/>
        <v>40Y</v>
      </c>
      <c r="F57" s="160" t="s">
        <v>164</v>
      </c>
      <c r="G57" s="160" t="s">
        <v>157</v>
      </c>
      <c r="H57" s="160">
        <f t="shared" si="4"/>
        <v>0</v>
      </c>
      <c r="I57" s="159">
        <v>0</v>
      </c>
      <c r="J57" s="158" t="str">
        <f t="shared" si="5"/>
        <v>USDOIS40Y_Quote</v>
      </c>
      <c r="K57" s="158" t="str">
        <f t="shared" si="6"/>
        <v>USD_YCONRH_OIS40Y</v>
      </c>
      <c r="L57" s="157" t="str">
        <f>_xll.qlOISRateHelper(K57,2,C57,J57,$L$4,,Permanent,,ObjectOverwrite)</f>
        <v>USD_YCONRH_OIS40Y#0001</v>
      </c>
      <c r="M57" s="88" t="str">
        <f>_xll.ohRangeRetrieveError(L57)</f>
        <v/>
      </c>
      <c r="N57" s="154"/>
      <c r="P57" s="156"/>
      <c r="Q57" s="156"/>
    </row>
    <row r="58" spans="1:17" x14ac:dyDescent="0.2">
      <c r="A58" s="87"/>
      <c r="B58" s="162"/>
      <c r="C58" s="161" t="s">
        <v>37</v>
      </c>
      <c r="D58" s="162" t="s">
        <v>73</v>
      </c>
      <c r="E58" s="161" t="str">
        <f t="shared" si="7"/>
        <v>45Y</v>
      </c>
      <c r="F58" s="160" t="s">
        <v>164</v>
      </c>
      <c r="G58" s="160" t="s">
        <v>157</v>
      </c>
      <c r="H58" s="160">
        <f t="shared" si="4"/>
        <v>0</v>
      </c>
      <c r="I58" s="159">
        <v>0</v>
      </c>
      <c r="J58" s="158" t="str">
        <f t="shared" si="5"/>
        <v>USDOIS45Y_Quote</v>
      </c>
      <c r="K58" s="158" t="str">
        <f t="shared" si="6"/>
        <v>USD_YCONRH_OIS45Y</v>
      </c>
      <c r="L58" s="157" t="str">
        <f>_xll.qlOISRateHelper(K58,2,C58,J58,$L$4,,Permanent,,ObjectOverwrite)</f>
        <v>USD_YCONRH_OIS45Y#0001</v>
      </c>
      <c r="M58" s="88" t="str">
        <f>_xll.ohRangeRetrieveError(L58)</f>
        <v/>
      </c>
      <c r="N58" s="154"/>
      <c r="P58" s="156"/>
      <c r="Q58" s="156"/>
    </row>
    <row r="59" spans="1:17" x14ac:dyDescent="0.2">
      <c r="A59" s="87"/>
      <c r="B59" s="162"/>
      <c r="C59" s="161" t="s">
        <v>1</v>
      </c>
      <c r="D59" s="162" t="s">
        <v>73</v>
      </c>
      <c r="E59" s="161" t="str">
        <f t="shared" si="7"/>
        <v>50Y</v>
      </c>
      <c r="F59" s="160" t="s">
        <v>164</v>
      </c>
      <c r="G59" s="160" t="s">
        <v>157</v>
      </c>
      <c r="H59" s="160">
        <f t="shared" si="4"/>
        <v>0</v>
      </c>
      <c r="I59" s="159">
        <v>0</v>
      </c>
      <c r="J59" s="158" t="str">
        <f t="shared" si="5"/>
        <v>USDOIS50Y_Quote</v>
      </c>
      <c r="K59" s="158" t="str">
        <f t="shared" si="6"/>
        <v>USD_YCONRH_OIS50Y</v>
      </c>
      <c r="L59" s="157" t="str">
        <f>_xll.qlOISRateHelper(K59,2,C59,J59,$L$4,,Permanent,,ObjectOverwrite)</f>
        <v>USD_YCONRH_OIS50Y#0001</v>
      </c>
      <c r="M59" s="88" t="str">
        <f>_xll.ohRangeRetrieveError(L59)</f>
        <v/>
      </c>
      <c r="N59" s="154"/>
      <c r="P59" s="156">
        <f>_xll.qlRateHelperEarliestDate(L59)</f>
        <v>41772</v>
      </c>
      <c r="Q59" s="156">
        <f>_xll.qlRateHelperLatestDate($L59)</f>
        <v>60035</v>
      </c>
    </row>
    <row r="60" spans="1:17" x14ac:dyDescent="0.2">
      <c r="A60" s="87"/>
      <c r="B60" s="15"/>
      <c r="C60" s="15"/>
      <c r="D60" s="15"/>
      <c r="E60" s="15"/>
      <c r="F60" s="6"/>
      <c r="G60" s="6"/>
      <c r="H60" s="6"/>
      <c r="I60" s="39"/>
      <c r="J60" s="155"/>
      <c r="K60" s="155"/>
      <c r="L60" s="155"/>
      <c r="M60" s="155"/>
      <c r="N60" s="154"/>
      <c r="P60" s="156"/>
      <c r="Q60" s="156"/>
    </row>
    <row r="61" spans="1:17" x14ac:dyDescent="0.2">
      <c r="A61" s="87"/>
      <c r="B61" s="163">
        <f>_xll.qlECBdate(E61,,Trigger)</f>
        <v>41437</v>
      </c>
      <c r="C61" s="161"/>
      <c r="D61" s="162" t="s">
        <v>165</v>
      </c>
      <c r="E61" s="161" t="str">
        <f>_xll.qlECBNextCode(_xll.qlSettingsEvaluationDate(Trigger)-365)</f>
        <v>JUN13</v>
      </c>
      <c r="F61" s="160" t="s">
        <v>164</v>
      </c>
      <c r="G61" s="160" t="s">
        <v>163</v>
      </c>
      <c r="H61" s="160">
        <f t="shared" ref="H61:H95" si="8">DayCounter</f>
        <v>0</v>
      </c>
      <c r="I61" s="159">
        <v>0</v>
      </c>
      <c r="J61" s="158" t="str">
        <f t="shared" ref="J61:J95" si="9">Currency&amp;$D61&amp;$E61&amp;QuoteSuffix</f>
        <v>USDECBOISJUN13_Quote</v>
      </c>
      <c r="K61" s="158" t="str">
        <f t="shared" ref="K61:K95" si="10">$K$2&amp;"_"&amp;$D61&amp;$E61</f>
        <v>USD_YCONRH_ECBOISJUN13</v>
      </c>
      <c r="L61" s="157" t="e">
        <f>_xll.qlDatedOISRateHelper(K61,B61,B62,J61,$L$4,,Permanent,,ObjectOverwrite)</f>
        <v>#NUM!</v>
      </c>
      <c r="M61" s="88" t="str">
        <f ca="1">_xll.ohRangeRetrieveError(L61)</f>
        <v>qlDatedOISRateHelper - Error converting parameter 'FixedRate' : 'ObjectHandler error: attempt to retrieve object with unknown ID 'USDECBOISJUN13_Quote'</v>
      </c>
      <c r="N61" s="154"/>
      <c r="P61" s="156" t="e">
        <f>_xll.qlRateHelperEarliestDate(L61)</f>
        <v>#VALUE!</v>
      </c>
      <c r="Q61" s="156" t="e">
        <f>_xll.qlRateHelperLatestDate($L61)</f>
        <v>#VALUE!</v>
      </c>
    </row>
    <row r="62" spans="1:17" x14ac:dyDescent="0.2">
      <c r="A62" s="87"/>
      <c r="B62" s="163">
        <f>_xll.qlECBdate(E62,,Trigger)</f>
        <v>41465</v>
      </c>
      <c r="C62" s="161"/>
      <c r="D62" s="162" t="s">
        <v>165</v>
      </c>
      <c r="E62" s="161" t="str">
        <f>_xll.qlECBNextCode(B61)</f>
        <v>JUL13</v>
      </c>
      <c r="F62" s="160" t="s">
        <v>164</v>
      </c>
      <c r="G62" s="160" t="s">
        <v>163</v>
      </c>
      <c r="H62" s="160">
        <f t="shared" si="8"/>
        <v>0</v>
      </c>
      <c r="I62" s="159">
        <v>0</v>
      </c>
      <c r="J62" s="158" t="str">
        <f t="shared" si="9"/>
        <v>USDECBOISJUL13_Quote</v>
      </c>
      <c r="K62" s="158" t="str">
        <f t="shared" si="10"/>
        <v>USD_YCONRH_ECBOISJUL13</v>
      </c>
      <c r="L62" s="157" t="e">
        <f>_xll.qlDatedOISRateHelper(K62,B62,B63,J62,$L$4,,Permanent,,ObjectOverwrite)</f>
        <v>#NUM!</v>
      </c>
      <c r="M62" s="88" t="str">
        <f ca="1">_xll.ohRangeRetrieveError(L62)</f>
        <v>qlDatedOISRateHelper - Error converting parameter 'FixedRate' : 'ObjectHandler error: attempt to retrieve object with unknown ID 'USDECBOISJUL13_Quote'</v>
      </c>
      <c r="N62" s="154"/>
      <c r="P62" s="156" t="e">
        <f>_xll.qlRateHelperEarliestDate(L62)</f>
        <v>#VALUE!</v>
      </c>
      <c r="Q62" s="156" t="e">
        <f>_xll.qlRateHelperLatestDate($L62)</f>
        <v>#VALUE!</v>
      </c>
    </row>
    <row r="63" spans="1:17" x14ac:dyDescent="0.2">
      <c r="A63" s="87"/>
      <c r="B63" s="163">
        <f>_xll.qlECBdate(E63,,Trigger)</f>
        <v>41493</v>
      </c>
      <c r="C63" s="161"/>
      <c r="D63" s="162" t="s">
        <v>165</v>
      </c>
      <c r="E63" s="161" t="str">
        <f>_xll.qlECBNextCode(B62)</f>
        <v>AUG13</v>
      </c>
      <c r="F63" s="160" t="s">
        <v>164</v>
      </c>
      <c r="G63" s="160" t="s">
        <v>163</v>
      </c>
      <c r="H63" s="160">
        <f t="shared" si="8"/>
        <v>0</v>
      </c>
      <c r="I63" s="159">
        <v>0</v>
      </c>
      <c r="J63" s="158" t="str">
        <f t="shared" si="9"/>
        <v>USDECBOISAUG13_Quote</v>
      </c>
      <c r="K63" s="158" t="str">
        <f t="shared" si="10"/>
        <v>USD_YCONRH_ECBOISAUG13</v>
      </c>
      <c r="L63" s="157" t="e">
        <f>_xll.qlDatedOISRateHelper(K63,B63,B64,J63,$L$4,,Permanent,,ObjectOverwrite)</f>
        <v>#NUM!</v>
      </c>
      <c r="M63" s="88" t="str">
        <f ca="1">_xll.ohRangeRetrieveError(L63)</f>
        <v>qlDatedOISRateHelper - Error converting parameter 'FixedRate' : 'ObjectHandler error: attempt to retrieve object with unknown ID 'USDECBOISAUG13_Quote'</v>
      </c>
      <c r="N63" s="154"/>
      <c r="P63" s="156" t="e">
        <f>_xll.qlRateHelperEarliestDate(L63)</f>
        <v>#VALUE!</v>
      </c>
      <c r="Q63" s="156" t="e">
        <f>_xll.qlRateHelperLatestDate($L63)</f>
        <v>#VALUE!</v>
      </c>
    </row>
    <row r="64" spans="1:17" x14ac:dyDescent="0.2">
      <c r="A64" s="87"/>
      <c r="B64" s="163">
        <f>_xll.qlECBdate(E64,,Trigger)</f>
        <v>41528</v>
      </c>
      <c r="C64" s="161"/>
      <c r="D64" s="162" t="s">
        <v>165</v>
      </c>
      <c r="E64" s="161" t="str">
        <f>_xll.qlECBNextCode(B63)</f>
        <v>SEP13</v>
      </c>
      <c r="F64" s="160" t="s">
        <v>164</v>
      </c>
      <c r="G64" s="160" t="s">
        <v>163</v>
      </c>
      <c r="H64" s="160">
        <f t="shared" si="8"/>
        <v>0</v>
      </c>
      <c r="I64" s="159">
        <v>0</v>
      </c>
      <c r="J64" s="158" t="str">
        <f t="shared" si="9"/>
        <v>USDECBOISSEP13_Quote</v>
      </c>
      <c r="K64" s="158" t="str">
        <f t="shared" si="10"/>
        <v>USD_YCONRH_ECBOISSEP13</v>
      </c>
      <c r="L64" s="157" t="e">
        <f>_xll.qlDatedOISRateHelper(K64,B64,B65,J64,$L$4,,Permanent,,ObjectOverwrite)</f>
        <v>#NUM!</v>
      </c>
      <c r="M64" s="88" t="str">
        <f ca="1">_xll.ohRangeRetrieveError(L64)</f>
        <v>qlDatedOISRateHelper - Error converting parameter 'FixedRate' : 'ObjectHandler error: attempt to retrieve object with unknown ID 'USDECBOISSEP13_Quote'</v>
      </c>
      <c r="N64" s="154"/>
      <c r="P64" s="156" t="e">
        <f>_xll.qlRateHelperEarliestDate(L64)</f>
        <v>#VALUE!</v>
      </c>
      <c r="Q64" s="156" t="e">
        <f>_xll.qlRateHelperLatestDate($L64)</f>
        <v>#VALUE!</v>
      </c>
    </row>
    <row r="65" spans="1:17" x14ac:dyDescent="0.2">
      <c r="A65" s="87"/>
      <c r="B65" s="163">
        <f>_xll.qlECBdate(E65,,Trigger)</f>
        <v>41556</v>
      </c>
      <c r="C65" s="161"/>
      <c r="D65" s="162" t="s">
        <v>165</v>
      </c>
      <c r="E65" s="161" t="str">
        <f>_xll.qlECBNextCode(B64)</f>
        <v>OCT13</v>
      </c>
      <c r="F65" s="160" t="s">
        <v>164</v>
      </c>
      <c r="G65" s="160" t="s">
        <v>163</v>
      </c>
      <c r="H65" s="160">
        <f t="shared" si="8"/>
        <v>0</v>
      </c>
      <c r="I65" s="159">
        <v>0</v>
      </c>
      <c r="J65" s="158" t="str">
        <f t="shared" si="9"/>
        <v>USDECBOISOCT13_Quote</v>
      </c>
      <c r="K65" s="158" t="str">
        <f t="shared" si="10"/>
        <v>USD_YCONRH_ECBOISOCT13</v>
      </c>
      <c r="L65" s="157" t="e">
        <f>_xll.qlDatedOISRateHelper(K65,B65,B66,J65,$L$4,,Permanent,,ObjectOverwrite)</f>
        <v>#NUM!</v>
      </c>
      <c r="M65" s="88" t="str">
        <f ca="1">_xll.ohRangeRetrieveError(L65)</f>
        <v>qlDatedOISRateHelper - Error converting parameter 'FixedRate' : 'ObjectHandler error: attempt to retrieve object with unknown ID 'USDECBOISOCT13_Quote'</v>
      </c>
      <c r="N65" s="154"/>
      <c r="P65" s="156" t="e">
        <f>_xll.qlRateHelperEarliestDate(L65)</f>
        <v>#VALUE!</v>
      </c>
      <c r="Q65" s="156" t="e">
        <f>_xll.qlRateHelperLatestDate($L65)</f>
        <v>#VALUE!</v>
      </c>
    </row>
    <row r="66" spans="1:17" x14ac:dyDescent="0.2">
      <c r="A66" s="87"/>
      <c r="B66" s="163">
        <f>_xll.qlECBdate(E66,,Trigger)</f>
        <v>41591</v>
      </c>
      <c r="C66" s="161"/>
      <c r="D66" s="162" t="s">
        <v>165</v>
      </c>
      <c r="E66" s="161" t="str">
        <f>_xll.qlECBNextCode(B65)</f>
        <v>NOV13</v>
      </c>
      <c r="F66" s="160" t="s">
        <v>164</v>
      </c>
      <c r="G66" s="160" t="s">
        <v>163</v>
      </c>
      <c r="H66" s="160">
        <f t="shared" si="8"/>
        <v>0</v>
      </c>
      <c r="I66" s="159">
        <v>0</v>
      </c>
      <c r="J66" s="158" t="str">
        <f t="shared" si="9"/>
        <v>USDECBOISNOV13_Quote</v>
      </c>
      <c r="K66" s="158" t="str">
        <f t="shared" si="10"/>
        <v>USD_YCONRH_ECBOISNOV13</v>
      </c>
      <c r="L66" s="157" t="e">
        <f>_xll.qlDatedOISRateHelper(K66,B66,B67,J66,$L$4,,Permanent,,ObjectOverwrite)</f>
        <v>#NUM!</v>
      </c>
      <c r="M66" s="88" t="str">
        <f ca="1">_xll.ohRangeRetrieveError(L66)</f>
        <v>qlDatedOISRateHelper - Error converting parameter 'FixedRate' : 'ObjectHandler error: attempt to retrieve object with unknown ID 'USDECBOISNOV13_Quote'</v>
      </c>
      <c r="N66" s="154"/>
      <c r="P66" s="156" t="e">
        <f>_xll.qlRateHelperEarliestDate(L66)</f>
        <v>#VALUE!</v>
      </c>
      <c r="Q66" s="156" t="e">
        <f>_xll.qlRateHelperLatestDate($L66)</f>
        <v>#VALUE!</v>
      </c>
    </row>
    <row r="67" spans="1:17" x14ac:dyDescent="0.2">
      <c r="A67" s="87"/>
      <c r="B67" s="163">
        <f>_xll.qlECBdate(E67,,Trigger)</f>
        <v>41619</v>
      </c>
      <c r="C67" s="161"/>
      <c r="D67" s="162" t="s">
        <v>165</v>
      </c>
      <c r="E67" s="161" t="str">
        <f>_xll.qlECBNextCode(B66)</f>
        <v>DEC13</v>
      </c>
      <c r="F67" s="160" t="s">
        <v>164</v>
      </c>
      <c r="G67" s="160" t="s">
        <v>163</v>
      </c>
      <c r="H67" s="160">
        <f t="shared" si="8"/>
        <v>0</v>
      </c>
      <c r="I67" s="159">
        <v>0</v>
      </c>
      <c r="J67" s="158" t="str">
        <f t="shared" si="9"/>
        <v>USDECBOISDEC13_Quote</v>
      </c>
      <c r="K67" s="158" t="str">
        <f t="shared" si="10"/>
        <v>USD_YCONRH_ECBOISDEC13</v>
      </c>
      <c r="L67" s="157" t="e">
        <f>_xll.qlDatedOISRateHelper(K67,B67,B68,J67,$L$4,,Permanent,,ObjectOverwrite)</f>
        <v>#NUM!</v>
      </c>
      <c r="M67" s="88" t="str">
        <f ca="1">_xll.ohRangeRetrieveError(L67)</f>
        <v>qlDatedOISRateHelper - Error converting parameter 'EndDate' : 'unable to convert type 'struct ObjectHandler::empty_property_tag' to type 'QuantLib::Date'</v>
      </c>
      <c r="N67" s="154"/>
      <c r="P67" s="156" t="e">
        <f>_xll.qlRateHelperEarliestDate(L67)</f>
        <v>#VALUE!</v>
      </c>
      <c r="Q67" s="156" t="e">
        <f>_xll.qlRateHelperLatestDate($L67)</f>
        <v>#VALUE!</v>
      </c>
    </row>
    <row r="68" spans="1:17" x14ac:dyDescent="0.2">
      <c r="A68" s="87"/>
      <c r="B68" s="163" t="e">
        <f>_xll.qlECBdate(E68,,Trigger)</f>
        <v>#VALUE!</v>
      </c>
      <c r="C68" s="161"/>
      <c r="D68" s="162" t="s">
        <v>165</v>
      </c>
      <c r="E68" s="161" t="e">
        <f>_xll.qlECBNextCode(B67)</f>
        <v>#NUM!</v>
      </c>
      <c r="F68" s="160" t="s">
        <v>164</v>
      </c>
      <c r="G68" s="160" t="s">
        <v>163</v>
      </c>
      <c r="H68" s="160">
        <f t="shared" si="8"/>
        <v>0</v>
      </c>
      <c r="I68" s="159">
        <v>0</v>
      </c>
      <c r="J68" s="158" t="e">
        <f t="shared" si="9"/>
        <v>#NUM!</v>
      </c>
      <c r="K68" s="158" t="e">
        <f t="shared" si="10"/>
        <v>#NUM!</v>
      </c>
      <c r="L68" s="157" t="e">
        <f>_xll.qlDatedOISRateHelper(K68,B68,B69,J68,$L$4,,Permanent,,ObjectOverwrite)</f>
        <v>#VALUE!</v>
      </c>
      <c r="M68" s="88" t="str">
        <f ca="1">_xll.ohRangeRetrieveError(L68)</f>
        <v/>
      </c>
      <c r="N68" s="154"/>
      <c r="P68" s="156" t="e">
        <f>_xll.qlRateHelperEarliestDate(L68)</f>
        <v>#VALUE!</v>
      </c>
      <c r="Q68" s="156" t="e">
        <f>_xll.qlRateHelperLatestDate($L68)</f>
        <v>#VALUE!</v>
      </c>
    </row>
    <row r="69" spans="1:17" x14ac:dyDescent="0.2">
      <c r="A69" s="87"/>
      <c r="B69" s="163" t="e">
        <f>_xll.qlECBdate(E69,,Trigger)</f>
        <v>#VALUE!</v>
      </c>
      <c r="C69" s="161"/>
      <c r="D69" s="162" t="s">
        <v>165</v>
      </c>
      <c r="E69" s="161" t="e">
        <f>_xll.qlECBNextCode(B68)</f>
        <v>#NUM!</v>
      </c>
      <c r="F69" s="160" t="s">
        <v>164</v>
      </c>
      <c r="G69" s="160" t="s">
        <v>163</v>
      </c>
      <c r="H69" s="160">
        <f t="shared" si="8"/>
        <v>0</v>
      </c>
      <c r="I69" s="159">
        <v>0</v>
      </c>
      <c r="J69" s="158" t="e">
        <f t="shared" si="9"/>
        <v>#NUM!</v>
      </c>
      <c r="K69" s="158" t="e">
        <f t="shared" si="10"/>
        <v>#NUM!</v>
      </c>
      <c r="L69" s="157" t="e">
        <f>_xll.qlDatedOISRateHelper(K69,B69,B70,J69,$L$4,Permanent,,ObjectOverwrite)</f>
        <v>#VALUE!</v>
      </c>
      <c r="M69" s="88" t="str">
        <f ca="1">_xll.ohRangeRetrieveError(L69)</f>
        <v/>
      </c>
      <c r="N69" s="154"/>
      <c r="P69" s="156" t="e">
        <f>_xll.qlRateHelperEarliestDate(L69)</f>
        <v>#VALUE!</v>
      </c>
      <c r="Q69" s="156" t="e">
        <f>_xll.qlRateHelperLatestDate($L69)</f>
        <v>#VALUE!</v>
      </c>
    </row>
    <row r="70" spans="1:17" x14ac:dyDescent="0.2">
      <c r="A70" s="87"/>
      <c r="B70" s="163" t="e">
        <f>_xll.qlECBdate(E70,,Trigger)</f>
        <v>#VALUE!</v>
      </c>
      <c r="C70" s="161"/>
      <c r="D70" s="162" t="s">
        <v>165</v>
      </c>
      <c r="E70" s="161" t="e">
        <f>_xll.qlECBNextCode(B69)</f>
        <v>#NUM!</v>
      </c>
      <c r="F70" s="160" t="s">
        <v>164</v>
      </c>
      <c r="G70" s="160" t="s">
        <v>163</v>
      </c>
      <c r="H70" s="160">
        <f t="shared" si="8"/>
        <v>0</v>
      </c>
      <c r="I70" s="159">
        <v>0</v>
      </c>
      <c r="J70" s="158" t="e">
        <f t="shared" si="9"/>
        <v>#NUM!</v>
      </c>
      <c r="K70" s="158" t="e">
        <f t="shared" si="10"/>
        <v>#NUM!</v>
      </c>
      <c r="L70" s="157" t="e">
        <f>_xll.qlDatedOISRateHelper(K70,B70,B71,J70,$L$4,Permanent,,ObjectOverwrite)</f>
        <v>#VALUE!</v>
      </c>
      <c r="M70" s="88" t="str">
        <f ca="1">_xll.ohRangeRetrieveError(L70)</f>
        <v/>
      </c>
      <c r="N70" s="154"/>
      <c r="P70" s="156" t="e">
        <f>_xll.qlRateHelperEarliestDate(L70)</f>
        <v>#VALUE!</v>
      </c>
      <c r="Q70" s="156" t="e">
        <f>_xll.qlRateHelperLatestDate($L70)</f>
        <v>#VALUE!</v>
      </c>
    </row>
    <row r="71" spans="1:17" x14ac:dyDescent="0.2">
      <c r="A71" s="87"/>
      <c r="B71" s="163" t="e">
        <f>_xll.qlECBdate(E71,,Trigger)</f>
        <v>#VALUE!</v>
      </c>
      <c r="C71" s="161"/>
      <c r="D71" s="162" t="s">
        <v>165</v>
      </c>
      <c r="E71" s="161" t="e">
        <f>_xll.qlECBNextCode(B70)</f>
        <v>#NUM!</v>
      </c>
      <c r="F71" s="160" t="s">
        <v>164</v>
      </c>
      <c r="G71" s="160" t="s">
        <v>163</v>
      </c>
      <c r="H71" s="160">
        <f t="shared" si="8"/>
        <v>0</v>
      </c>
      <c r="I71" s="159">
        <v>0</v>
      </c>
      <c r="J71" s="158" t="e">
        <f t="shared" si="9"/>
        <v>#NUM!</v>
      </c>
      <c r="K71" s="158" t="e">
        <f t="shared" si="10"/>
        <v>#NUM!</v>
      </c>
      <c r="L71" s="157" t="e">
        <f>_xll.qlDatedOISRateHelper(K71,B71,B72,J71,$L$4,Permanent,,ObjectOverwrite)</f>
        <v>#VALUE!</v>
      </c>
      <c r="M71" s="88" t="str">
        <f ca="1">_xll.ohRangeRetrieveError(L71)</f>
        <v/>
      </c>
      <c r="N71" s="154"/>
      <c r="P71" s="156" t="e">
        <f>_xll.qlRateHelperEarliestDate(L71)</f>
        <v>#VALUE!</v>
      </c>
      <c r="Q71" s="156" t="e">
        <f>_xll.qlRateHelperLatestDate($L71)</f>
        <v>#VALUE!</v>
      </c>
    </row>
    <row r="72" spans="1:17" x14ac:dyDescent="0.2">
      <c r="A72" s="87"/>
      <c r="B72" s="163" t="e">
        <f>_xll.qlECBdate(E72,,Trigger)</f>
        <v>#VALUE!</v>
      </c>
      <c r="C72" s="161"/>
      <c r="D72" s="162" t="s">
        <v>165</v>
      </c>
      <c r="E72" s="161" t="e">
        <f>_xll.qlECBNextCode(B71)</f>
        <v>#NUM!</v>
      </c>
      <c r="F72" s="160" t="s">
        <v>164</v>
      </c>
      <c r="G72" s="160" t="s">
        <v>163</v>
      </c>
      <c r="H72" s="160">
        <f t="shared" si="8"/>
        <v>0</v>
      </c>
      <c r="I72" s="159">
        <v>0</v>
      </c>
      <c r="J72" s="158" t="e">
        <f t="shared" si="9"/>
        <v>#NUM!</v>
      </c>
      <c r="K72" s="158" t="e">
        <f t="shared" si="10"/>
        <v>#NUM!</v>
      </c>
      <c r="L72" s="157" t="e">
        <f>_xll.qlDatedOISRateHelper(K72,B72,B73,J72,$L$4,Permanent,,ObjectOverwrite)</f>
        <v>#VALUE!</v>
      </c>
      <c r="M72" s="88" t="str">
        <f ca="1">_xll.ohRangeRetrieveError(L72)</f>
        <v/>
      </c>
      <c r="N72" s="154"/>
      <c r="P72" s="156" t="e">
        <f>_xll.qlRateHelperEarliestDate(L72)</f>
        <v>#VALUE!</v>
      </c>
      <c r="Q72" s="156" t="e">
        <f>_xll.qlRateHelperLatestDate($L72)</f>
        <v>#VALUE!</v>
      </c>
    </row>
    <row r="73" spans="1:17" x14ac:dyDescent="0.2">
      <c r="A73" s="87"/>
      <c r="B73" s="163" t="e">
        <f>_xll.qlECBdate(E73,,Trigger)</f>
        <v>#VALUE!</v>
      </c>
      <c r="C73" s="161"/>
      <c r="D73" s="162" t="s">
        <v>165</v>
      </c>
      <c r="E73" s="161" t="e">
        <f>_xll.qlECBNextCode(B72)</f>
        <v>#NUM!</v>
      </c>
      <c r="F73" s="160" t="s">
        <v>164</v>
      </c>
      <c r="G73" s="160" t="s">
        <v>163</v>
      </c>
      <c r="H73" s="160">
        <f t="shared" si="8"/>
        <v>0</v>
      </c>
      <c r="I73" s="159">
        <v>0</v>
      </c>
      <c r="J73" s="158" t="e">
        <f t="shared" si="9"/>
        <v>#NUM!</v>
      </c>
      <c r="K73" s="158" t="e">
        <f t="shared" si="10"/>
        <v>#NUM!</v>
      </c>
      <c r="L73" s="157" t="e">
        <f>_xll.qlDatedOISRateHelper(K73,B73,B74,J73,$L$4,Permanent,,ObjectOverwrite)</f>
        <v>#VALUE!</v>
      </c>
      <c r="M73" s="88" t="str">
        <f ca="1">_xll.ohRangeRetrieveError(L73)</f>
        <v/>
      </c>
      <c r="N73" s="154"/>
      <c r="P73" s="156" t="e">
        <f>_xll.qlRateHelperEarliestDate(L73)</f>
        <v>#VALUE!</v>
      </c>
      <c r="Q73" s="156" t="e">
        <f>_xll.qlRateHelperLatestDate($L73)</f>
        <v>#VALUE!</v>
      </c>
    </row>
    <row r="74" spans="1:17" x14ac:dyDescent="0.2">
      <c r="A74" s="87"/>
      <c r="B74" s="163" t="e">
        <f>_xll.qlECBdate(E74,,Trigger)</f>
        <v>#VALUE!</v>
      </c>
      <c r="C74" s="161"/>
      <c r="D74" s="162" t="s">
        <v>165</v>
      </c>
      <c r="E74" s="161" t="e">
        <f>_xll.qlECBNextCode(B73)</f>
        <v>#NUM!</v>
      </c>
      <c r="F74" s="160" t="s">
        <v>164</v>
      </c>
      <c r="G74" s="160" t="s">
        <v>163</v>
      </c>
      <c r="H74" s="160">
        <f t="shared" si="8"/>
        <v>0</v>
      </c>
      <c r="I74" s="159">
        <v>0</v>
      </c>
      <c r="J74" s="158" t="e">
        <f t="shared" si="9"/>
        <v>#NUM!</v>
      </c>
      <c r="K74" s="158" t="e">
        <f t="shared" si="10"/>
        <v>#NUM!</v>
      </c>
      <c r="L74" s="157" t="e">
        <f>_xll.qlDatedOISRateHelper(K74,B74,B75,J74,$L$4,Permanent,,ObjectOverwrite)</f>
        <v>#VALUE!</v>
      </c>
      <c r="M74" s="88" t="str">
        <f ca="1">_xll.ohRangeRetrieveError(L74)</f>
        <v/>
      </c>
      <c r="N74" s="154"/>
      <c r="P74" s="156" t="e">
        <f>_xll.qlRateHelperEarliestDate(L74)</f>
        <v>#VALUE!</v>
      </c>
      <c r="Q74" s="156" t="e">
        <f>_xll.qlRateHelperLatestDate($L74)</f>
        <v>#VALUE!</v>
      </c>
    </row>
    <row r="75" spans="1:17" x14ac:dyDescent="0.2">
      <c r="A75" s="87"/>
      <c r="B75" s="163" t="e">
        <f>_xll.qlECBdate(E75,,Trigger)</f>
        <v>#VALUE!</v>
      </c>
      <c r="C75" s="161"/>
      <c r="D75" s="162" t="s">
        <v>165</v>
      </c>
      <c r="E75" s="161" t="e">
        <f>_xll.qlECBNextCode(B74)</f>
        <v>#NUM!</v>
      </c>
      <c r="F75" s="160" t="s">
        <v>164</v>
      </c>
      <c r="G75" s="160" t="s">
        <v>163</v>
      </c>
      <c r="H75" s="160">
        <f t="shared" si="8"/>
        <v>0</v>
      </c>
      <c r="I75" s="159">
        <v>0</v>
      </c>
      <c r="J75" s="158" t="e">
        <f t="shared" si="9"/>
        <v>#NUM!</v>
      </c>
      <c r="K75" s="158" t="e">
        <f t="shared" si="10"/>
        <v>#NUM!</v>
      </c>
      <c r="L75" s="157" t="e">
        <f>_xll.qlDatedOISRateHelper(K75,B75,B76,J75,$L$4,Permanent,,ObjectOverwrite)</f>
        <v>#VALUE!</v>
      </c>
      <c r="M75" s="88" t="str">
        <f ca="1">_xll.ohRangeRetrieveError(L75)</f>
        <v/>
      </c>
      <c r="N75" s="154"/>
      <c r="P75" s="156" t="e">
        <f>_xll.qlRateHelperEarliestDate(L75)</f>
        <v>#VALUE!</v>
      </c>
      <c r="Q75" s="156" t="e">
        <f>_xll.qlRateHelperLatestDate($L75)</f>
        <v>#VALUE!</v>
      </c>
    </row>
    <row r="76" spans="1:17" x14ac:dyDescent="0.2">
      <c r="A76" s="87"/>
      <c r="B76" s="163" t="e">
        <f>_xll.qlECBdate(E76,,Trigger)</f>
        <v>#VALUE!</v>
      </c>
      <c r="C76" s="161"/>
      <c r="D76" s="162" t="s">
        <v>165</v>
      </c>
      <c r="E76" s="161" t="e">
        <f>_xll.qlECBNextCode(B75)</f>
        <v>#NUM!</v>
      </c>
      <c r="F76" s="160" t="s">
        <v>164</v>
      </c>
      <c r="G76" s="160" t="s">
        <v>163</v>
      </c>
      <c r="H76" s="160">
        <f t="shared" si="8"/>
        <v>0</v>
      </c>
      <c r="I76" s="159">
        <v>0</v>
      </c>
      <c r="J76" s="158" t="e">
        <f t="shared" si="9"/>
        <v>#NUM!</v>
      </c>
      <c r="K76" s="158" t="e">
        <f t="shared" si="10"/>
        <v>#NUM!</v>
      </c>
      <c r="L76" s="157" t="e">
        <f>_xll.qlDatedOISRateHelper(K76,B76,B77,J76,$L$4,Permanent,,ObjectOverwrite)</f>
        <v>#VALUE!</v>
      </c>
      <c r="M76" s="88" t="str">
        <f ca="1">_xll.ohRangeRetrieveError(L76)</f>
        <v/>
      </c>
      <c r="N76" s="154"/>
      <c r="P76" s="156" t="e">
        <f>_xll.qlRateHelperEarliestDate(L76)</f>
        <v>#VALUE!</v>
      </c>
      <c r="Q76" s="156" t="e">
        <f>_xll.qlRateHelperLatestDate($L76)</f>
        <v>#VALUE!</v>
      </c>
    </row>
    <row r="77" spans="1:17" x14ac:dyDescent="0.2">
      <c r="A77" s="87"/>
      <c r="B77" s="163" t="e">
        <f>_xll.qlECBdate(E77,,Trigger)</f>
        <v>#VALUE!</v>
      </c>
      <c r="C77" s="161"/>
      <c r="D77" s="162" t="s">
        <v>165</v>
      </c>
      <c r="E77" s="161" t="e">
        <f>_xll.qlECBNextCode(B76)</f>
        <v>#NUM!</v>
      </c>
      <c r="F77" s="160" t="s">
        <v>164</v>
      </c>
      <c r="G77" s="160" t="s">
        <v>163</v>
      </c>
      <c r="H77" s="160">
        <f t="shared" si="8"/>
        <v>0</v>
      </c>
      <c r="I77" s="159">
        <v>0</v>
      </c>
      <c r="J77" s="158" t="e">
        <f t="shared" si="9"/>
        <v>#NUM!</v>
      </c>
      <c r="K77" s="158" t="e">
        <f t="shared" si="10"/>
        <v>#NUM!</v>
      </c>
      <c r="L77" s="157" t="e">
        <f>_xll.qlDatedOISRateHelper(K77,B77,B78,J77,$L$4,Permanent,,ObjectOverwrite)</f>
        <v>#VALUE!</v>
      </c>
      <c r="M77" s="88" t="str">
        <f ca="1">_xll.ohRangeRetrieveError(L77)</f>
        <v/>
      </c>
      <c r="N77" s="154"/>
      <c r="P77" s="156" t="e">
        <f>_xll.qlRateHelperEarliestDate(L77)</f>
        <v>#VALUE!</v>
      </c>
      <c r="Q77" s="156" t="e">
        <f>_xll.qlRateHelperLatestDate($L77)</f>
        <v>#VALUE!</v>
      </c>
    </row>
    <row r="78" spans="1:17" x14ac:dyDescent="0.2">
      <c r="A78" s="87"/>
      <c r="B78" s="163" t="e">
        <f>_xll.qlECBdate(E78,,Trigger)</f>
        <v>#VALUE!</v>
      </c>
      <c r="C78" s="161"/>
      <c r="D78" s="162" t="s">
        <v>165</v>
      </c>
      <c r="E78" s="161" t="e">
        <f>_xll.qlECBNextCode(B77)</f>
        <v>#NUM!</v>
      </c>
      <c r="F78" s="160" t="s">
        <v>164</v>
      </c>
      <c r="G78" s="160" t="s">
        <v>163</v>
      </c>
      <c r="H78" s="160">
        <f t="shared" si="8"/>
        <v>0</v>
      </c>
      <c r="I78" s="159">
        <v>0</v>
      </c>
      <c r="J78" s="158" t="e">
        <f t="shared" si="9"/>
        <v>#NUM!</v>
      </c>
      <c r="K78" s="158" t="e">
        <f t="shared" si="10"/>
        <v>#NUM!</v>
      </c>
      <c r="L78" s="157" t="e">
        <f>_xll.qlDatedOISRateHelper(K78,B78,B79,J78,$L$4,Permanent,,ObjectOverwrite)</f>
        <v>#VALUE!</v>
      </c>
      <c r="M78" s="88" t="str">
        <f ca="1">_xll.ohRangeRetrieveError(L78)</f>
        <v/>
      </c>
      <c r="N78" s="154"/>
      <c r="P78" s="156" t="e">
        <f>_xll.qlRateHelperEarliestDate(L78)</f>
        <v>#VALUE!</v>
      </c>
      <c r="Q78" s="156" t="e">
        <f>_xll.qlRateHelperLatestDate($L78)</f>
        <v>#VALUE!</v>
      </c>
    </row>
    <row r="79" spans="1:17" x14ac:dyDescent="0.2">
      <c r="A79" s="87"/>
      <c r="B79" s="163" t="e">
        <f>_xll.qlECBdate(E79,,Trigger)</f>
        <v>#VALUE!</v>
      </c>
      <c r="C79" s="161"/>
      <c r="D79" s="162" t="s">
        <v>165</v>
      </c>
      <c r="E79" s="161" t="e">
        <f>_xll.qlECBNextCode(B78)</f>
        <v>#NUM!</v>
      </c>
      <c r="F79" s="160" t="s">
        <v>164</v>
      </c>
      <c r="G79" s="160" t="s">
        <v>163</v>
      </c>
      <c r="H79" s="160">
        <f t="shared" si="8"/>
        <v>0</v>
      </c>
      <c r="I79" s="159">
        <v>0</v>
      </c>
      <c r="J79" s="158" t="e">
        <f t="shared" si="9"/>
        <v>#NUM!</v>
      </c>
      <c r="K79" s="158" t="e">
        <f t="shared" si="10"/>
        <v>#NUM!</v>
      </c>
      <c r="L79" s="157" t="e">
        <f>_xll.qlDatedOISRateHelper(K79,B79,B80,J79,$L$4,Permanent,,ObjectOverwrite)</f>
        <v>#VALUE!</v>
      </c>
      <c r="M79" s="88" t="str">
        <f ca="1">_xll.ohRangeRetrieveError(L79)</f>
        <v/>
      </c>
      <c r="N79" s="154"/>
      <c r="P79" s="156" t="e">
        <f>_xll.qlRateHelperEarliestDate(L79)</f>
        <v>#VALUE!</v>
      </c>
      <c r="Q79" s="156" t="e">
        <f>_xll.qlRateHelperLatestDate($L79)</f>
        <v>#VALUE!</v>
      </c>
    </row>
    <row r="80" spans="1:17" x14ac:dyDescent="0.2">
      <c r="A80" s="87"/>
      <c r="B80" s="163" t="e">
        <f>_xll.qlECBdate(E80,,Trigger)</f>
        <v>#VALUE!</v>
      </c>
      <c r="C80" s="161"/>
      <c r="D80" s="162" t="s">
        <v>165</v>
      </c>
      <c r="E80" s="161" t="e">
        <f>_xll.qlECBNextCode(B79)</f>
        <v>#NUM!</v>
      </c>
      <c r="F80" s="160" t="s">
        <v>164</v>
      </c>
      <c r="G80" s="160" t="s">
        <v>163</v>
      </c>
      <c r="H80" s="160">
        <f t="shared" si="8"/>
        <v>0</v>
      </c>
      <c r="I80" s="159">
        <v>0</v>
      </c>
      <c r="J80" s="158" t="e">
        <f t="shared" si="9"/>
        <v>#NUM!</v>
      </c>
      <c r="K80" s="158" t="e">
        <f t="shared" si="10"/>
        <v>#NUM!</v>
      </c>
      <c r="L80" s="157" t="e">
        <f>_xll.qlDatedOISRateHelper(K80,B80,B81,J80,$L$4,Permanent,,ObjectOverwrite)</f>
        <v>#VALUE!</v>
      </c>
      <c r="M80" s="88" t="str">
        <f ca="1">_xll.ohRangeRetrieveError(L80)</f>
        <v/>
      </c>
      <c r="N80" s="154"/>
      <c r="P80" s="156" t="e">
        <f>_xll.qlRateHelperEarliestDate(L80)</f>
        <v>#VALUE!</v>
      </c>
      <c r="Q80" s="156" t="e">
        <f>_xll.qlRateHelperLatestDate($L80)</f>
        <v>#VALUE!</v>
      </c>
    </row>
    <row r="81" spans="1:17" x14ac:dyDescent="0.2">
      <c r="A81" s="87"/>
      <c r="B81" s="163" t="e">
        <f>_xll.qlECBdate(E81,,Trigger)</f>
        <v>#VALUE!</v>
      </c>
      <c r="C81" s="161"/>
      <c r="D81" s="162" t="s">
        <v>165</v>
      </c>
      <c r="E81" s="161" t="e">
        <f>_xll.qlECBNextCode(B80)</f>
        <v>#NUM!</v>
      </c>
      <c r="F81" s="160" t="s">
        <v>164</v>
      </c>
      <c r="G81" s="160" t="s">
        <v>163</v>
      </c>
      <c r="H81" s="160">
        <f t="shared" si="8"/>
        <v>0</v>
      </c>
      <c r="I81" s="159">
        <v>0</v>
      </c>
      <c r="J81" s="158" t="e">
        <f t="shared" si="9"/>
        <v>#NUM!</v>
      </c>
      <c r="K81" s="158" t="e">
        <f t="shared" si="10"/>
        <v>#NUM!</v>
      </c>
      <c r="L81" s="157" t="e">
        <f>_xll.qlDatedOISRateHelper(K81,B81,B82,J81,$L$4,Permanent,,ObjectOverwrite)</f>
        <v>#VALUE!</v>
      </c>
      <c r="M81" s="88" t="str">
        <f ca="1">_xll.ohRangeRetrieveError(L81)</f>
        <v/>
      </c>
      <c r="N81" s="154"/>
      <c r="P81" s="156" t="e">
        <f>_xll.qlRateHelperEarliestDate(L81)</f>
        <v>#VALUE!</v>
      </c>
      <c r="Q81" s="156" t="e">
        <f>_xll.qlRateHelperLatestDate($L81)</f>
        <v>#VALUE!</v>
      </c>
    </row>
    <row r="82" spans="1:17" x14ac:dyDescent="0.2">
      <c r="A82" s="87"/>
      <c r="B82" s="163" t="e">
        <f>_xll.qlECBdate(E82,,Trigger)</f>
        <v>#VALUE!</v>
      </c>
      <c r="C82" s="161"/>
      <c r="D82" s="162" t="s">
        <v>165</v>
      </c>
      <c r="E82" s="161" t="e">
        <f>_xll.qlECBNextCode(B81)</f>
        <v>#NUM!</v>
      </c>
      <c r="F82" s="160" t="s">
        <v>164</v>
      </c>
      <c r="G82" s="160" t="s">
        <v>163</v>
      </c>
      <c r="H82" s="160">
        <f t="shared" si="8"/>
        <v>0</v>
      </c>
      <c r="I82" s="159">
        <v>0</v>
      </c>
      <c r="J82" s="158" t="e">
        <f t="shared" si="9"/>
        <v>#NUM!</v>
      </c>
      <c r="K82" s="158" t="e">
        <f t="shared" si="10"/>
        <v>#NUM!</v>
      </c>
      <c r="L82" s="157" t="e">
        <f>_xll.qlDatedOISRateHelper(K82,B82,B83,J82,$L$4,Permanent,,ObjectOverwrite)</f>
        <v>#VALUE!</v>
      </c>
      <c r="M82" s="88" t="str">
        <f ca="1">_xll.ohRangeRetrieveError(L82)</f>
        <v/>
      </c>
      <c r="N82" s="154"/>
      <c r="P82" s="156" t="e">
        <f>_xll.qlRateHelperEarliestDate(L82)</f>
        <v>#VALUE!</v>
      </c>
      <c r="Q82" s="156" t="e">
        <f>_xll.qlRateHelperLatestDate($L82)</f>
        <v>#VALUE!</v>
      </c>
    </row>
    <row r="83" spans="1:17" x14ac:dyDescent="0.2">
      <c r="A83" s="87"/>
      <c r="B83" s="163" t="e">
        <f>_xll.qlECBdate(E83,,Trigger)</f>
        <v>#VALUE!</v>
      </c>
      <c r="C83" s="161"/>
      <c r="D83" s="162" t="s">
        <v>165</v>
      </c>
      <c r="E83" s="161" t="e">
        <f>_xll.qlECBNextCode(B82)</f>
        <v>#NUM!</v>
      </c>
      <c r="F83" s="160" t="s">
        <v>164</v>
      </c>
      <c r="G83" s="160" t="s">
        <v>163</v>
      </c>
      <c r="H83" s="160">
        <f t="shared" si="8"/>
        <v>0</v>
      </c>
      <c r="I83" s="159">
        <v>0</v>
      </c>
      <c r="J83" s="158" t="e">
        <f t="shared" si="9"/>
        <v>#NUM!</v>
      </c>
      <c r="K83" s="158" t="e">
        <f t="shared" si="10"/>
        <v>#NUM!</v>
      </c>
      <c r="L83" s="157" t="e">
        <f>_xll.qlDatedOISRateHelper(K83,B83,B84,J83,$L$4,Permanent,,ObjectOverwrite)</f>
        <v>#VALUE!</v>
      </c>
      <c r="M83" s="88" t="str">
        <f ca="1">_xll.ohRangeRetrieveError(L83)</f>
        <v/>
      </c>
      <c r="N83" s="154"/>
      <c r="P83" s="156" t="e">
        <f>_xll.qlRateHelperEarliestDate(L83)</f>
        <v>#VALUE!</v>
      </c>
      <c r="Q83" s="156" t="e">
        <f>_xll.qlRateHelperLatestDate($L83)</f>
        <v>#VALUE!</v>
      </c>
    </row>
    <row r="84" spans="1:17" x14ac:dyDescent="0.2">
      <c r="A84" s="87"/>
      <c r="B84" s="163" t="e">
        <f>_xll.qlECBdate(E84,,Trigger)</f>
        <v>#VALUE!</v>
      </c>
      <c r="C84" s="161"/>
      <c r="D84" s="162" t="s">
        <v>165</v>
      </c>
      <c r="E84" s="161" t="e">
        <f>_xll.qlECBNextCode(B83)</f>
        <v>#NUM!</v>
      </c>
      <c r="F84" s="160" t="s">
        <v>164</v>
      </c>
      <c r="G84" s="160" t="s">
        <v>163</v>
      </c>
      <c r="H84" s="160">
        <f t="shared" si="8"/>
        <v>0</v>
      </c>
      <c r="I84" s="159">
        <v>0</v>
      </c>
      <c r="J84" s="158" t="e">
        <f t="shared" si="9"/>
        <v>#NUM!</v>
      </c>
      <c r="K84" s="158" t="e">
        <f t="shared" si="10"/>
        <v>#NUM!</v>
      </c>
      <c r="L84" s="157" t="e">
        <f>_xll.qlDatedOISRateHelper(K84,B84,B85,J84,$L$4,Permanent,,ObjectOverwrite)</f>
        <v>#VALUE!</v>
      </c>
      <c r="M84" s="88" t="str">
        <f ca="1">_xll.ohRangeRetrieveError(L84)</f>
        <v/>
      </c>
      <c r="N84" s="154"/>
      <c r="P84" s="156" t="e">
        <f>_xll.qlRateHelperEarliestDate(L84)</f>
        <v>#VALUE!</v>
      </c>
      <c r="Q84" s="156" t="e">
        <f>_xll.qlRateHelperLatestDate($L84)</f>
        <v>#VALUE!</v>
      </c>
    </row>
    <row r="85" spans="1:17" x14ac:dyDescent="0.2">
      <c r="A85" s="87"/>
      <c r="B85" s="163" t="e">
        <f>_xll.qlECBdate(E85,,Trigger)</f>
        <v>#VALUE!</v>
      </c>
      <c r="C85" s="161"/>
      <c r="D85" s="162" t="s">
        <v>165</v>
      </c>
      <c r="E85" s="161" t="e">
        <f>_xll.qlECBNextCode(B84)</f>
        <v>#NUM!</v>
      </c>
      <c r="F85" s="160" t="s">
        <v>164</v>
      </c>
      <c r="G85" s="160" t="s">
        <v>163</v>
      </c>
      <c r="H85" s="160">
        <f t="shared" si="8"/>
        <v>0</v>
      </c>
      <c r="I85" s="159">
        <v>0</v>
      </c>
      <c r="J85" s="158" t="e">
        <f t="shared" si="9"/>
        <v>#NUM!</v>
      </c>
      <c r="K85" s="158" t="e">
        <f t="shared" si="10"/>
        <v>#NUM!</v>
      </c>
      <c r="L85" s="157" t="e">
        <f>_xll.qlDatedOISRateHelper(K85,B85,B86,J85,$L$4,Permanent,,ObjectOverwrite)</f>
        <v>#VALUE!</v>
      </c>
      <c r="M85" s="88" t="str">
        <f ca="1">_xll.ohRangeRetrieveError(L85)</f>
        <v/>
      </c>
      <c r="N85" s="154"/>
      <c r="P85" s="156" t="e">
        <f>_xll.qlRateHelperEarliestDate(L85)</f>
        <v>#VALUE!</v>
      </c>
      <c r="Q85" s="156" t="e">
        <f>_xll.qlRateHelperLatestDate($L85)</f>
        <v>#VALUE!</v>
      </c>
    </row>
    <row r="86" spans="1:17" x14ac:dyDescent="0.2">
      <c r="A86" s="87"/>
      <c r="B86" s="163" t="e">
        <f>_xll.qlECBdate(E86,,Trigger)</f>
        <v>#VALUE!</v>
      </c>
      <c r="C86" s="161"/>
      <c r="D86" s="162" t="s">
        <v>165</v>
      </c>
      <c r="E86" s="161" t="e">
        <f>_xll.qlECBNextCode(B85)</f>
        <v>#NUM!</v>
      </c>
      <c r="F86" s="160" t="s">
        <v>164</v>
      </c>
      <c r="G86" s="160" t="s">
        <v>163</v>
      </c>
      <c r="H86" s="160">
        <f t="shared" si="8"/>
        <v>0</v>
      </c>
      <c r="I86" s="159">
        <v>0</v>
      </c>
      <c r="J86" s="158" t="e">
        <f t="shared" si="9"/>
        <v>#NUM!</v>
      </c>
      <c r="K86" s="158" t="e">
        <f t="shared" si="10"/>
        <v>#NUM!</v>
      </c>
      <c r="L86" s="157" t="e">
        <f>_xll.qlDatedOISRateHelper(K86,B86,B87,J86,$L$4,Permanent,,ObjectOverwrite)</f>
        <v>#VALUE!</v>
      </c>
      <c r="M86" s="88" t="str">
        <f ca="1">_xll.ohRangeRetrieveError(L86)</f>
        <v/>
      </c>
      <c r="N86" s="154"/>
      <c r="P86" s="156" t="e">
        <f>_xll.qlRateHelperEarliestDate(L86)</f>
        <v>#VALUE!</v>
      </c>
      <c r="Q86" s="156" t="e">
        <f>_xll.qlRateHelperLatestDate($L86)</f>
        <v>#VALUE!</v>
      </c>
    </row>
    <row r="87" spans="1:17" x14ac:dyDescent="0.2">
      <c r="A87" s="87"/>
      <c r="B87" s="163" t="e">
        <f>_xll.qlECBdate(E87,,Trigger)</f>
        <v>#VALUE!</v>
      </c>
      <c r="C87" s="161"/>
      <c r="D87" s="162" t="s">
        <v>165</v>
      </c>
      <c r="E87" s="161" t="e">
        <f>_xll.qlECBNextCode(B86)</f>
        <v>#NUM!</v>
      </c>
      <c r="F87" s="160" t="s">
        <v>164</v>
      </c>
      <c r="G87" s="160" t="s">
        <v>163</v>
      </c>
      <c r="H87" s="160">
        <f t="shared" si="8"/>
        <v>0</v>
      </c>
      <c r="I87" s="159">
        <v>0</v>
      </c>
      <c r="J87" s="158" t="e">
        <f t="shared" si="9"/>
        <v>#NUM!</v>
      </c>
      <c r="K87" s="158" t="e">
        <f t="shared" si="10"/>
        <v>#NUM!</v>
      </c>
      <c r="L87" s="157" t="e">
        <f>_xll.qlDatedOISRateHelper(K87,B87,B88,J87,$L$4,Permanent,,ObjectOverwrite)</f>
        <v>#VALUE!</v>
      </c>
      <c r="M87" s="88" t="str">
        <f ca="1">_xll.ohRangeRetrieveError(L87)</f>
        <v/>
      </c>
      <c r="N87" s="154"/>
      <c r="P87" s="156" t="e">
        <f>_xll.qlRateHelperEarliestDate(L87)</f>
        <v>#VALUE!</v>
      </c>
      <c r="Q87" s="156" t="e">
        <f>_xll.qlRateHelperLatestDate($L87)</f>
        <v>#VALUE!</v>
      </c>
    </row>
    <row r="88" spans="1:17" x14ac:dyDescent="0.2">
      <c r="A88" s="87"/>
      <c r="B88" s="163" t="e">
        <f>_xll.qlECBdate(E88,,Trigger)</f>
        <v>#VALUE!</v>
      </c>
      <c r="C88" s="161"/>
      <c r="D88" s="162" t="s">
        <v>165</v>
      </c>
      <c r="E88" s="161" t="e">
        <f>_xll.qlECBNextCode(B87)</f>
        <v>#NUM!</v>
      </c>
      <c r="F88" s="160" t="s">
        <v>164</v>
      </c>
      <c r="G88" s="160" t="s">
        <v>163</v>
      </c>
      <c r="H88" s="160">
        <f t="shared" si="8"/>
        <v>0</v>
      </c>
      <c r="I88" s="159">
        <v>0</v>
      </c>
      <c r="J88" s="158" t="e">
        <f t="shared" si="9"/>
        <v>#NUM!</v>
      </c>
      <c r="K88" s="158" t="e">
        <f t="shared" si="10"/>
        <v>#NUM!</v>
      </c>
      <c r="L88" s="157" t="e">
        <f>_xll.qlDatedOISRateHelper(K88,B88,B89,J88,$L$4,Permanent,,ObjectOverwrite)</f>
        <v>#VALUE!</v>
      </c>
      <c r="M88" s="88" t="str">
        <f ca="1">_xll.ohRangeRetrieveError(L88)</f>
        <v/>
      </c>
      <c r="N88" s="154"/>
      <c r="P88" s="156" t="e">
        <f>_xll.qlRateHelperEarliestDate(L88)</f>
        <v>#VALUE!</v>
      </c>
      <c r="Q88" s="156" t="e">
        <f>_xll.qlRateHelperLatestDate($L88)</f>
        <v>#VALUE!</v>
      </c>
    </row>
    <row r="89" spans="1:17" x14ac:dyDescent="0.2">
      <c r="A89" s="87"/>
      <c r="B89" s="163" t="e">
        <f>_xll.qlECBdate(E89,,Trigger)</f>
        <v>#VALUE!</v>
      </c>
      <c r="C89" s="161"/>
      <c r="D89" s="162" t="s">
        <v>165</v>
      </c>
      <c r="E89" s="161" t="e">
        <f>_xll.qlECBNextCode(B88)</f>
        <v>#NUM!</v>
      </c>
      <c r="F89" s="160" t="s">
        <v>164</v>
      </c>
      <c r="G89" s="160" t="s">
        <v>163</v>
      </c>
      <c r="H89" s="160">
        <f t="shared" si="8"/>
        <v>0</v>
      </c>
      <c r="I89" s="159">
        <v>0</v>
      </c>
      <c r="J89" s="158" t="e">
        <f t="shared" si="9"/>
        <v>#NUM!</v>
      </c>
      <c r="K89" s="158" t="e">
        <f t="shared" si="10"/>
        <v>#NUM!</v>
      </c>
      <c r="L89" s="157" t="e">
        <f>_xll.qlDatedOISRateHelper(K89,B89,B90,J89,$L$4,Permanent,,ObjectOverwrite)</f>
        <v>#VALUE!</v>
      </c>
      <c r="M89" s="88" t="str">
        <f ca="1">_xll.ohRangeRetrieveError(L89)</f>
        <v/>
      </c>
      <c r="N89" s="154"/>
      <c r="P89" s="156" t="e">
        <f>_xll.qlRateHelperEarliestDate(L89)</f>
        <v>#VALUE!</v>
      </c>
      <c r="Q89" s="156" t="e">
        <f>_xll.qlRateHelperLatestDate($L89)</f>
        <v>#VALUE!</v>
      </c>
    </row>
    <row r="90" spans="1:17" x14ac:dyDescent="0.2">
      <c r="A90" s="87"/>
      <c r="B90" s="163" t="e">
        <f>_xll.qlECBdate(E90,,Trigger)</f>
        <v>#VALUE!</v>
      </c>
      <c r="C90" s="161"/>
      <c r="D90" s="162" t="s">
        <v>165</v>
      </c>
      <c r="E90" s="161" t="e">
        <f>_xll.qlECBNextCode(B89)</f>
        <v>#NUM!</v>
      </c>
      <c r="F90" s="160" t="s">
        <v>164</v>
      </c>
      <c r="G90" s="160" t="s">
        <v>163</v>
      </c>
      <c r="H90" s="160">
        <f t="shared" si="8"/>
        <v>0</v>
      </c>
      <c r="I90" s="159">
        <v>0</v>
      </c>
      <c r="J90" s="158" t="e">
        <f t="shared" si="9"/>
        <v>#NUM!</v>
      </c>
      <c r="K90" s="158" t="e">
        <f t="shared" si="10"/>
        <v>#NUM!</v>
      </c>
      <c r="L90" s="157" t="e">
        <f>_xll.qlDatedOISRateHelper(K90,B90,B91,J90,$L$4,Permanent,,ObjectOverwrite)</f>
        <v>#VALUE!</v>
      </c>
      <c r="M90" s="88" t="str">
        <f ca="1">_xll.ohRangeRetrieveError(L90)</f>
        <v/>
      </c>
      <c r="N90" s="154"/>
      <c r="P90" s="156" t="e">
        <f>_xll.qlRateHelperEarliestDate(L90)</f>
        <v>#VALUE!</v>
      </c>
      <c r="Q90" s="156" t="e">
        <f>_xll.qlRateHelperLatestDate($L90)</f>
        <v>#VALUE!</v>
      </c>
    </row>
    <row r="91" spans="1:17" x14ac:dyDescent="0.2">
      <c r="A91" s="87"/>
      <c r="B91" s="163" t="e">
        <f>_xll.qlECBdate(E91,,Trigger)</f>
        <v>#VALUE!</v>
      </c>
      <c r="C91" s="161"/>
      <c r="D91" s="162" t="s">
        <v>165</v>
      </c>
      <c r="E91" s="161" t="e">
        <f>_xll.qlECBNextCode(B90)</f>
        <v>#NUM!</v>
      </c>
      <c r="F91" s="160" t="s">
        <v>164</v>
      </c>
      <c r="G91" s="160" t="s">
        <v>163</v>
      </c>
      <c r="H91" s="160">
        <f t="shared" si="8"/>
        <v>0</v>
      </c>
      <c r="I91" s="159">
        <v>0</v>
      </c>
      <c r="J91" s="158" t="e">
        <f t="shared" si="9"/>
        <v>#NUM!</v>
      </c>
      <c r="K91" s="158" t="e">
        <f t="shared" si="10"/>
        <v>#NUM!</v>
      </c>
      <c r="L91" s="157" t="e">
        <f>_xll.qlDatedOISRateHelper(K91,B91,B92,J91,$L$4,Permanent,,ObjectOverwrite)</f>
        <v>#VALUE!</v>
      </c>
      <c r="M91" s="88" t="str">
        <f ca="1">_xll.ohRangeRetrieveError(L91)</f>
        <v/>
      </c>
      <c r="N91" s="154"/>
      <c r="P91" s="156" t="e">
        <f>_xll.qlRateHelperEarliestDate(L91)</f>
        <v>#VALUE!</v>
      </c>
      <c r="Q91" s="156" t="e">
        <f>_xll.qlRateHelperLatestDate($L91)</f>
        <v>#VALUE!</v>
      </c>
    </row>
    <row r="92" spans="1:17" x14ac:dyDescent="0.2">
      <c r="A92" s="87"/>
      <c r="B92" s="163" t="e">
        <f>_xll.qlECBdate(E92,,Trigger)</f>
        <v>#VALUE!</v>
      </c>
      <c r="C92" s="161"/>
      <c r="D92" s="162" t="s">
        <v>165</v>
      </c>
      <c r="E92" s="161" t="e">
        <f>_xll.qlECBNextCode(B91)</f>
        <v>#NUM!</v>
      </c>
      <c r="F92" s="160" t="s">
        <v>164</v>
      </c>
      <c r="G92" s="160" t="s">
        <v>163</v>
      </c>
      <c r="H92" s="160">
        <f t="shared" si="8"/>
        <v>0</v>
      </c>
      <c r="I92" s="159">
        <v>0</v>
      </c>
      <c r="J92" s="158" t="e">
        <f t="shared" si="9"/>
        <v>#NUM!</v>
      </c>
      <c r="K92" s="158" t="e">
        <f t="shared" si="10"/>
        <v>#NUM!</v>
      </c>
      <c r="L92" s="157" t="e">
        <f>_xll.qlDatedOISRateHelper(K92,B92,B93,J92,$L$4,Permanent,,ObjectOverwrite)</f>
        <v>#VALUE!</v>
      </c>
      <c r="M92" s="88" t="str">
        <f ca="1">_xll.ohRangeRetrieveError(L92)</f>
        <v/>
      </c>
      <c r="N92" s="154"/>
      <c r="P92" s="156" t="e">
        <f>_xll.qlRateHelperEarliestDate(L92)</f>
        <v>#VALUE!</v>
      </c>
      <c r="Q92" s="156" t="e">
        <f>_xll.qlRateHelperLatestDate($L92)</f>
        <v>#VALUE!</v>
      </c>
    </row>
    <row r="93" spans="1:17" x14ac:dyDescent="0.2">
      <c r="A93" s="87"/>
      <c r="B93" s="163" t="e">
        <f>_xll.qlECBdate(E93,,Trigger)</f>
        <v>#VALUE!</v>
      </c>
      <c r="C93" s="161"/>
      <c r="D93" s="162" t="s">
        <v>165</v>
      </c>
      <c r="E93" s="161" t="e">
        <f>_xll.qlECBNextCode(B92)</f>
        <v>#NUM!</v>
      </c>
      <c r="F93" s="160" t="s">
        <v>164</v>
      </c>
      <c r="G93" s="160" t="s">
        <v>163</v>
      </c>
      <c r="H93" s="160">
        <f t="shared" si="8"/>
        <v>0</v>
      </c>
      <c r="I93" s="159">
        <v>0</v>
      </c>
      <c r="J93" s="158" t="e">
        <f t="shared" si="9"/>
        <v>#NUM!</v>
      </c>
      <c r="K93" s="158" t="e">
        <f t="shared" si="10"/>
        <v>#NUM!</v>
      </c>
      <c r="L93" s="157" t="e">
        <f>_xll.qlDatedOISRateHelper(K93,B93,B94,J93,$L$4,Permanent,,ObjectOverwrite)</f>
        <v>#VALUE!</v>
      </c>
      <c r="M93" s="88" t="str">
        <f ca="1">_xll.ohRangeRetrieveError(L93)</f>
        <v/>
      </c>
      <c r="N93" s="154"/>
      <c r="P93" s="156" t="e">
        <f>_xll.qlRateHelperEarliestDate(L93)</f>
        <v>#VALUE!</v>
      </c>
      <c r="Q93" s="156" t="e">
        <f>_xll.qlRateHelperLatestDate($L93)</f>
        <v>#VALUE!</v>
      </c>
    </row>
    <row r="94" spans="1:17" x14ac:dyDescent="0.2">
      <c r="A94" s="87"/>
      <c r="B94" s="163" t="e">
        <f>_xll.qlECBdate(E94,,Trigger)</f>
        <v>#VALUE!</v>
      </c>
      <c r="C94" s="161"/>
      <c r="D94" s="162" t="s">
        <v>165</v>
      </c>
      <c r="E94" s="161" t="e">
        <f>_xll.qlECBNextCode(B93)</f>
        <v>#NUM!</v>
      </c>
      <c r="F94" s="160" t="s">
        <v>164</v>
      </c>
      <c r="G94" s="160" t="s">
        <v>163</v>
      </c>
      <c r="H94" s="160">
        <f t="shared" si="8"/>
        <v>0</v>
      </c>
      <c r="I94" s="159">
        <v>0</v>
      </c>
      <c r="J94" s="158" t="e">
        <f t="shared" si="9"/>
        <v>#NUM!</v>
      </c>
      <c r="K94" s="158" t="e">
        <f t="shared" si="10"/>
        <v>#NUM!</v>
      </c>
      <c r="L94" s="157" t="e">
        <f>_xll.qlDatedOISRateHelper(K94,B94,B95,J94,$L$4,Permanent,,ObjectOverwrite)</f>
        <v>#VALUE!</v>
      </c>
      <c r="M94" s="88" t="str">
        <f ca="1">_xll.ohRangeRetrieveError(L94)</f>
        <v/>
      </c>
      <c r="N94" s="154"/>
      <c r="P94" s="156" t="e">
        <f>_xll.qlRateHelperEarliestDate(L94)</f>
        <v>#VALUE!</v>
      </c>
      <c r="Q94" s="156" t="e">
        <f>_xll.qlRateHelperLatestDate($L94)</f>
        <v>#VALUE!</v>
      </c>
    </row>
    <row r="95" spans="1:17" x14ac:dyDescent="0.2">
      <c r="A95" s="87"/>
      <c r="B95" s="163" t="e">
        <f>_xll.qlECBdate(E95,,Trigger)</f>
        <v>#VALUE!</v>
      </c>
      <c r="C95" s="161"/>
      <c r="D95" s="162" t="s">
        <v>165</v>
      </c>
      <c r="E95" s="161" t="e">
        <f>_xll.qlECBNextCode(B94)</f>
        <v>#NUM!</v>
      </c>
      <c r="F95" s="160" t="s">
        <v>164</v>
      </c>
      <c r="G95" s="160" t="s">
        <v>163</v>
      </c>
      <c r="H95" s="160">
        <f t="shared" si="8"/>
        <v>0</v>
      </c>
      <c r="I95" s="159">
        <v>0</v>
      </c>
      <c r="J95" s="158" t="e">
        <f t="shared" si="9"/>
        <v>#NUM!</v>
      </c>
      <c r="K95" s="158" t="e">
        <f t="shared" si="10"/>
        <v>#NUM!</v>
      </c>
      <c r="L95" s="157" t="e">
        <f>_xll.qlDatedOISRateHelper(K95,B95,#REF!,J95,$L$4,Permanent,,ObjectOverwrite)</f>
        <v>#VALUE!</v>
      </c>
      <c r="M95" s="88" t="str">
        <f ca="1">_xll.ohRangeRetrieveError(L95)</f>
        <v/>
      </c>
      <c r="N95" s="154"/>
      <c r="P95" s="156" t="e">
        <f>_xll.qlRateHelperEarliestDate(L95)</f>
        <v>#VALUE!</v>
      </c>
      <c r="Q95" s="156" t="e">
        <f>_xll.qlRateHelperLatestDate($L95)</f>
        <v>#VALUE!</v>
      </c>
    </row>
    <row r="96" spans="1:17" ht="12" thickBot="1" x14ac:dyDescent="0.25">
      <c r="A96" s="86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153"/>
      <c r="M96" s="153"/>
      <c r="N96" s="152"/>
      <c r="P96" s="156" t="e">
        <f>_xll.qlRateHelperEarliestDate(L96)</f>
        <v>#NUM!</v>
      </c>
      <c r="Q96" s="156" t="e">
        <f>_xll.qlRateHelperLatestDate($L96)</f>
        <v>#NUM!</v>
      </c>
    </row>
  </sheetData>
  <dataValidations disablePrompts="1"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34</vt:i4>
      </vt:variant>
    </vt:vector>
  </HeadingPairs>
  <TitlesOfParts>
    <vt:vector size="40" baseType="lpstr">
      <vt:lpstr>General Settings</vt:lpstr>
      <vt:lpstr>RateHelpers</vt:lpstr>
      <vt:lpstr>Selected</vt:lpstr>
      <vt:lpstr>ON_Deposits</vt:lpstr>
      <vt:lpstr>ON_FRAs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2013-12-12T22:20:44Z</dcterms:created>
  <dcterms:modified xsi:type="dcterms:W3CDTF">2014-05-09T12:32:21Z</dcterms:modified>
</cp:coreProperties>
</file>