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5370" yWindow="-45" windowWidth="9480" windowHeight="7755" tabRatio="879"/>
  </bookViews>
  <sheets>
    <sheet name="General Settings" sheetId="56" r:id="rId1"/>
    <sheet name="Libor" sheetId="6" r:id="rId2"/>
    <sheet name="LiborSwapIsdaFixAm" sheetId="7" r:id="rId3"/>
    <sheet name="LiborSwapIsdaFixPm" sheetId="8" r:id="rId4"/>
    <sheet name="BasisSwap1MxM" sheetId="11" r:id="rId5"/>
    <sheet name="BasisSwap3M6M" sheetId="12" r:id="rId6"/>
    <sheet name="BasisSwapxM12M" sheetId="13" r:id="rId7"/>
    <sheet name="Deposits" sheetId="15" r:id="rId8"/>
    <sheet name="FRA" sheetId="16" r:id="rId9"/>
    <sheet name="Futures1M" sheetId="17" r:id="rId10"/>
    <sheet name="Futures3M" sheetId="18" r:id="rId11"/>
    <sheet name="ImmFra6M " sheetId="19" r:id="rId12"/>
    <sheet name="FuturesHWConvAdj" sheetId="20" r:id="rId13"/>
    <sheet name="OIS" sheetId="22" r:id="rId14"/>
    <sheet name="Swaps1M" sheetId="23" r:id="rId15"/>
    <sheet name="SwapsIMMDated" sheetId="24" r:id="rId16"/>
    <sheet name="Swap3M" sheetId="25" r:id="rId17"/>
    <sheet name="Swap6M" sheetId="26" r:id="rId18"/>
    <sheet name="ON" sheetId="28" r:id="rId19"/>
    <sheet name="1M (2)" sheetId="34" r:id="rId20"/>
    <sheet name="3M (2)" sheetId="35" r:id="rId21"/>
    <sheet name="FwdEONIAOIS" sheetId="55" r:id="rId22"/>
    <sheet name="SFIX3" sheetId="60" r:id="rId23"/>
    <sheet name="IB365" sheetId="61" r:id="rId24"/>
    <sheet name="IBOR" sheetId="62" r:id="rId25"/>
  </sheets>
  <definedNames>
    <definedName name="Contributor" localSheetId="7">Deposits!$J$2</definedName>
    <definedName name="Contributor" localSheetId="21">FwdEONIAOIS!$F$2</definedName>
    <definedName name="Contributor" localSheetId="13">OIS!$O$2</definedName>
    <definedName name="Contributor">Swap3M!$S$2</definedName>
    <definedName name="Contributors">'General Settings'!$C$12:$C$18</definedName>
    <definedName name="ContributorTable" localSheetId="7">Deposits!$S$5:$W$13</definedName>
    <definedName name="ContributorTable">'General Settings'!$C$12:$D$18</definedName>
    <definedName name="Conventions" localSheetId="4">BasisSwap1MxM!$AF$5:$AH$9</definedName>
    <definedName name="Conventions" localSheetId="5">BasisSwap3M6M!$AF$5:$AH$9</definedName>
    <definedName name="Conventions" localSheetId="6">BasisSwapxM12M!$AF$5:$AH$9</definedName>
    <definedName name="Conventions" localSheetId="16">Swap3M!$AF$5:$AH$9</definedName>
    <definedName name="Conventions" localSheetId="17">Swap6M!$AF$5:$AH$9</definedName>
    <definedName name="Counter" localSheetId="21">FwdEONIAOIS!$Q$3</definedName>
    <definedName name="Counter">Futures1M!$Z$4</definedName>
    <definedName name="Currency">'General Settings'!$I$10</definedName>
    <definedName name="Discounting">'General Settings'!$I$12</definedName>
    <definedName name="Discounting2">'General Settings'!$I$13</definedName>
    <definedName name="EvaluationDate">'General Settings'!$I$14</definedName>
    <definedName name="FamilyName" localSheetId="1">Libor!$E$3</definedName>
    <definedName name="FamilyName" localSheetId="2">LiborSwapIsdaFixAm!$F$3</definedName>
    <definedName name="FamilyName" localSheetId="3">LiborSwapIsdaFixPm!$F$3</definedName>
    <definedName name="FamilyName">'General Settings'!$I$22</definedName>
    <definedName name="FileName" localSheetId="1">Libor!#REF!</definedName>
    <definedName name="FileName" localSheetId="2">LiborSwapIsdaFixAm!$E$6</definedName>
    <definedName name="FileName" localSheetId="3">LiborSwapIsdaFixPm!$E$6</definedName>
    <definedName name="FileOverwrite">'General Settings'!$I$9</definedName>
    <definedName name="FixingType" localSheetId="2">LiborSwapIsdaFixAm!$F$4</definedName>
    <definedName name="FixingType" localSheetId="3">LiborSwapIsdaFixPm!$F$4</definedName>
    <definedName name="FixingType">'General Settings'!$I$23</definedName>
    <definedName name="FuturesCodes" localSheetId="9">Futures1M!$M$6:$M$17</definedName>
    <definedName name="FuturesCodes" localSheetId="10">Futures3M!$M$6:$M$47</definedName>
    <definedName name="FuturesDates" localSheetId="9">Futures1M!$N$6:$N$17</definedName>
    <definedName name="FuturesDates" localSheetId="10">Futures3M!$N$6:$N$47</definedName>
    <definedName name="IborIndex" localSheetId="9">Futures1M!$AM$4</definedName>
    <definedName name="IborIndex" localSheetId="10">Futures3M!$AM$4</definedName>
    <definedName name="Instruments" localSheetId="4">BasisSwap1MxM!$R$5:$R$42</definedName>
    <definedName name="Instruments" localSheetId="6">BasisSwapxM12M!$R$5:$R$42</definedName>
    <definedName name="Instruments" localSheetId="8">FRA!$M$7:$M$21</definedName>
    <definedName name="Instruments" localSheetId="21">FwdEONIAOIS!$E$5:$E$10</definedName>
    <definedName name="Instruments" localSheetId="13">OIS!$N$5:$N$58</definedName>
    <definedName name="Instruments" localSheetId="16">Swap3M!$R$5:$R$42</definedName>
    <definedName name="Instruments" localSheetId="17">Swap6M!$R$5:$R$42</definedName>
    <definedName name="Instruments" localSheetId="14">Swaps1M!$N$5:$N$18</definedName>
    <definedName name="Instruments" localSheetId="15">SwapsIMMDated!$N$5:$N$11</definedName>
    <definedName name="InterpolationType">'General Settings'!$D$9</definedName>
    <definedName name="LastFixingsTrigger">'General Settings'!$D$8</definedName>
    <definedName name="LastUpdate">'General Settings'!$D$20</definedName>
    <definedName name="LiffeCodes" localSheetId="9">Futures1M!$AC$6:$AD$10</definedName>
    <definedName name="LiffeCodes" localSheetId="10">Futures3M!$AC$6:$AD$10</definedName>
    <definedName name="LiveDataFeed">'General Settings'!$D$21</definedName>
    <definedName name="MeanReversion" localSheetId="9">Futures1M!$AM$3</definedName>
    <definedName name="MeanReversion" localSheetId="10">Futures3M!$AM$3</definedName>
    <definedName name="Months" localSheetId="18">ON!$B$1</definedName>
    <definedName name="ObjectOverwrite">'General Settings'!$I$6</definedName>
    <definedName name="OverNightIndexCalendar">'General Settings'!$I$31</definedName>
    <definedName name="Permanent">'General Settings'!$I$5</definedName>
    <definedName name="PriceTickValue">'General Settings'!$I$21</definedName>
    <definedName name="Quote" localSheetId="4">BasisSwap1MxM!$AB$5:$AB$42</definedName>
    <definedName name="Quote" localSheetId="5">BasisSwap3M6M!$AB$5:$AB$42</definedName>
    <definedName name="Quote" localSheetId="6">BasisSwapxM12M!$AB$5:$AB$42</definedName>
    <definedName name="Quote" localSheetId="7">Deposits!$O$5:$O$22</definedName>
    <definedName name="Quote" localSheetId="8">FRA!$W$7:$W$21</definedName>
    <definedName name="Quote" localSheetId="9">Futures1M!$Y$6:$Y$17</definedName>
    <definedName name="Quote" localSheetId="10">Futures3M!$Y$6:$Y$47</definedName>
    <definedName name="Quote" localSheetId="12">FuturesHWConvAdj!$P$5:$P$6</definedName>
    <definedName name="Quote" localSheetId="21">FwdEONIAOIS!$P$5:$P$10</definedName>
    <definedName name="Quote" localSheetId="13">OIS!$X$5:$X$58</definedName>
    <definedName name="Quote" localSheetId="16">Swap3M!$AB$5:$AB$42</definedName>
    <definedName name="Quote" localSheetId="14">Swaps1M!$X$5:$X$18</definedName>
    <definedName name="QuoteLive" localSheetId="4">BasisSwap1MxM!$X$5:$X$42</definedName>
    <definedName name="QuoteLive" localSheetId="5">BasisSwap3M6M!$X$5:$X$42</definedName>
    <definedName name="QuoteLive" localSheetId="6">BasisSwapxM12M!$X$5:$X$42</definedName>
    <definedName name="QuoteLive" localSheetId="7">Deposits!$K$5:$K$22</definedName>
    <definedName name="QuoteLive" localSheetId="8">FRA!$S$7:$S$21</definedName>
    <definedName name="QuoteLive" localSheetId="9">Futures1M!$U$6:$U$17</definedName>
    <definedName name="QuoteLive" localSheetId="10">Futures3M!$U$6:$U$47</definedName>
    <definedName name="QuoteLive" localSheetId="12">FuturesHWConvAdj!$L$5:$L$6</definedName>
    <definedName name="QuoteLive" localSheetId="21">FwdEONIAOIS!$K$5:$K$10</definedName>
    <definedName name="QuoteLive" localSheetId="13">OIS!$T$5:$T$58</definedName>
    <definedName name="QuoteLive" localSheetId="16">Swap3M!$X$5:$X$42</definedName>
    <definedName name="QuoteLive" localSheetId="17">Swap6M!$X$5:$X$42</definedName>
    <definedName name="QuoteLive" localSheetId="14">Swaps1M!$T$5:$T$18</definedName>
    <definedName name="QuoteLive" localSheetId="15">SwapsIMMDated!$T$5:$T$11</definedName>
    <definedName name="QuoteStatic" localSheetId="4">BasisSwap1MxM!$Z$5:$Z$42</definedName>
    <definedName name="QuoteStatic" localSheetId="5">BasisSwap3M6M!$Z$5:$Z$42</definedName>
    <definedName name="QuoteStatic" localSheetId="6">BasisSwapxM12M!$Z$5:$Z$42</definedName>
    <definedName name="QuoteStatic" localSheetId="7">Deposits!$M$5:$M$22</definedName>
    <definedName name="QuoteStatic" localSheetId="8">FRA!$U$7:$U$21</definedName>
    <definedName name="QuoteStatic" localSheetId="9">Futures1M!$W$6:$W$17</definedName>
    <definedName name="QuoteStatic" localSheetId="10">Futures3M!$W$6:$W$47</definedName>
    <definedName name="QuoteStatic" localSheetId="12">FuturesHWConvAdj!$N$5:$N$6</definedName>
    <definedName name="QuoteStatic" localSheetId="21">FwdEONIAOIS!$M$5:$M$10</definedName>
    <definedName name="QuoteStatic" localSheetId="13">OIS!$V$5:$V$58</definedName>
    <definedName name="QuoteStatic" localSheetId="16">Swap3M!$Z$5:$Z$42</definedName>
    <definedName name="QuoteStatic" localSheetId="17">Swap6M!$Z$5:$Z$42</definedName>
    <definedName name="QuoteStatic" localSheetId="14">Swaps1M!$V$5:$V$18</definedName>
    <definedName name="QuoteStatic" localSheetId="15">SwapsIMMDated!$V$5:$V$11</definedName>
    <definedName name="QuoteSuffix">'General Settings'!$I$19</definedName>
    <definedName name="RateTickValue">'General Settings'!$I$20</definedName>
    <definedName name="ReutersRtMode">'General Settings'!$D$6</definedName>
    <definedName name="SerializationPath">'General Settings'!$I$8</definedName>
    <definedName name="Serialize">'General Settings'!$I$7</definedName>
    <definedName name="Swap3M4Y">Swap3M!$AB$12</definedName>
    <definedName name="Swap6M4Y">Swap6M!$AB$12</definedName>
    <definedName name="SwapMainSetConventions">Swap3M!$J$6:$L$10</definedName>
    <definedName name="SwapSecondarySetConventions">Swap6M!$J$3:$L$7</definedName>
    <definedName name="Tenor" localSheetId="18">ON!$C$1</definedName>
    <definedName name="Traits" localSheetId="23">'IB365'!$C$24:$E$30</definedName>
    <definedName name="Traits" localSheetId="24">IBOR!$C$24:$E$30</definedName>
    <definedName name="Traits" localSheetId="1">Libor!#REF!</definedName>
    <definedName name="Traits" localSheetId="2">LiborSwapIsdaFixAm!$L$24:$N$30</definedName>
    <definedName name="Traits" localSheetId="3">LiborSwapIsdaFixPm!$L$24:$N$30</definedName>
    <definedName name="Traits" localSheetId="22">SFIX3!$C$21:$E$27</definedName>
    <definedName name="Trigger">'General Settings'!$I$4</definedName>
    <definedName name="TriggerCounter">'General Settings'!$D$7</definedName>
    <definedName name="Volatility" localSheetId="9">Futures1M!$AM$2</definedName>
    <definedName name="Volatility" localSheetId="10">Futures3M!$AM$2</definedName>
  </definedNames>
  <calcPr calcId="145621"/>
</workbook>
</file>

<file path=xl/calcChain.xml><?xml version="1.0" encoding="utf-8"?>
<calcChain xmlns="http://schemas.openxmlformats.org/spreadsheetml/2006/main">
  <c r="P5" i="55" l="1" a="1"/>
  <c r="AB5" i="25" a="1"/>
  <c r="X5" i="23" a="1"/>
  <c r="X5" i="22" a="1"/>
  <c r="Y6" i="18" a="1"/>
  <c r="Y6" i="17" a="1"/>
  <c r="W7" i="16" a="1"/>
  <c r="O5" i="15" a="1"/>
  <c r="AB5" i="13" a="1"/>
  <c r="AB5" i="12" a="1"/>
  <c r="AB5" i="11" a="1"/>
  <c r="O17" i="15" l="1"/>
  <c r="O14" i="15"/>
  <c r="O13" i="15"/>
  <c r="O11" i="15"/>
  <c r="O9" i="15"/>
  <c r="O19" i="15"/>
  <c r="O18" i="15"/>
  <c r="O15" i="15"/>
  <c r="O12" i="15"/>
  <c r="O22" i="15"/>
  <c r="O20" i="15"/>
  <c r="O16" i="15"/>
  <c r="O10" i="15"/>
  <c r="O8" i="15"/>
  <c r="O21" i="15"/>
  <c r="H5" i="6"/>
  <c r="I5" i="6"/>
  <c r="G5" i="6"/>
  <c r="K7" i="6"/>
  <c r="K8" i="6"/>
  <c r="K9" i="6"/>
  <c r="K10" i="6"/>
  <c r="K11" i="6"/>
  <c r="K12" i="6"/>
  <c r="K6" i="6"/>
  <c r="E4" i="6"/>
  <c r="I31" i="56"/>
  <c r="I13" i="6"/>
  <c r="G7" i="6"/>
  <c r="H13" i="6"/>
  <c r="G9" i="6"/>
  <c r="E9" i="6"/>
  <c r="D6" i="6"/>
  <c r="D13" i="6"/>
  <c r="D12" i="6"/>
  <c r="D8" i="6"/>
  <c r="D10" i="6"/>
  <c r="G10" i="6" s="1"/>
  <c r="D11" i="6"/>
  <c r="E7" i="6"/>
  <c r="F7" i="6" s="1"/>
  <c r="I12" i="56" l="1"/>
  <c r="D8" i="56"/>
  <c r="E12" i="6"/>
  <c r="E10" i="6"/>
  <c r="H10" i="6"/>
  <c r="G8" i="6"/>
  <c r="G13" i="6"/>
  <c r="E6" i="6"/>
  <c r="G12" i="6"/>
  <c r="H7" i="6"/>
  <c r="F9" i="6"/>
  <c r="E11" i="6"/>
  <c r="F10" i="6"/>
  <c r="H12" i="6"/>
  <c r="H9" i="6"/>
  <c r="E8" i="6"/>
  <c r="G11" i="6"/>
  <c r="H6" i="6"/>
  <c r="G6" i="6"/>
  <c r="F11" i="6"/>
  <c r="F8" i="6"/>
  <c r="H8" i="6"/>
  <c r="AM2" i="17" l="1"/>
  <c r="AM3" i="17"/>
  <c r="AM4" i="17"/>
  <c r="AM6" i="17"/>
  <c r="H11" i="6"/>
  <c r="F12" i="6"/>
  <c r="AK7" i="17" a="1"/>
  <c r="F6" i="6"/>
  <c r="AK7" i="17" l="1"/>
  <c r="AK15" i="17"/>
  <c r="AK8" i="17"/>
  <c r="AM8" i="17" s="1"/>
  <c r="AK16" i="17"/>
  <c r="AK11" i="17"/>
  <c r="AK12" i="17"/>
  <c r="AK13" i="17"/>
  <c r="AK14" i="17"/>
  <c r="AK9" i="17"/>
  <c r="AK17" i="17"/>
  <c r="AK10" i="17"/>
  <c r="AK18" i="17"/>
  <c r="AL8" i="17" l="1"/>
  <c r="AL7" i="17"/>
  <c r="AM7" i="17"/>
  <c r="AL9" i="17"/>
  <c r="AM9" i="17"/>
  <c r="AL10" i="17"/>
  <c r="AM10" i="17"/>
  <c r="AL11" i="17"/>
  <c r="AN7" i="17"/>
  <c r="AN9" i="17"/>
  <c r="AN8" i="17"/>
  <c r="AN10" i="17"/>
  <c r="AM11" i="17" l="1"/>
  <c r="AL12" i="17"/>
  <c r="AM12" i="17"/>
  <c r="AL13" i="17"/>
  <c r="AN11" i="17"/>
  <c r="AN12" i="17"/>
  <c r="AO9" i="17"/>
  <c r="AO7" i="17"/>
  <c r="AO10" i="17"/>
  <c r="AO8" i="17"/>
  <c r="AM13" i="17" l="1"/>
  <c r="AL14" i="17"/>
  <c r="AM14" i="17"/>
  <c r="AL15" i="17"/>
  <c r="AN13" i="17"/>
  <c r="AN14" i="17"/>
  <c r="AO11" i="17"/>
  <c r="AO12" i="17"/>
  <c r="AM15" i="17" l="1"/>
  <c r="AL16" i="17"/>
  <c r="AM16" i="17"/>
  <c r="AL17" i="17"/>
  <c r="AM17" i="17"/>
  <c r="AL18" i="17"/>
  <c r="AN16" i="17"/>
  <c r="AN17" i="17"/>
  <c r="AN15" i="17"/>
  <c r="AO13" i="17"/>
  <c r="AO14" i="17"/>
  <c r="AM18" i="17" l="1"/>
  <c r="AL5" i="18"/>
  <c r="AK6" i="18" a="1"/>
  <c r="AN18" i="17"/>
  <c r="D6" i="17" a="1"/>
  <c r="AO15" i="17"/>
  <c r="AO17" i="17"/>
  <c r="AO16" i="17"/>
  <c r="D6" i="17" l="1"/>
  <c r="D14" i="17"/>
  <c r="D16" i="17"/>
  <c r="D13" i="17"/>
  <c r="D7" i="17"/>
  <c r="D15" i="17"/>
  <c r="D8" i="17"/>
  <c r="D9" i="17"/>
  <c r="D17" i="17"/>
  <c r="D10" i="17"/>
  <c r="D11" i="17"/>
  <c r="D12" i="17"/>
  <c r="AK6" i="18"/>
  <c r="AL6" i="18" s="1"/>
  <c r="AK7" i="18"/>
  <c r="AL7" i="18" s="1"/>
  <c r="AK8" i="18"/>
  <c r="AL8" i="18" s="1"/>
  <c r="AK9" i="18"/>
  <c r="AK10" i="18"/>
  <c r="AL10" i="18" s="1"/>
  <c r="AK11" i="18"/>
  <c r="AK12" i="18"/>
  <c r="AL12" i="18" s="1"/>
  <c r="AK13" i="18"/>
  <c r="AK14" i="18"/>
  <c r="AK15" i="18"/>
  <c r="AL15" i="18" s="1"/>
  <c r="AK16" i="18"/>
  <c r="AL16" i="18" s="1"/>
  <c r="AK17" i="18"/>
  <c r="AK18" i="18"/>
  <c r="AK19" i="18"/>
  <c r="AK20" i="18"/>
  <c r="AL20" i="18" s="1"/>
  <c r="AK21" i="18"/>
  <c r="AL21" i="18"/>
  <c r="AK22" i="18"/>
  <c r="AL22" i="18" s="1"/>
  <c r="AK23" i="18"/>
  <c r="AK24" i="18"/>
  <c r="AL24" i="18" s="1"/>
  <c r="AK25" i="18"/>
  <c r="AL25" i="18" s="1"/>
  <c r="AK26" i="18"/>
  <c r="AL26" i="18" s="1"/>
  <c r="AK27" i="18"/>
  <c r="AO18" i="17"/>
  <c r="AL11" i="18" l="1"/>
  <c r="AL18" i="18"/>
  <c r="AL23" i="18"/>
  <c r="AL14" i="18"/>
  <c r="AL19" i="18"/>
  <c r="AL17" i="18"/>
  <c r="AL9" i="18"/>
  <c r="AL13" i="18"/>
  <c r="AL27" i="18"/>
  <c r="AK28" i="18"/>
  <c r="AL28" i="18" s="1"/>
  <c r="AK29" i="18"/>
  <c r="AL29" i="18" l="1"/>
  <c r="AK30" i="18"/>
  <c r="AK31" i="18"/>
  <c r="AL30" i="18" l="1"/>
  <c r="AL31" i="18"/>
  <c r="AK32" i="18"/>
  <c r="AL32" i="18" s="1"/>
  <c r="AK33" i="18" l="1"/>
  <c r="AL33" i="18" s="1"/>
  <c r="AK34" i="18"/>
  <c r="AL34" i="18" l="1"/>
  <c r="AK35" i="18"/>
  <c r="AL35" i="18" s="1"/>
  <c r="AK36" i="18"/>
  <c r="AL36" i="18" s="1"/>
  <c r="AK37" i="18"/>
  <c r="AK38" i="18"/>
  <c r="AK39" i="18"/>
  <c r="AL39" i="18" s="1"/>
  <c r="AK40" i="18"/>
  <c r="AL40" i="18" s="1"/>
  <c r="AK41" i="18"/>
  <c r="AL41" i="18" s="1"/>
  <c r="AK42" i="18"/>
  <c r="AK43" i="18"/>
  <c r="AL43" i="18" s="1"/>
  <c r="AK44" i="18"/>
  <c r="AL44" i="18" s="1"/>
  <c r="AK45" i="18"/>
  <c r="AL45" i="18" s="1"/>
  <c r="AK46" i="18"/>
  <c r="AK47" i="18"/>
  <c r="AL47" i="18" s="1"/>
  <c r="AL37" i="18" l="1"/>
  <c r="AL42" i="18"/>
  <c r="AL46" i="18"/>
  <c r="AL38" i="18"/>
  <c r="D6" i="18" a="1"/>
  <c r="D6" i="18" l="1"/>
  <c r="D23" i="18"/>
  <c r="D40" i="18"/>
  <c r="D34" i="18"/>
  <c r="D20" i="18"/>
  <c r="D45" i="18"/>
  <c r="D31" i="18"/>
  <c r="D9" i="18"/>
  <c r="D28" i="18"/>
  <c r="D18" i="18"/>
  <c r="D22" i="18"/>
  <c r="D39" i="18"/>
  <c r="D17" i="18"/>
  <c r="D36" i="18"/>
  <c r="D47" i="18"/>
  <c r="D19" i="18"/>
  <c r="D38" i="18"/>
  <c r="D33" i="18"/>
  <c r="D13" i="18"/>
  <c r="D16" i="18"/>
  <c r="D41" i="18"/>
  <c r="D21" i="18"/>
  <c r="D24" i="18"/>
  <c r="D43" i="18"/>
  <c r="D15" i="18"/>
  <c r="D26" i="18"/>
  <c r="D37" i="18"/>
  <c r="D14" i="18"/>
  <c r="D42" i="18"/>
  <c r="D11" i="18"/>
  <c r="D30" i="18"/>
  <c r="D25" i="18"/>
  <c r="D44" i="18"/>
  <c r="D8" i="18"/>
  <c r="D27" i="18"/>
  <c r="D46" i="18"/>
  <c r="D35" i="18"/>
  <c r="D7" i="18"/>
  <c r="D10" i="18"/>
  <c r="D29" i="18"/>
  <c r="D32" i="18"/>
  <c r="D12" i="18"/>
  <c r="M5" i="8" l="1"/>
  <c r="M7" i="8" s="1"/>
  <c r="S5" i="8"/>
  <c r="S7" i="8" s="1"/>
  <c r="P7" i="8"/>
  <c r="P8" i="8"/>
  <c r="Q8" i="8" s="1"/>
  <c r="T7" i="8"/>
  <c r="M8" i="8" l="1"/>
  <c r="S8" i="8"/>
  <c r="U8" i="8"/>
  <c r="M9" i="8"/>
  <c r="P9" i="8"/>
  <c r="Q9" i="8" s="1"/>
  <c r="S9" i="8"/>
  <c r="Q7" i="8"/>
  <c r="T9" i="8"/>
  <c r="W8" i="8"/>
  <c r="T8" i="8"/>
  <c r="V8" i="8" l="1"/>
  <c r="X8" i="8" s="1"/>
  <c r="U9" i="8"/>
  <c r="V9" i="8" s="1"/>
  <c r="X9" i="8" s="1"/>
  <c r="M10" i="8"/>
  <c r="P10" i="8"/>
  <c r="Q10" i="8" s="1"/>
  <c r="S10" i="8"/>
  <c r="U7" i="8"/>
  <c r="T10" i="8"/>
  <c r="W9" i="8"/>
  <c r="V7" i="8" l="1"/>
  <c r="X7" i="8" s="1"/>
  <c r="U10" i="8"/>
  <c r="V10" i="8" s="1"/>
  <c r="X10" i="8" s="1"/>
  <c r="M11" i="8"/>
  <c r="P11" i="8"/>
  <c r="Q11" i="8" s="1"/>
  <c r="U11" i="8" s="1"/>
  <c r="S11" i="8"/>
  <c r="M12" i="8"/>
  <c r="P12" i="8"/>
  <c r="Q12" i="8" s="1"/>
  <c r="U12" i="8" s="1"/>
  <c r="S12" i="8"/>
  <c r="M13" i="8"/>
  <c r="P13" i="8"/>
  <c r="Q13" i="8" s="1"/>
  <c r="U13" i="8" s="1"/>
  <c r="S13" i="8"/>
  <c r="M14" i="8"/>
  <c r="P14" i="8"/>
  <c r="Q14" i="8" s="1"/>
  <c r="U14" i="8" s="1"/>
  <c r="S14" i="8"/>
  <c r="M15" i="8"/>
  <c r="P15" i="8"/>
  <c r="Q15" i="8" s="1"/>
  <c r="U15" i="8" s="1"/>
  <c r="S15" i="8"/>
  <c r="M16" i="8"/>
  <c r="P16" i="8"/>
  <c r="Q16" i="8" s="1"/>
  <c r="U16" i="8" s="1"/>
  <c r="S16" i="8"/>
  <c r="M17" i="8"/>
  <c r="P17" i="8"/>
  <c r="Q17" i="8" s="1"/>
  <c r="U17" i="8" s="1"/>
  <c r="S17" i="8"/>
  <c r="M18" i="8"/>
  <c r="P18" i="8"/>
  <c r="Q18" i="8" s="1"/>
  <c r="U18" i="8" s="1"/>
  <c r="S18" i="8"/>
  <c r="M19" i="8"/>
  <c r="P19" i="8"/>
  <c r="Q19" i="8" s="1"/>
  <c r="U19" i="8" s="1"/>
  <c r="S19" i="8"/>
  <c r="M20" i="8"/>
  <c r="P20" i="8"/>
  <c r="Q20" i="8" s="1"/>
  <c r="U20" i="8" s="1"/>
  <c r="S20" i="8"/>
  <c r="M21" i="8"/>
  <c r="P21" i="8"/>
  <c r="Q21" i="8" s="1"/>
  <c r="U21" i="8" s="1"/>
  <c r="S21" i="8"/>
  <c r="M5" i="7"/>
  <c r="M8" i="7" s="1"/>
  <c r="S5" i="7"/>
  <c r="S7" i="7" s="1"/>
  <c r="P7" i="7"/>
  <c r="P8" i="7"/>
  <c r="T7" i="7"/>
  <c r="W12" i="8"/>
  <c r="W10" i="8"/>
  <c r="W21" i="8"/>
  <c r="W18" i="8"/>
  <c r="T14" i="8"/>
  <c r="W20" i="8"/>
  <c r="T17" i="8"/>
  <c r="W17" i="8"/>
  <c r="T16" i="8"/>
  <c r="W7" i="8"/>
  <c r="T11" i="8"/>
  <c r="T19" i="8"/>
  <c r="W13" i="8"/>
  <c r="W11" i="8"/>
  <c r="T18" i="8"/>
  <c r="W19" i="8"/>
  <c r="W15" i="8"/>
  <c r="T12" i="8"/>
  <c r="T13" i="8"/>
  <c r="W14" i="8"/>
  <c r="T15" i="8"/>
  <c r="T21" i="8"/>
  <c r="W16" i="8"/>
  <c r="T20" i="8"/>
  <c r="M6" i="8"/>
  <c r="M7" i="7" l="1"/>
  <c r="V11" i="8"/>
  <c r="X11" i="8" s="1"/>
  <c r="V13" i="8"/>
  <c r="X13" i="8" s="1"/>
  <c r="V21" i="8"/>
  <c r="X21" i="8" s="1"/>
  <c r="V15" i="8"/>
  <c r="X15" i="8" s="1"/>
  <c r="V12" i="8"/>
  <c r="X12" i="8" s="1"/>
  <c r="V17" i="8"/>
  <c r="X17" i="8" s="1"/>
  <c r="V20" i="8"/>
  <c r="X20" i="8" s="1"/>
  <c r="V18" i="8"/>
  <c r="X18" i="8" s="1"/>
  <c r="V16" i="8"/>
  <c r="X16" i="8" s="1"/>
  <c r="V14" i="8"/>
  <c r="X14" i="8" s="1"/>
  <c r="V19" i="8"/>
  <c r="X19" i="8" s="1"/>
  <c r="S8" i="7"/>
  <c r="M9" i="7"/>
  <c r="P9" i="7"/>
  <c r="Q7" i="7"/>
  <c r="T8" i="7"/>
  <c r="V5" i="8" l="1"/>
  <c r="S9" i="7"/>
  <c r="M10" i="7"/>
  <c r="P10" i="7"/>
  <c r="U7" i="7"/>
  <c r="Q8" i="7"/>
  <c r="T9" i="7"/>
  <c r="V7" i="7" l="1"/>
  <c r="X7" i="7" s="1"/>
  <c r="S10" i="7"/>
  <c r="M11" i="7"/>
  <c r="P11" i="7"/>
  <c r="S11" i="7"/>
  <c r="M12" i="7"/>
  <c r="P12" i="7"/>
  <c r="S12" i="7"/>
  <c r="M13" i="7"/>
  <c r="P13" i="7"/>
  <c r="S13" i="7"/>
  <c r="M14" i="7"/>
  <c r="P14" i="7"/>
  <c r="S14" i="7"/>
  <c r="M15" i="7"/>
  <c r="P15" i="7"/>
  <c r="S15" i="7"/>
  <c r="M16" i="7"/>
  <c r="P16" i="7"/>
  <c r="S16" i="7"/>
  <c r="M17" i="7"/>
  <c r="P17" i="7"/>
  <c r="Q17" i="7" s="1"/>
  <c r="U17" i="7" s="1"/>
  <c r="S17" i="7"/>
  <c r="M18" i="7"/>
  <c r="P18" i="7"/>
  <c r="S18" i="7"/>
  <c r="M19" i="7"/>
  <c r="P19" i="7"/>
  <c r="S19" i="7"/>
  <c r="M20" i="7"/>
  <c r="P20" i="7"/>
  <c r="Q20" i="7" s="1"/>
  <c r="U20" i="7" s="1"/>
  <c r="S20" i="7"/>
  <c r="M21" i="7"/>
  <c r="P21" i="7"/>
  <c r="S21" i="7"/>
  <c r="P5" i="26" a="1"/>
  <c r="P5" i="26" s="1"/>
  <c r="Q5" i="26" a="1"/>
  <c r="Q5" i="26" s="1"/>
  <c r="Q9" i="7"/>
  <c r="U8" i="7"/>
  <c r="T14" i="7"/>
  <c r="W20" i="7"/>
  <c r="W17" i="7"/>
  <c r="T21" i="7"/>
  <c r="W7" i="7"/>
  <c r="T12" i="7"/>
  <c r="T10" i="7"/>
  <c r="T19" i="7"/>
  <c r="T16" i="7"/>
  <c r="T13" i="7"/>
  <c r="T17" i="7"/>
  <c r="T18" i="7"/>
  <c r="T20" i="7"/>
  <c r="X5" i="26"/>
  <c r="T15" i="7"/>
  <c r="T11" i="7"/>
  <c r="M6" i="7"/>
  <c r="V8" i="7" l="1"/>
  <c r="X8" i="7" s="1"/>
  <c r="V20" i="7"/>
  <c r="X20" i="7" s="1"/>
  <c r="V17" i="7"/>
  <c r="X17" i="7" s="1"/>
  <c r="R5" i="26"/>
  <c r="AJ5" i="26"/>
  <c r="P6" i="26"/>
  <c r="Q6" i="26"/>
  <c r="Q18" i="7"/>
  <c r="Q13" i="7"/>
  <c r="Q15" i="7"/>
  <c r="Q10" i="7"/>
  <c r="Q19" i="7"/>
  <c r="Q14" i="7"/>
  <c r="Q12" i="7"/>
  <c r="Q21" i="7"/>
  <c r="Q16" i="7"/>
  <c r="U9" i="7"/>
  <c r="Q11" i="7"/>
  <c r="W8" i="7"/>
  <c r="X6" i="26"/>
  <c r="V9" i="7" l="1"/>
  <c r="X9" i="7" s="1"/>
  <c r="R6" i="26"/>
  <c r="AJ6" i="26"/>
  <c r="P7" i="26"/>
  <c r="Q7" i="26"/>
  <c r="U11" i="7"/>
  <c r="U12" i="7"/>
  <c r="U10" i="7"/>
  <c r="U14" i="7"/>
  <c r="U16" i="7"/>
  <c r="U21" i="7"/>
  <c r="U13" i="7"/>
  <c r="U19" i="7"/>
  <c r="U18" i="7"/>
  <c r="U15" i="7"/>
  <c r="X7" i="26"/>
  <c r="W9" i="7"/>
  <c r="V16" i="7" l="1"/>
  <c r="X16" i="7" s="1"/>
  <c r="V13" i="7"/>
  <c r="X13" i="7" s="1"/>
  <c r="V14" i="7"/>
  <c r="X14" i="7" s="1"/>
  <c r="V19" i="7"/>
  <c r="X19" i="7" s="1"/>
  <c r="V21" i="7"/>
  <c r="X21" i="7" s="1"/>
  <c r="V10" i="7"/>
  <c r="X10" i="7" s="1"/>
  <c r="V11" i="7"/>
  <c r="X11" i="7" s="1"/>
  <c r="V18" i="7"/>
  <c r="X18" i="7" s="1"/>
  <c r="V12" i="7"/>
  <c r="X12" i="7" s="1"/>
  <c r="V15" i="7"/>
  <c r="X15" i="7" s="1"/>
  <c r="R7" i="26"/>
  <c r="AJ7" i="26"/>
  <c r="P8" i="26"/>
  <c r="Q8" i="26"/>
  <c r="W21" i="7"/>
  <c r="X8" i="26"/>
  <c r="W16" i="7"/>
  <c r="W11" i="7"/>
  <c r="W15" i="7"/>
  <c r="W10" i="7"/>
  <c r="W12" i="7"/>
  <c r="W13" i="7"/>
  <c r="W14" i="7"/>
  <c r="W18" i="7"/>
  <c r="W19" i="7"/>
  <c r="V5" i="7" l="1"/>
  <c r="R8" i="26"/>
  <c r="AJ8" i="26"/>
  <c r="P9" i="26"/>
  <c r="Q9" i="26"/>
  <c r="X9" i="26"/>
  <c r="R9" i="26" l="1"/>
  <c r="AJ9" i="26"/>
  <c r="P10" i="26"/>
  <c r="Q10" i="26"/>
  <c r="X10" i="26"/>
  <c r="R10" i="26" l="1"/>
  <c r="AJ10" i="26"/>
  <c r="P11" i="26"/>
  <c r="Q11" i="26"/>
  <c r="X11" i="26"/>
  <c r="R11" i="26" l="1"/>
  <c r="AJ11" i="26"/>
  <c r="P12" i="26"/>
  <c r="Q12" i="26"/>
  <c r="X12" i="26"/>
  <c r="R12" i="26" l="1"/>
  <c r="AJ12" i="26"/>
  <c r="P13" i="26"/>
  <c r="Q13" i="26"/>
  <c r="X13" i="26"/>
  <c r="R13" i="26" l="1"/>
  <c r="AJ13" i="26"/>
  <c r="P14" i="26"/>
  <c r="Q14" i="26"/>
  <c r="X14" i="26"/>
  <c r="R14" i="26" l="1"/>
  <c r="AJ14" i="26"/>
  <c r="P15" i="26"/>
  <c r="Q15" i="26"/>
  <c r="X15" i="26"/>
  <c r="R15" i="26" l="1"/>
  <c r="AJ15" i="26"/>
  <c r="P16" i="26"/>
  <c r="Q16" i="26"/>
  <c r="X16" i="26"/>
  <c r="R16" i="26" l="1"/>
  <c r="AJ16" i="26"/>
  <c r="P17" i="26"/>
  <c r="Q17" i="26"/>
  <c r="X17" i="26"/>
  <c r="R17" i="26" l="1"/>
  <c r="AJ17" i="26"/>
  <c r="P18" i="26"/>
  <c r="Q18" i="26"/>
  <c r="X18" i="26"/>
  <c r="R18" i="26" l="1"/>
  <c r="AJ18" i="26"/>
  <c r="P19" i="26"/>
  <c r="Q19" i="26"/>
  <c r="X19" i="26"/>
  <c r="R19" i="26" l="1"/>
  <c r="AJ19" i="26"/>
  <c r="P20" i="26"/>
  <c r="Q20" i="26"/>
  <c r="X20" i="26"/>
  <c r="R20" i="26" l="1"/>
  <c r="AJ20" i="26"/>
  <c r="P21" i="26"/>
  <c r="Q21" i="26"/>
  <c r="X21" i="26"/>
  <c r="R21" i="26" l="1"/>
  <c r="AJ21" i="26"/>
  <c r="P22" i="26"/>
  <c r="Q22" i="26"/>
  <c r="X22" i="26"/>
  <c r="R22" i="26" l="1"/>
  <c r="AJ22" i="26"/>
  <c r="P23" i="26"/>
  <c r="Q23" i="26"/>
  <c r="X23" i="26"/>
  <c r="R23" i="26" l="1"/>
  <c r="AJ23" i="26"/>
  <c r="P24" i="26"/>
  <c r="Q24" i="26"/>
  <c r="X24" i="26"/>
  <c r="R24" i="26" l="1"/>
  <c r="AJ24" i="26"/>
  <c r="P25" i="26"/>
  <c r="Q25" i="26"/>
  <c r="X25" i="26"/>
  <c r="R25" i="26" l="1"/>
  <c r="AJ25" i="26"/>
  <c r="P26" i="26"/>
  <c r="Q26" i="26"/>
  <c r="X26" i="26"/>
  <c r="R26" i="26" l="1"/>
  <c r="AJ26" i="26"/>
  <c r="P27" i="26"/>
  <c r="Q27" i="26"/>
  <c r="R27" i="26"/>
  <c r="X27" i="26"/>
  <c r="AJ27" i="26" l="1"/>
  <c r="P28" i="26"/>
  <c r="Q28" i="26"/>
  <c r="X28" i="26"/>
  <c r="R28" i="26" l="1"/>
  <c r="AJ28" i="26"/>
  <c r="P29" i="26"/>
  <c r="Q29" i="26"/>
  <c r="R29" i="26"/>
  <c r="X29" i="26"/>
  <c r="AJ29" i="26" l="1"/>
  <c r="P30" i="26"/>
  <c r="Q30" i="26"/>
  <c r="X30" i="26"/>
  <c r="R30" i="26" l="1"/>
  <c r="AJ30" i="26"/>
  <c r="P31" i="26"/>
  <c r="Q31" i="26"/>
  <c r="X31" i="26"/>
  <c r="R31" i="26" l="1"/>
  <c r="AJ31" i="26"/>
  <c r="P32" i="26"/>
  <c r="Q32" i="26"/>
  <c r="X32" i="26"/>
  <c r="R32" i="26" l="1"/>
  <c r="AJ32" i="26"/>
  <c r="P33" i="26"/>
  <c r="Q33" i="26"/>
  <c r="X33" i="26"/>
  <c r="R33" i="26" l="1"/>
  <c r="AJ33" i="26"/>
  <c r="P34" i="26"/>
  <c r="Q34" i="26"/>
  <c r="X34" i="26"/>
  <c r="R34" i="26" l="1"/>
  <c r="AJ34" i="26"/>
  <c r="P35" i="26"/>
  <c r="Q35" i="26"/>
  <c r="R35" i="26"/>
  <c r="X35" i="26"/>
  <c r="AJ35" i="26" l="1"/>
  <c r="P36" i="26"/>
  <c r="Q36" i="26"/>
  <c r="X36" i="26"/>
  <c r="R36" i="26" l="1"/>
  <c r="AJ36" i="26"/>
  <c r="P37" i="26"/>
  <c r="Q37" i="26"/>
  <c r="R37" i="26"/>
  <c r="X37" i="26"/>
  <c r="AJ37" i="26" l="1"/>
  <c r="P38" i="26"/>
  <c r="Q38" i="26"/>
  <c r="X38" i="26"/>
  <c r="R38" i="26" l="1"/>
  <c r="AJ38" i="26"/>
  <c r="P39" i="26"/>
  <c r="Q39" i="26"/>
  <c r="R39" i="26"/>
  <c r="X39" i="26"/>
  <c r="AJ39" i="26" l="1"/>
  <c r="P40" i="26"/>
  <c r="Q40" i="26"/>
  <c r="R40" i="26"/>
  <c r="X40" i="26"/>
  <c r="AJ40" i="26" l="1"/>
  <c r="P41" i="26"/>
  <c r="Q41" i="26"/>
  <c r="X41" i="26"/>
  <c r="R41" i="26" l="1"/>
  <c r="AJ41" i="26"/>
  <c r="P42" i="26"/>
  <c r="Q42" i="26"/>
  <c r="X42" i="26"/>
  <c r="R42" i="26" l="1"/>
  <c r="S5" i="26" a="1"/>
  <c r="S42" i="26" s="1"/>
  <c r="AB5" i="26" a="1"/>
  <c r="AB42" i="26" s="1"/>
  <c r="S34" i="26" l="1"/>
  <c r="S18" i="26"/>
  <c r="S33" i="26"/>
  <c r="S17" i="26"/>
  <c r="S32" i="26"/>
  <c r="S16" i="26"/>
  <c r="S31" i="26"/>
  <c r="S15" i="26"/>
  <c r="S30" i="26"/>
  <c r="S14" i="26"/>
  <c r="S29" i="26"/>
  <c r="S13" i="26"/>
  <c r="S28" i="26"/>
  <c r="S12" i="26"/>
  <c r="S27" i="26"/>
  <c r="S11" i="26"/>
  <c r="S26" i="26"/>
  <c r="S10" i="26"/>
  <c r="S41" i="26"/>
  <c r="S25" i="26"/>
  <c r="S9" i="26"/>
  <c r="S40" i="26"/>
  <c r="S24" i="26"/>
  <c r="S8" i="26"/>
  <c r="S39" i="26"/>
  <c r="S23" i="26"/>
  <c r="S7" i="26"/>
  <c r="S38" i="26"/>
  <c r="S22" i="26"/>
  <c r="S6" i="26"/>
  <c r="S37" i="26"/>
  <c r="S21" i="26"/>
  <c r="S5" i="26"/>
  <c r="S36" i="26"/>
  <c r="S20" i="26"/>
  <c r="S35" i="26"/>
  <c r="S19" i="26"/>
  <c r="AB5" i="26"/>
  <c r="AB6" i="26"/>
  <c r="AB7" i="26"/>
  <c r="AB8" i="26"/>
  <c r="AB9" i="26"/>
  <c r="AB10" i="26"/>
  <c r="AB11" i="26"/>
  <c r="AB12" i="26"/>
  <c r="AB13" i="26"/>
  <c r="AB14" i="26"/>
  <c r="AB15" i="26"/>
  <c r="AB16" i="26"/>
  <c r="AB17" i="26"/>
  <c r="AB18" i="26"/>
  <c r="AB19" i="26"/>
  <c r="AB20" i="26"/>
  <c r="AB21" i="26"/>
  <c r="AB22" i="26"/>
  <c r="AB23" i="26"/>
  <c r="AB24" i="26"/>
  <c r="AB25" i="26"/>
  <c r="AB26" i="26"/>
  <c r="AB27" i="26"/>
  <c r="AB28" i="26"/>
  <c r="AB29" i="26"/>
  <c r="AB30" i="26"/>
  <c r="AB31" i="26"/>
  <c r="AB32" i="26"/>
  <c r="AB33" i="26"/>
  <c r="AB34" i="26"/>
  <c r="AB35" i="26"/>
  <c r="AB36" i="26"/>
  <c r="AB37" i="26"/>
  <c r="AB38" i="26"/>
  <c r="AB39" i="26"/>
  <c r="AB40" i="26"/>
  <c r="AB41" i="26"/>
  <c r="AJ42" i="26"/>
  <c r="P5" i="25" a="1"/>
  <c r="P5" i="25" s="1"/>
  <c r="Q5" i="25" a="1"/>
  <c r="Q5" i="25" s="1"/>
  <c r="X5" i="25"/>
  <c r="AB5" i="25" l="1"/>
  <c r="R5" i="25"/>
  <c r="AJ5" i="25"/>
  <c r="P6" i="25"/>
  <c r="Q6" i="25"/>
  <c r="X6" i="25"/>
  <c r="AB6" i="25" l="1"/>
  <c r="R6" i="25"/>
  <c r="AJ6" i="25"/>
  <c r="P7" i="25"/>
  <c r="Q7" i="25"/>
  <c r="X7" i="25"/>
  <c r="AB7" i="25" l="1"/>
  <c r="R7" i="25"/>
  <c r="AJ7" i="25"/>
  <c r="P8" i="25"/>
  <c r="Q8" i="25"/>
  <c r="X8" i="25"/>
  <c r="AB8" i="25" l="1"/>
  <c r="R8" i="25"/>
  <c r="AJ8" i="25"/>
  <c r="P9" i="25"/>
  <c r="Q9" i="25"/>
  <c r="X9" i="25"/>
  <c r="AB9" i="25" l="1"/>
  <c r="R9" i="25"/>
  <c r="AJ9" i="25"/>
  <c r="P10" i="25"/>
  <c r="Q10" i="25"/>
  <c r="X10" i="25"/>
  <c r="AB10" i="25" l="1"/>
  <c r="R10" i="25"/>
  <c r="AJ10" i="25"/>
  <c r="P11" i="25"/>
  <c r="Q11" i="25"/>
  <c r="X11" i="25"/>
  <c r="AB11" i="25" l="1"/>
  <c r="R11" i="25"/>
  <c r="AJ11" i="25"/>
  <c r="P12" i="25"/>
  <c r="Q12" i="25"/>
  <c r="X12" i="25"/>
  <c r="AB12" i="25" l="1"/>
  <c r="R12" i="25"/>
  <c r="AJ12" i="25"/>
  <c r="P13" i="25"/>
  <c r="Q13" i="25"/>
  <c r="X13" i="25"/>
  <c r="AB13" i="25" l="1"/>
  <c r="R13" i="25"/>
  <c r="AJ13" i="25"/>
  <c r="P14" i="25"/>
  <c r="Q14" i="25"/>
  <c r="X14" i="25"/>
  <c r="AB14" i="25" l="1"/>
  <c r="R14" i="25"/>
  <c r="AJ14" i="25"/>
  <c r="P15" i="25"/>
  <c r="Q15" i="25"/>
  <c r="X15" i="25"/>
  <c r="AB15" i="25" l="1"/>
  <c r="R15" i="25"/>
  <c r="AJ15" i="25"/>
  <c r="P16" i="25"/>
  <c r="Q16" i="25"/>
  <c r="X16" i="25"/>
  <c r="AB16" i="25" l="1"/>
  <c r="R16" i="25"/>
  <c r="AJ16" i="25"/>
  <c r="P17" i="25"/>
  <c r="Q17" i="25"/>
  <c r="X17" i="25"/>
  <c r="AB17" i="25" l="1"/>
  <c r="R17" i="25"/>
  <c r="AJ17" i="25"/>
  <c r="P18" i="25"/>
  <c r="Q18" i="25"/>
  <c r="X18" i="25"/>
  <c r="AB18" i="25" l="1"/>
  <c r="R18" i="25"/>
  <c r="AJ18" i="25"/>
  <c r="P19" i="25"/>
  <c r="Q19" i="25"/>
  <c r="X19" i="25"/>
  <c r="AB19" i="25" l="1"/>
  <c r="R19" i="25"/>
  <c r="AJ19" i="25"/>
  <c r="P20" i="25"/>
  <c r="Q20" i="25"/>
  <c r="X20" i="25"/>
  <c r="AB20" i="25" l="1"/>
  <c r="R20" i="25"/>
  <c r="AJ20" i="25"/>
  <c r="P21" i="25"/>
  <c r="Q21" i="25"/>
  <c r="X21" i="25"/>
  <c r="AB21" i="25" l="1"/>
  <c r="R21" i="25"/>
  <c r="AJ21" i="25"/>
  <c r="P22" i="25"/>
  <c r="Q22" i="25"/>
  <c r="X22" i="25"/>
  <c r="AB22" i="25" l="1"/>
  <c r="R22" i="25"/>
  <c r="AJ22" i="25"/>
  <c r="P23" i="25"/>
  <c r="Q23" i="25"/>
  <c r="X23" i="25"/>
  <c r="AB23" i="25" l="1"/>
  <c r="R23" i="25"/>
  <c r="AJ23" i="25"/>
  <c r="P24" i="25"/>
  <c r="Q24" i="25"/>
  <c r="X24" i="25"/>
  <c r="AB24" i="25" l="1"/>
  <c r="R24" i="25"/>
  <c r="AJ24" i="25"/>
  <c r="P25" i="25"/>
  <c r="Q25" i="25"/>
  <c r="X25" i="25"/>
  <c r="AB25" i="25" l="1"/>
  <c r="R25" i="25"/>
  <c r="AJ25" i="25"/>
  <c r="P26" i="25"/>
  <c r="Q26" i="25"/>
  <c r="X26" i="25"/>
  <c r="AB26" i="25" l="1"/>
  <c r="R26" i="25"/>
  <c r="AJ26" i="25"/>
  <c r="P27" i="25"/>
  <c r="Q27" i="25"/>
  <c r="X27" i="25"/>
  <c r="AB27" i="25" l="1"/>
  <c r="R27" i="25"/>
  <c r="AJ27" i="25"/>
  <c r="P28" i="25"/>
  <c r="Q28" i="25"/>
  <c r="X28" i="25"/>
  <c r="AB28" i="25" l="1"/>
  <c r="R28" i="25"/>
  <c r="AJ28" i="25"/>
  <c r="P29" i="25"/>
  <c r="Q29" i="25"/>
  <c r="R29" i="25"/>
  <c r="X29" i="25"/>
  <c r="AB29" i="25" l="1"/>
  <c r="AJ29" i="25"/>
  <c r="P30" i="25"/>
  <c r="Q30" i="25"/>
  <c r="R30" i="25"/>
  <c r="X30" i="25"/>
  <c r="AB30" i="25" l="1"/>
  <c r="AJ30" i="25"/>
  <c r="P31" i="25"/>
  <c r="Q31" i="25"/>
  <c r="X31" i="25"/>
  <c r="AB31" i="25" l="1"/>
  <c r="R31" i="25"/>
  <c r="AJ31" i="25"/>
  <c r="P32" i="25"/>
  <c r="Q32" i="25"/>
  <c r="X32" i="25"/>
  <c r="AB32" i="25" l="1"/>
  <c r="R32" i="25"/>
  <c r="AJ32" i="25"/>
  <c r="P33" i="25"/>
  <c r="Q33" i="25"/>
  <c r="X33" i="25"/>
  <c r="AB33" i="25" l="1"/>
  <c r="R33" i="25"/>
  <c r="AJ33" i="25"/>
  <c r="P34" i="25"/>
  <c r="Q34" i="25"/>
  <c r="X34" i="25"/>
  <c r="AB34" i="25" l="1"/>
  <c r="R34" i="25"/>
  <c r="AJ34" i="25"/>
  <c r="P35" i="25"/>
  <c r="Q35" i="25"/>
  <c r="R35" i="25"/>
  <c r="X35" i="25"/>
  <c r="AB35" i="25" l="1"/>
  <c r="AJ35" i="25"/>
  <c r="P36" i="25"/>
  <c r="Q36" i="25"/>
  <c r="X36" i="25"/>
  <c r="AB36" i="25" l="1"/>
  <c r="R36" i="25"/>
  <c r="AJ36" i="25"/>
  <c r="P37" i="25"/>
  <c r="Q37" i="25"/>
  <c r="X37" i="25"/>
  <c r="AB37" i="25" l="1"/>
  <c r="R37" i="25"/>
  <c r="AJ37" i="25"/>
  <c r="P38" i="25"/>
  <c r="Q38" i="25"/>
  <c r="X38" i="25"/>
  <c r="AB38" i="25" l="1"/>
  <c r="R38" i="25"/>
  <c r="AJ38" i="25"/>
  <c r="P39" i="25"/>
  <c r="Q39" i="25"/>
  <c r="R39" i="25"/>
  <c r="X39" i="25"/>
  <c r="AB39" i="25" l="1"/>
  <c r="AJ39" i="25"/>
  <c r="P40" i="25"/>
  <c r="Q40" i="25"/>
  <c r="X40" i="25"/>
  <c r="AB40" i="25" l="1"/>
  <c r="R40" i="25"/>
  <c r="AJ40" i="25"/>
  <c r="P41" i="25"/>
  <c r="Q41" i="25"/>
  <c r="X41" i="25"/>
  <c r="AB41" i="25" l="1"/>
  <c r="R41" i="25"/>
  <c r="AJ41" i="25"/>
  <c r="P42" i="25"/>
  <c r="Q42" i="25"/>
  <c r="X42" i="25"/>
  <c r="AB42" i="25" l="1"/>
  <c r="R42" i="25"/>
  <c r="S5" i="25" s="1" a="1"/>
  <c r="S42" i="25" s="1"/>
  <c r="S28" i="25" l="1"/>
  <c r="S12" i="25"/>
  <c r="S36" i="25"/>
  <c r="S20" i="25"/>
  <c r="S35" i="25"/>
  <c r="S27" i="25"/>
  <c r="S19" i="25"/>
  <c r="S11" i="25"/>
  <c r="S34" i="25"/>
  <c r="S26" i="25"/>
  <c r="S18" i="25"/>
  <c r="S10" i="25"/>
  <c r="S41" i="25"/>
  <c r="S33" i="25"/>
  <c r="S25" i="25"/>
  <c r="S17" i="25"/>
  <c r="S9" i="25"/>
  <c r="S40" i="25"/>
  <c r="S32" i="25"/>
  <c r="S24" i="25"/>
  <c r="S16" i="25"/>
  <c r="S8" i="25"/>
  <c r="S39" i="25"/>
  <c r="S31" i="25"/>
  <c r="S23" i="25"/>
  <c r="S15" i="25"/>
  <c r="S7" i="25"/>
  <c r="S38" i="25"/>
  <c r="S30" i="25"/>
  <c r="S22" i="25"/>
  <c r="S14" i="25"/>
  <c r="S6" i="25"/>
  <c r="S37" i="25"/>
  <c r="S29" i="25"/>
  <c r="S21" i="25"/>
  <c r="S13" i="25"/>
  <c r="S5" i="25"/>
  <c r="AJ42" i="25"/>
  <c r="H5" i="20"/>
  <c r="L5" i="20"/>
  <c r="P5" i="20" s="1" a="1"/>
  <c r="U21" i="18"/>
  <c r="U44" i="18"/>
  <c r="U19" i="18"/>
  <c r="U6" i="18"/>
  <c r="U17" i="18"/>
  <c r="U7" i="18"/>
  <c r="U27" i="18"/>
  <c r="U34" i="18"/>
  <c r="U41" i="18"/>
  <c r="U15" i="18"/>
  <c r="U38" i="18"/>
  <c r="U20" i="18"/>
  <c r="U36" i="18"/>
  <c r="U9" i="18"/>
  <c r="U16" i="18"/>
  <c r="U18" i="18"/>
  <c r="U26" i="18"/>
  <c r="U45" i="18"/>
  <c r="U10" i="18"/>
  <c r="U29" i="18"/>
  <c r="U22" i="18"/>
  <c r="U14" i="18"/>
  <c r="U37" i="18"/>
  <c r="U12" i="18"/>
  <c r="U24" i="18"/>
  <c r="U23" i="18"/>
  <c r="U39" i="18"/>
  <c r="U32" i="18"/>
  <c r="U43" i="18"/>
  <c r="U25" i="18"/>
  <c r="U11" i="18"/>
  <c r="U31" i="18"/>
  <c r="U40" i="18"/>
  <c r="U47" i="18"/>
  <c r="U33" i="18"/>
  <c r="U28" i="18"/>
  <c r="U30" i="18"/>
  <c r="U13" i="18"/>
  <c r="U42" i="18"/>
  <c r="U46" i="18"/>
  <c r="U8" i="18"/>
  <c r="U35" i="18"/>
  <c r="N6" i="18" a="1"/>
  <c r="H4" i="20"/>
  <c r="Y35" i="18" l="1"/>
  <c r="Y8" i="18"/>
  <c r="Y46" i="18"/>
  <c r="Y42" i="18"/>
  <c r="Y13" i="18"/>
  <c r="Y30" i="18"/>
  <c r="Y28" i="18"/>
  <c r="Y33" i="18"/>
  <c r="Y47" i="18"/>
  <c r="Y40" i="18"/>
  <c r="Y31" i="18"/>
  <c r="Y11" i="18"/>
  <c r="Y25" i="18"/>
  <c r="Y43" i="18"/>
  <c r="Y32" i="18"/>
  <c r="Y39" i="18"/>
  <c r="Y23" i="18"/>
  <c r="Y24" i="18"/>
  <c r="Y12" i="18"/>
  <c r="Y37" i="18"/>
  <c r="Y14" i="18"/>
  <c r="Y22" i="18"/>
  <c r="Y29" i="18"/>
  <c r="Y10" i="18"/>
  <c r="Y45" i="18"/>
  <c r="Y26" i="18"/>
  <c r="Y18" i="18"/>
  <c r="Y16" i="18"/>
  <c r="Y9" i="18"/>
  <c r="Y36" i="18"/>
  <c r="Y20" i="18"/>
  <c r="Y38" i="18"/>
  <c r="Y15" i="18"/>
  <c r="Y41" i="18"/>
  <c r="Y34" i="18"/>
  <c r="Y27" i="18"/>
  <c r="Y7" i="18"/>
  <c r="Y17" i="18"/>
  <c r="Y6" i="18"/>
  <c r="Y19" i="18"/>
  <c r="Y44" i="18"/>
  <c r="Y21" i="18"/>
  <c r="P5" i="20"/>
  <c r="P6" i="20"/>
  <c r="AF43" i="18"/>
  <c r="AF35" i="18"/>
  <c r="AF27" i="18"/>
  <c r="AF23" i="18"/>
  <c r="AF19" i="18"/>
  <c r="AF15" i="18"/>
  <c r="AF11" i="18"/>
  <c r="AF7" i="18"/>
  <c r="AF46" i="18"/>
  <c r="AF42" i="18"/>
  <c r="AF38" i="18"/>
  <c r="AF34" i="18"/>
  <c r="AF30" i="18"/>
  <c r="AF26" i="18"/>
  <c r="AF22" i="18"/>
  <c r="AF18" i="18"/>
  <c r="AF14" i="18"/>
  <c r="AF10" i="18"/>
  <c r="AF6" i="18"/>
  <c r="AF40" i="18"/>
  <c r="AF32" i="18"/>
  <c r="AF24" i="18"/>
  <c r="AF16" i="18"/>
  <c r="AF8" i="18"/>
  <c r="AF31" i="18"/>
  <c r="AF45" i="18"/>
  <c r="AF41" i="18"/>
  <c r="AF37" i="18"/>
  <c r="AF33" i="18"/>
  <c r="AF29" i="18"/>
  <c r="AF25" i="18"/>
  <c r="AF21" i="18"/>
  <c r="AF17" i="18"/>
  <c r="AF13" i="18"/>
  <c r="AF9" i="18"/>
  <c r="AF44" i="18"/>
  <c r="AF36" i="18"/>
  <c r="AF28" i="18"/>
  <c r="AF20" i="18"/>
  <c r="AF12" i="18"/>
  <c r="AF39" i="18"/>
  <c r="N13" i="18"/>
  <c r="N21" i="18"/>
  <c r="N29" i="18"/>
  <c r="N37" i="18"/>
  <c r="N45" i="18"/>
  <c r="N8" i="18"/>
  <c r="N16" i="18"/>
  <c r="N24" i="18"/>
  <c r="N32" i="18"/>
  <c r="N40" i="18"/>
  <c r="N27" i="18"/>
  <c r="N43" i="18"/>
  <c r="N7" i="18"/>
  <c r="N15" i="18"/>
  <c r="N11" i="18"/>
  <c r="N19" i="18"/>
  <c r="N35" i="18"/>
  <c r="N9" i="18"/>
  <c r="N17" i="18"/>
  <c r="N25" i="18"/>
  <c r="N41" i="18"/>
  <c r="N31" i="18"/>
  <c r="N47" i="18"/>
  <c r="N26" i="18"/>
  <c r="N34" i="18"/>
  <c r="N6" i="18"/>
  <c r="N14" i="18"/>
  <c r="N22" i="18"/>
  <c r="N30" i="18"/>
  <c r="N38" i="18"/>
  <c r="N46" i="18"/>
  <c r="N33" i="18"/>
  <c r="N39" i="18"/>
  <c r="N10" i="18"/>
  <c r="N42" i="18"/>
  <c r="N12" i="18"/>
  <c r="N20" i="18"/>
  <c r="N28" i="18"/>
  <c r="N36" i="18"/>
  <c r="N44" i="18"/>
  <c r="N23" i="18"/>
  <c r="N18" i="18"/>
  <c r="AF47" i="18" l="1"/>
  <c r="U15" i="17"/>
  <c r="U11" i="17"/>
  <c r="U9" i="17"/>
  <c r="U17" i="17"/>
  <c r="U13" i="17"/>
  <c r="U10" i="17"/>
  <c r="U14" i="17"/>
  <c r="U8" i="17"/>
  <c r="U7" i="17"/>
  <c r="U16" i="17"/>
  <c r="U6" i="17"/>
  <c r="U12" i="17"/>
  <c r="N6" i="17" a="1"/>
  <c r="Y12" i="17" l="1"/>
  <c r="Y6" i="17"/>
  <c r="Y16" i="17"/>
  <c r="Y7" i="17"/>
  <c r="Y8" i="17"/>
  <c r="Y14" i="17"/>
  <c r="Y10" i="17"/>
  <c r="Y13" i="17"/>
  <c r="Y17" i="17"/>
  <c r="Y9" i="17"/>
  <c r="Y11" i="17"/>
  <c r="Y15" i="17"/>
  <c r="AF7" i="17"/>
  <c r="AF16" i="17"/>
  <c r="AF12" i="17"/>
  <c r="AF8" i="17"/>
  <c r="AF15" i="17"/>
  <c r="AF6" i="17"/>
  <c r="AF11" i="17"/>
  <c r="AF14" i="17"/>
  <c r="AF10" i="17"/>
  <c r="AF13" i="17"/>
  <c r="AF9" i="17"/>
  <c r="N9" i="17"/>
  <c r="N17" i="17"/>
  <c r="N12" i="17"/>
  <c r="N7" i="17"/>
  <c r="N15" i="17"/>
  <c r="N10" i="17"/>
  <c r="N13" i="17"/>
  <c r="N8" i="17"/>
  <c r="N16" i="17"/>
  <c r="N11" i="17"/>
  <c r="N6" i="17"/>
  <c r="N14" i="17"/>
  <c r="AF17" i="17" l="1"/>
  <c r="N4" i="16"/>
  <c r="M7" i="16"/>
  <c r="M8" i="16"/>
  <c r="S8" i="16"/>
  <c r="S7" i="16"/>
  <c r="W7" i="16" l="1"/>
  <c r="W8" i="16"/>
  <c r="M9" i="16"/>
  <c r="S9" i="16"/>
  <c r="W9" i="16" l="1"/>
  <c r="M10" i="16"/>
  <c r="S10" i="16"/>
  <c r="W10" i="16" l="1"/>
  <c r="M11" i="16"/>
  <c r="S11" i="16"/>
  <c r="W11" i="16" l="1"/>
  <c r="M12" i="16"/>
  <c r="S12" i="16"/>
  <c r="W12" i="16" l="1"/>
  <c r="M13" i="16"/>
  <c r="S13" i="16"/>
  <c r="W13" i="16" l="1"/>
  <c r="M14" i="16"/>
  <c r="S14" i="16"/>
  <c r="W14" i="16" l="1"/>
  <c r="M15" i="16"/>
  <c r="S15" i="16"/>
  <c r="W15" i="16" l="1"/>
  <c r="M16" i="16"/>
  <c r="S16" i="16"/>
  <c r="W16" i="16" l="1"/>
  <c r="M17" i="16"/>
  <c r="S17" i="16"/>
  <c r="W17" i="16" l="1"/>
  <c r="M18" i="16"/>
  <c r="S18" i="16"/>
  <c r="W18" i="16" l="1"/>
  <c r="M19" i="16"/>
  <c r="S19" i="16"/>
  <c r="W19" i="16" l="1"/>
  <c r="M20" i="16"/>
  <c r="S20" i="16"/>
  <c r="W20" i="16" l="1"/>
  <c r="M21" i="16"/>
  <c r="N7" i="16" s="1" a="1"/>
  <c r="N21" i="16" s="1"/>
  <c r="S21" i="16"/>
  <c r="W21" i="16" l="1"/>
  <c r="N7" i="16"/>
  <c r="N8" i="16"/>
  <c r="N9" i="16"/>
  <c r="N10" i="16"/>
  <c r="N11" i="16"/>
  <c r="N12" i="16"/>
  <c r="N13" i="16"/>
  <c r="N14" i="16"/>
  <c r="N15" i="16"/>
  <c r="N16" i="16"/>
  <c r="N17" i="16"/>
  <c r="N18" i="16"/>
  <c r="N19" i="16"/>
  <c r="N20" i="16"/>
  <c r="K4" i="15" l="1"/>
  <c r="J5" i="15" a="1"/>
  <c r="J6" i="15" s="1"/>
  <c r="V5" i="15"/>
  <c r="J8" i="15" a="1"/>
  <c r="J10" i="15" s="1"/>
  <c r="J5" i="15" l="1"/>
  <c r="J21" i="15"/>
  <c r="J17" i="15"/>
  <c r="J13" i="15"/>
  <c r="J9" i="15"/>
  <c r="J20" i="15"/>
  <c r="J16" i="15"/>
  <c r="J12" i="15"/>
  <c r="J8" i="15"/>
  <c r="J19" i="15"/>
  <c r="J15" i="15"/>
  <c r="J11" i="15"/>
  <c r="J7" i="15"/>
  <c r="J22" i="15"/>
  <c r="J18" i="15"/>
  <c r="J14" i="15"/>
  <c r="X28" i="15"/>
  <c r="K5" i="15" s="1"/>
  <c r="O5" i="15" s="1"/>
  <c r="X29" i="15"/>
  <c r="K6" i="15" s="1"/>
  <c r="O6" i="15" s="1"/>
  <c r="X30" i="15"/>
  <c r="K7" i="15" s="1"/>
  <c r="O7" i="15" s="1"/>
  <c r="N5" i="23" l="1"/>
  <c r="N6" i="23"/>
  <c r="T6" i="23"/>
  <c r="T5" i="23"/>
  <c r="X5" i="23" l="1"/>
  <c r="X6" i="23"/>
  <c r="AB5" i="23"/>
  <c r="AB6" i="23"/>
  <c r="N7" i="23"/>
  <c r="T7" i="23"/>
  <c r="X7" i="23" l="1"/>
  <c r="AB7" i="23"/>
  <c r="N8" i="23"/>
  <c r="T8" i="23"/>
  <c r="X8" i="23" l="1"/>
  <c r="AB8" i="23"/>
  <c r="N9" i="23"/>
  <c r="T9" i="23"/>
  <c r="X9" i="23" l="1"/>
  <c r="AB9" i="23"/>
  <c r="N10" i="23"/>
  <c r="T10" i="23"/>
  <c r="X10" i="23" l="1"/>
  <c r="AB10" i="23"/>
  <c r="N11" i="23"/>
  <c r="T11" i="23"/>
  <c r="X11" i="23" l="1"/>
  <c r="AB11" i="23"/>
  <c r="N12" i="23"/>
  <c r="T12" i="23"/>
  <c r="X12" i="23" l="1"/>
  <c r="AB12" i="23"/>
  <c r="N13" i="23"/>
  <c r="T13" i="23"/>
  <c r="X13" i="23" l="1"/>
  <c r="AB13" i="23"/>
  <c r="N14" i="23"/>
  <c r="T14" i="23"/>
  <c r="X14" i="23" l="1"/>
  <c r="AB14" i="23"/>
  <c r="N15" i="23"/>
  <c r="T15" i="23"/>
  <c r="X15" i="23" l="1"/>
  <c r="AB15" i="23"/>
  <c r="N16" i="23"/>
  <c r="T16" i="23"/>
  <c r="X16" i="23" l="1"/>
  <c r="N17" i="23"/>
  <c r="T17" i="23"/>
  <c r="Y16" i="23"/>
  <c r="X17" i="23" l="1"/>
  <c r="N18" i="23"/>
  <c r="O5" i="23" s="1" a="1"/>
  <c r="O18" i="23" s="1"/>
  <c r="T18" i="23"/>
  <c r="Y17" i="23"/>
  <c r="X18" i="23" l="1"/>
  <c r="O5" i="23"/>
  <c r="O6" i="23"/>
  <c r="O7" i="23"/>
  <c r="O8" i="23"/>
  <c r="O9" i="23"/>
  <c r="O10" i="23"/>
  <c r="O11" i="23"/>
  <c r="O12" i="23"/>
  <c r="O13" i="23"/>
  <c r="O14" i="23"/>
  <c r="O15" i="23"/>
  <c r="O16" i="23"/>
  <c r="O17" i="23"/>
  <c r="Y18" i="23"/>
  <c r="N5" i="24" l="1"/>
  <c r="N6" i="24"/>
  <c r="T5" i="24"/>
  <c r="T6" i="24"/>
  <c r="AB5" i="24" l="1"/>
  <c r="AB6" i="24"/>
  <c r="N7" i="24"/>
  <c r="T7" i="24"/>
  <c r="AB7" i="24" l="1"/>
  <c r="N8" i="24"/>
  <c r="T8" i="24"/>
  <c r="AB8" i="24" l="1"/>
  <c r="N9" i="24"/>
  <c r="T9" i="24"/>
  <c r="AB9" i="24" l="1"/>
  <c r="N10" i="24"/>
  <c r="T10" i="24"/>
  <c r="AB10" i="24" l="1"/>
  <c r="N11" i="24"/>
  <c r="O5" i="24" s="1" a="1"/>
  <c r="T11" i="24"/>
  <c r="X5" i="24" l="1" a="1"/>
  <c r="X11" i="24" s="1"/>
  <c r="O5" i="24"/>
  <c r="O6" i="24"/>
  <c r="O7" i="24"/>
  <c r="O8" i="24"/>
  <c r="O9" i="24"/>
  <c r="O10" i="24"/>
  <c r="O11" i="24"/>
  <c r="X5" i="24" l="1"/>
  <c r="X6" i="24"/>
  <c r="X7" i="24"/>
  <c r="X8" i="24"/>
  <c r="X9" i="24"/>
  <c r="X10" i="24"/>
  <c r="AB11" i="24"/>
  <c r="P5" i="11" a="1"/>
  <c r="P5" i="11" s="1"/>
  <c r="Q5" i="11" a="1"/>
  <c r="Q5" i="11" s="1"/>
  <c r="V5" i="11"/>
  <c r="R5" i="11" l="1"/>
  <c r="W5" i="11"/>
  <c r="P6" i="11"/>
  <c r="Q6" i="11"/>
  <c r="V6" i="11"/>
  <c r="R6" i="11" l="1"/>
  <c r="W6" i="11"/>
  <c r="P7" i="11"/>
  <c r="Q7" i="11"/>
  <c r="V7" i="11"/>
  <c r="R7" i="11" l="1"/>
  <c r="W7" i="11"/>
  <c r="P8" i="11"/>
  <c r="Q8" i="11"/>
  <c r="V8" i="11"/>
  <c r="R8" i="11" l="1"/>
  <c r="W8" i="11"/>
  <c r="P9" i="11"/>
  <c r="Q9" i="11"/>
  <c r="V9" i="11"/>
  <c r="R9" i="11" l="1"/>
  <c r="W9" i="11"/>
  <c r="P10" i="11"/>
  <c r="Q10" i="11"/>
  <c r="V10" i="11"/>
  <c r="R10" i="11" l="1"/>
  <c r="W10" i="11"/>
  <c r="P11" i="11"/>
  <c r="Q11" i="11"/>
  <c r="V11" i="11"/>
  <c r="R11" i="11" l="1"/>
  <c r="W11" i="11"/>
  <c r="P12" i="11"/>
  <c r="Q12" i="11"/>
  <c r="V12" i="11"/>
  <c r="R12" i="11" l="1"/>
  <c r="W12" i="11"/>
  <c r="P13" i="11"/>
  <c r="Q13" i="11"/>
  <c r="V13" i="11"/>
  <c r="R13" i="11" l="1"/>
  <c r="W13" i="11"/>
  <c r="P14" i="11"/>
  <c r="Q14" i="11"/>
  <c r="V14" i="11"/>
  <c r="R14" i="11" l="1"/>
  <c r="W14" i="11"/>
  <c r="P15" i="11"/>
  <c r="Q15" i="11"/>
  <c r="V15" i="11"/>
  <c r="R15" i="11" l="1"/>
  <c r="W15" i="11"/>
  <c r="P16" i="11"/>
  <c r="Q16" i="11"/>
  <c r="V16" i="11"/>
  <c r="R16" i="11" l="1"/>
  <c r="W16" i="11"/>
  <c r="P17" i="11"/>
  <c r="Q17" i="11"/>
  <c r="V17" i="11"/>
  <c r="R17" i="11" l="1"/>
  <c r="W17" i="11"/>
  <c r="P18" i="11"/>
  <c r="Q18" i="11"/>
  <c r="R18" i="11"/>
  <c r="V18" i="11"/>
  <c r="W18" i="11" l="1"/>
  <c r="P19" i="11"/>
  <c r="Q19" i="11"/>
  <c r="V19" i="11"/>
  <c r="R19" i="11" l="1"/>
  <c r="W19" i="11"/>
  <c r="P20" i="11"/>
  <c r="Q20" i="11"/>
  <c r="V20" i="11"/>
  <c r="R20" i="11" l="1"/>
  <c r="W20" i="11"/>
  <c r="P21" i="11"/>
  <c r="Q21" i="11"/>
  <c r="R21" i="11"/>
  <c r="V21" i="11"/>
  <c r="W21" i="11" l="1"/>
  <c r="P22" i="11"/>
  <c r="Q22" i="11"/>
  <c r="V22" i="11"/>
  <c r="R22" i="11" l="1"/>
  <c r="W22" i="11"/>
  <c r="P23" i="11"/>
  <c r="Q23" i="11"/>
  <c r="V23" i="11"/>
  <c r="R23" i="11" l="1"/>
  <c r="W23" i="11"/>
  <c r="P24" i="11"/>
  <c r="Q24" i="11"/>
  <c r="R24" i="11"/>
  <c r="V24" i="11"/>
  <c r="W24" i="11" l="1"/>
  <c r="P25" i="11"/>
  <c r="Q25" i="11"/>
  <c r="R25" i="11"/>
  <c r="V25" i="11"/>
  <c r="W25" i="11" l="1"/>
  <c r="P26" i="11"/>
  <c r="Q26" i="11"/>
  <c r="R26" i="11"/>
  <c r="V26" i="11"/>
  <c r="W26" i="11" l="1"/>
  <c r="P27" i="11"/>
  <c r="Q27" i="11"/>
  <c r="R27" i="11"/>
  <c r="V27" i="11"/>
  <c r="W27" i="11" l="1"/>
  <c r="P28" i="11"/>
  <c r="Q28" i="11"/>
  <c r="R28" i="11"/>
  <c r="V28" i="11"/>
  <c r="W28" i="11" l="1"/>
  <c r="P29" i="11"/>
  <c r="Q29" i="11"/>
  <c r="R29" i="11"/>
  <c r="V29" i="11"/>
  <c r="W29" i="11" l="1"/>
  <c r="P30" i="11"/>
  <c r="Q30" i="11"/>
  <c r="R30" i="11"/>
  <c r="V30" i="11"/>
  <c r="W30" i="11" l="1"/>
  <c r="P31" i="11"/>
  <c r="Q31" i="11"/>
  <c r="V31" i="11"/>
  <c r="R31" i="11" l="1"/>
  <c r="W31" i="11"/>
  <c r="P32" i="11"/>
  <c r="Q32" i="11"/>
  <c r="V32" i="11"/>
  <c r="R32" i="11" l="1"/>
  <c r="W32" i="11"/>
  <c r="P33" i="11"/>
  <c r="Q33" i="11"/>
  <c r="R33" i="11"/>
  <c r="V33" i="11"/>
  <c r="W33" i="11" l="1"/>
  <c r="P34" i="11"/>
  <c r="Q34" i="11"/>
  <c r="R34" i="11"/>
  <c r="V34" i="11"/>
  <c r="W34" i="11" l="1"/>
  <c r="P35" i="11"/>
  <c r="Q35" i="11"/>
  <c r="R35" i="11"/>
  <c r="V35" i="11"/>
  <c r="W35" i="11" l="1"/>
  <c r="P36" i="11"/>
  <c r="Q36" i="11"/>
  <c r="V36" i="11"/>
  <c r="R36" i="11" l="1"/>
  <c r="W36" i="11"/>
  <c r="P37" i="11"/>
  <c r="Q37" i="11"/>
  <c r="V37" i="11"/>
  <c r="R37" i="11" l="1"/>
  <c r="W37" i="11"/>
  <c r="P38" i="11"/>
  <c r="Q38" i="11"/>
  <c r="V38" i="11"/>
  <c r="R38" i="11" l="1"/>
  <c r="W38" i="11"/>
  <c r="P39" i="11"/>
  <c r="Q39" i="11"/>
  <c r="V39" i="11"/>
  <c r="R39" i="11" l="1"/>
  <c r="W39" i="11"/>
  <c r="P40" i="11"/>
  <c r="Q40" i="11"/>
  <c r="V40" i="11"/>
  <c r="R40" i="11" l="1"/>
  <c r="W40" i="11"/>
  <c r="P41" i="11"/>
  <c r="Q41" i="11"/>
  <c r="V41" i="11"/>
  <c r="R41" i="11" l="1"/>
  <c r="W41" i="11"/>
  <c r="P42" i="11"/>
  <c r="Q42" i="11"/>
  <c r="V42" i="11"/>
  <c r="R42" i="11" l="1"/>
  <c r="S5" i="11" s="1" a="1"/>
  <c r="S42" i="11" s="1"/>
  <c r="W42" i="11"/>
  <c r="S2" i="12"/>
  <c r="P5" i="12" a="1"/>
  <c r="P5" i="12" s="1"/>
  <c r="Q5" i="12" a="1"/>
  <c r="Q5" i="12" s="1"/>
  <c r="V5" i="12"/>
  <c r="S36" i="11" l="1"/>
  <c r="S28" i="11"/>
  <c r="S20" i="11"/>
  <c r="S12" i="11"/>
  <c r="S35" i="11"/>
  <c r="S27" i="11"/>
  <c r="S19" i="11"/>
  <c r="S11" i="11"/>
  <c r="S38" i="11"/>
  <c r="S30" i="11"/>
  <c r="S22" i="11"/>
  <c r="S14" i="11"/>
  <c r="S6" i="11"/>
  <c r="S34" i="11"/>
  <c r="S26" i="11"/>
  <c r="S18" i="11"/>
  <c r="S10" i="11"/>
  <c r="S41" i="11"/>
  <c r="S33" i="11"/>
  <c r="S25" i="11"/>
  <c r="S17" i="11"/>
  <c r="S9" i="11"/>
  <c r="S40" i="11"/>
  <c r="S32" i="11"/>
  <c r="S24" i="11"/>
  <c r="S16" i="11"/>
  <c r="S8" i="11"/>
  <c r="S39" i="11"/>
  <c r="S31" i="11"/>
  <c r="S23" i="11"/>
  <c r="S15" i="11"/>
  <c r="S7" i="11"/>
  <c r="S37" i="11"/>
  <c r="S29" i="11"/>
  <c r="S21" i="11"/>
  <c r="S13" i="11"/>
  <c r="S5" i="11"/>
  <c r="R5" i="12"/>
  <c r="W5" i="12"/>
  <c r="AI5" i="12"/>
  <c r="P6" i="12"/>
  <c r="Q6" i="12"/>
  <c r="R6" i="12" s="1"/>
  <c r="V6" i="12"/>
  <c r="W6" i="12" l="1"/>
  <c r="AI6" i="12"/>
  <c r="P7" i="12"/>
  <c r="Q7" i="12"/>
  <c r="R7" i="12"/>
  <c r="V7" i="12"/>
  <c r="W7" i="12" l="1"/>
  <c r="AI7" i="12"/>
  <c r="P8" i="12"/>
  <c r="Q8" i="12"/>
  <c r="V8" i="12"/>
  <c r="R8" i="12" l="1"/>
  <c r="W8" i="12"/>
  <c r="AI8" i="12"/>
  <c r="P9" i="12"/>
  <c r="Q9" i="12"/>
  <c r="R9" i="12"/>
  <c r="V9" i="12"/>
  <c r="W9" i="12" l="1"/>
  <c r="AI9" i="12"/>
  <c r="P10" i="12"/>
  <c r="Q10" i="12"/>
  <c r="R10" i="12"/>
  <c r="V10" i="12"/>
  <c r="W10" i="12" l="1"/>
  <c r="AI10" i="12"/>
  <c r="P11" i="12"/>
  <c r="Q11" i="12"/>
  <c r="V11" i="12"/>
  <c r="R11" i="12" l="1"/>
  <c r="W11" i="12"/>
  <c r="AI11" i="12"/>
  <c r="P12" i="12"/>
  <c r="Q12" i="12"/>
  <c r="V12" i="12"/>
  <c r="R12" i="12" l="1"/>
  <c r="W12" i="12"/>
  <c r="AI12" i="12"/>
  <c r="P13" i="12"/>
  <c r="Q13" i="12"/>
  <c r="R13" i="12"/>
  <c r="V13" i="12"/>
  <c r="W13" i="12" l="1"/>
  <c r="AI13" i="12"/>
  <c r="P14" i="12"/>
  <c r="Q14" i="12"/>
  <c r="R14" i="12"/>
  <c r="V14" i="12"/>
  <c r="W14" i="12" l="1"/>
  <c r="AI14" i="12"/>
  <c r="P15" i="12"/>
  <c r="Q15" i="12"/>
  <c r="R15" i="12"/>
  <c r="V15" i="12"/>
  <c r="W15" i="12" l="1"/>
  <c r="AI15" i="12"/>
  <c r="P16" i="12"/>
  <c r="Q16" i="12"/>
  <c r="V16" i="12"/>
  <c r="R16" i="12" l="1"/>
  <c r="W16" i="12"/>
  <c r="AI16" i="12"/>
  <c r="P17" i="12"/>
  <c r="Q17" i="12"/>
  <c r="V17" i="12"/>
  <c r="R17" i="12" l="1"/>
  <c r="W17" i="12"/>
  <c r="AI17" i="12"/>
  <c r="P18" i="12"/>
  <c r="Q18" i="12"/>
  <c r="V18" i="12"/>
  <c r="R18" i="12" l="1"/>
  <c r="W18" i="12"/>
  <c r="AI18" i="12"/>
  <c r="P19" i="12"/>
  <c r="Q19" i="12"/>
  <c r="V19" i="12"/>
  <c r="R19" i="12" l="1"/>
  <c r="W19" i="12"/>
  <c r="AI19" i="12"/>
  <c r="P20" i="12"/>
  <c r="Q20" i="12"/>
  <c r="R20" i="12"/>
  <c r="V20" i="12"/>
  <c r="W20" i="12" l="1"/>
  <c r="AI20" i="12"/>
  <c r="P21" i="12"/>
  <c r="Q21" i="12"/>
  <c r="R21" i="12"/>
  <c r="V21" i="12"/>
  <c r="W21" i="12" l="1"/>
  <c r="AI21" i="12"/>
  <c r="P22" i="12"/>
  <c r="Q22" i="12"/>
  <c r="R22" i="12"/>
  <c r="V22" i="12"/>
  <c r="W22" i="12" l="1"/>
  <c r="AI22" i="12"/>
  <c r="P23" i="12"/>
  <c r="Q23" i="12"/>
  <c r="R23" i="12"/>
  <c r="V23" i="12"/>
  <c r="W23" i="12" l="1"/>
  <c r="AI23" i="12"/>
  <c r="P24" i="12"/>
  <c r="Q24" i="12"/>
  <c r="R24" i="12"/>
  <c r="V24" i="12"/>
  <c r="W24" i="12" l="1"/>
  <c r="AI24" i="12"/>
  <c r="P25" i="12"/>
  <c r="Q25" i="12"/>
  <c r="V25" i="12"/>
  <c r="R25" i="12" l="1"/>
  <c r="W25" i="12"/>
  <c r="AI25" i="12"/>
  <c r="P26" i="12"/>
  <c r="Q26" i="12"/>
  <c r="V26" i="12"/>
  <c r="R26" i="12" l="1"/>
  <c r="W26" i="12"/>
  <c r="AI26" i="12"/>
  <c r="P27" i="12"/>
  <c r="Q27" i="12"/>
  <c r="R27" i="12"/>
  <c r="V27" i="12"/>
  <c r="W27" i="12" l="1"/>
  <c r="AI27" i="12"/>
  <c r="P28" i="12"/>
  <c r="Q28" i="12"/>
  <c r="R28" i="12"/>
  <c r="V28" i="12"/>
  <c r="W28" i="12" l="1"/>
  <c r="AI28" i="12"/>
  <c r="P29" i="12"/>
  <c r="Q29" i="12"/>
  <c r="V29" i="12"/>
  <c r="R29" i="12" l="1"/>
  <c r="W29" i="12"/>
  <c r="AI29" i="12"/>
  <c r="P30" i="12"/>
  <c r="Q30" i="12"/>
  <c r="V30" i="12"/>
  <c r="R30" i="12" l="1"/>
  <c r="W30" i="12"/>
  <c r="AI30" i="12"/>
  <c r="P31" i="12"/>
  <c r="Q31" i="12"/>
  <c r="V31" i="12"/>
  <c r="R31" i="12" l="1"/>
  <c r="W31" i="12"/>
  <c r="AI31" i="12"/>
  <c r="P32" i="12"/>
  <c r="Q32" i="12"/>
  <c r="V32" i="12"/>
  <c r="R32" i="12" l="1"/>
  <c r="W32" i="12"/>
  <c r="AI32" i="12"/>
  <c r="P33" i="12"/>
  <c r="Q33" i="12"/>
  <c r="V33" i="12"/>
  <c r="R33" i="12" l="1"/>
  <c r="W33" i="12"/>
  <c r="AI33" i="12"/>
  <c r="P34" i="12"/>
  <c r="Q34" i="12"/>
  <c r="R34" i="12"/>
  <c r="V34" i="12"/>
  <c r="W34" i="12" l="1"/>
  <c r="AI34" i="12"/>
  <c r="P35" i="12"/>
  <c r="Q35" i="12"/>
  <c r="R35" i="12"/>
  <c r="V35" i="12"/>
  <c r="W35" i="12" l="1"/>
  <c r="AI35" i="12"/>
  <c r="P36" i="12"/>
  <c r="Q36" i="12"/>
  <c r="R36" i="12"/>
  <c r="V36" i="12"/>
  <c r="W36" i="12" l="1"/>
  <c r="AI36" i="12"/>
  <c r="P37" i="12"/>
  <c r="Q37" i="12"/>
  <c r="R37" i="12"/>
  <c r="V37" i="12"/>
  <c r="W37" i="12" l="1"/>
  <c r="AI37" i="12"/>
  <c r="P38" i="12"/>
  <c r="Q38" i="12"/>
  <c r="R38" i="12"/>
  <c r="V38" i="12"/>
  <c r="W38" i="12" l="1"/>
  <c r="AI38" i="12"/>
  <c r="P39" i="12"/>
  <c r="Q39" i="12"/>
  <c r="R39" i="12"/>
  <c r="V39" i="12"/>
  <c r="W39" i="12" l="1"/>
  <c r="AI39" i="12"/>
  <c r="P40" i="12"/>
  <c r="Q40" i="12"/>
  <c r="R40" i="12"/>
  <c r="V40" i="12"/>
  <c r="W40" i="12" l="1"/>
  <c r="AI40" i="12"/>
  <c r="P41" i="12"/>
  <c r="Q41" i="12"/>
  <c r="V41" i="12"/>
  <c r="R41" i="12" l="1"/>
  <c r="W41" i="12"/>
  <c r="AI41" i="12"/>
  <c r="P42" i="12"/>
  <c r="S5" i="12" s="1" a="1"/>
  <c r="S42" i="12" s="1"/>
  <c r="Q42" i="12"/>
  <c r="V42" i="12"/>
  <c r="R42" i="12" l="1"/>
  <c r="S5" i="12"/>
  <c r="S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S19" i="12"/>
  <c r="S20" i="12"/>
  <c r="S21" i="12"/>
  <c r="S22" i="12"/>
  <c r="S23" i="12"/>
  <c r="S24" i="12"/>
  <c r="S25" i="12"/>
  <c r="S26" i="12"/>
  <c r="S27" i="12"/>
  <c r="S28" i="12"/>
  <c r="S29" i="12"/>
  <c r="S30" i="12"/>
  <c r="S31" i="12"/>
  <c r="S32" i="12"/>
  <c r="S33" i="12"/>
  <c r="S34" i="12"/>
  <c r="S35" i="12"/>
  <c r="S36" i="12"/>
  <c r="S37" i="12"/>
  <c r="S38" i="12"/>
  <c r="S39" i="12"/>
  <c r="S40" i="12"/>
  <c r="S41" i="12"/>
  <c r="W42" i="12"/>
  <c r="AI42" i="12"/>
  <c r="P5" i="13" a="1"/>
  <c r="P5" i="13" s="1"/>
  <c r="Q5" i="13" a="1"/>
  <c r="Q5" i="13" s="1"/>
  <c r="V5" i="13"/>
  <c r="R5" i="13" l="1"/>
  <c r="W5" i="13"/>
  <c r="P6" i="13"/>
  <c r="Q6" i="13"/>
  <c r="R6" i="13"/>
  <c r="V6" i="13"/>
  <c r="W6" i="13" l="1"/>
  <c r="P7" i="13"/>
  <c r="Q7" i="13"/>
  <c r="R7" i="13"/>
  <c r="V7" i="13"/>
  <c r="W7" i="13" l="1"/>
  <c r="P8" i="13"/>
  <c r="Q8" i="13"/>
  <c r="R8" i="13"/>
  <c r="V8" i="13"/>
  <c r="W8" i="13" l="1"/>
  <c r="P9" i="13"/>
  <c r="Q9" i="13"/>
  <c r="R9" i="13"/>
  <c r="V9" i="13"/>
  <c r="W9" i="13" l="1"/>
  <c r="P10" i="13"/>
  <c r="Q10" i="13"/>
  <c r="R10" i="13"/>
  <c r="V10" i="13"/>
  <c r="W10" i="13" l="1"/>
  <c r="P11" i="13"/>
  <c r="Q11" i="13"/>
  <c r="R11" i="13"/>
  <c r="V11" i="13"/>
  <c r="W11" i="13" l="1"/>
  <c r="P12" i="13"/>
  <c r="Q12" i="13"/>
  <c r="R12" i="13"/>
  <c r="V12" i="13"/>
  <c r="W12" i="13" l="1"/>
  <c r="P13" i="13"/>
  <c r="Q13" i="13"/>
  <c r="R13" i="13"/>
  <c r="V13" i="13"/>
  <c r="W13" i="13" l="1"/>
  <c r="P14" i="13"/>
  <c r="Q14" i="13"/>
  <c r="R14" i="13"/>
  <c r="V14" i="13"/>
  <c r="W14" i="13" l="1"/>
  <c r="P15" i="13"/>
  <c r="Q15" i="13"/>
  <c r="R15" i="13"/>
  <c r="V15" i="13"/>
  <c r="W15" i="13" l="1"/>
  <c r="P16" i="13"/>
  <c r="Q16" i="13"/>
  <c r="R16" i="13"/>
  <c r="V16" i="13"/>
  <c r="W16" i="13" l="1"/>
  <c r="P17" i="13"/>
  <c r="Q17" i="13"/>
  <c r="R17" i="13"/>
  <c r="V17" i="13"/>
  <c r="W17" i="13" l="1"/>
  <c r="P18" i="13"/>
  <c r="Q18" i="13"/>
  <c r="R18" i="13"/>
  <c r="V18" i="13"/>
  <c r="W18" i="13" l="1"/>
  <c r="P19" i="13"/>
  <c r="Q19" i="13"/>
  <c r="R19" i="13"/>
  <c r="V19" i="13"/>
  <c r="W19" i="13" l="1"/>
  <c r="P20" i="13"/>
  <c r="Q20" i="13"/>
  <c r="V20" i="13"/>
  <c r="R20" i="13" l="1"/>
  <c r="W20" i="13"/>
  <c r="P21" i="13"/>
  <c r="Q21" i="13"/>
  <c r="V21" i="13"/>
  <c r="R21" i="13" l="1"/>
  <c r="W21" i="13"/>
  <c r="P22" i="13"/>
  <c r="Q22" i="13"/>
  <c r="R22" i="13"/>
  <c r="V22" i="13"/>
  <c r="W22" i="13" l="1"/>
  <c r="P23" i="13"/>
  <c r="Q23" i="13"/>
  <c r="R23" i="13"/>
  <c r="V23" i="13"/>
  <c r="W23" i="13" l="1"/>
  <c r="P24" i="13"/>
  <c r="Q24" i="13"/>
  <c r="V24" i="13"/>
  <c r="R24" i="13" l="1"/>
  <c r="W24" i="13"/>
  <c r="P25" i="13"/>
  <c r="Q25" i="13"/>
  <c r="V25" i="13"/>
  <c r="R25" i="13" l="1"/>
  <c r="W25" i="13"/>
  <c r="P26" i="13"/>
  <c r="Q26" i="13"/>
  <c r="R26" i="13"/>
  <c r="V26" i="13"/>
  <c r="W26" i="13" l="1"/>
  <c r="P27" i="13"/>
  <c r="Q27" i="13"/>
  <c r="R27" i="13"/>
  <c r="V27" i="13"/>
  <c r="W27" i="13" l="1"/>
  <c r="P28" i="13"/>
  <c r="Q28" i="13"/>
  <c r="R28" i="13"/>
  <c r="V28" i="13"/>
  <c r="W28" i="13" l="1"/>
  <c r="P29" i="13"/>
  <c r="Q29" i="13"/>
  <c r="V29" i="13"/>
  <c r="R29" i="13" l="1"/>
  <c r="W29" i="13"/>
  <c r="P30" i="13"/>
  <c r="Q30" i="13"/>
  <c r="V30" i="13"/>
  <c r="R30" i="13" l="1"/>
  <c r="W30" i="13"/>
  <c r="P31" i="13"/>
  <c r="Q31" i="13"/>
  <c r="V31" i="13"/>
  <c r="R31" i="13" l="1"/>
  <c r="W31" i="13"/>
  <c r="P32" i="13"/>
  <c r="Q32" i="13"/>
  <c r="R32" i="13"/>
  <c r="V32" i="13"/>
  <c r="W32" i="13" l="1"/>
  <c r="P33" i="13"/>
  <c r="Q33" i="13"/>
  <c r="R33" i="13"/>
  <c r="V33" i="13"/>
  <c r="W33" i="13" l="1"/>
  <c r="P34" i="13"/>
  <c r="Q34" i="13"/>
  <c r="R34" i="13"/>
  <c r="V34" i="13"/>
  <c r="W34" i="13" l="1"/>
  <c r="P35" i="13"/>
  <c r="Q35" i="13"/>
  <c r="R35" i="13"/>
  <c r="V35" i="13"/>
  <c r="W35" i="13" l="1"/>
  <c r="P36" i="13"/>
  <c r="Q36" i="13"/>
  <c r="R36" i="13"/>
  <c r="V36" i="13"/>
  <c r="W36" i="13" l="1"/>
  <c r="P37" i="13"/>
  <c r="Q37" i="13"/>
  <c r="V37" i="13"/>
  <c r="R37" i="13" l="1"/>
  <c r="W37" i="13"/>
  <c r="P38" i="13"/>
  <c r="Q38" i="13"/>
  <c r="V38" i="13"/>
  <c r="R38" i="13" l="1"/>
  <c r="W38" i="13"/>
  <c r="P39" i="13"/>
  <c r="Q39" i="13"/>
  <c r="V39" i="13"/>
  <c r="R39" i="13" l="1"/>
  <c r="W39" i="13"/>
  <c r="P40" i="13"/>
  <c r="Q40" i="13"/>
  <c r="R40" i="13"/>
  <c r="V40" i="13"/>
  <c r="W40" i="13" l="1"/>
  <c r="P41" i="13"/>
  <c r="Q41" i="13"/>
  <c r="R41" i="13"/>
  <c r="V41" i="13"/>
  <c r="W41" i="13" l="1"/>
  <c r="P42" i="13"/>
  <c r="Q42" i="13"/>
  <c r="R42" i="13"/>
  <c r="S5" i="13" s="1" a="1"/>
  <c r="S42" i="13" s="1"/>
  <c r="V42" i="13"/>
  <c r="S5" i="13" l="1"/>
  <c r="S6" i="13"/>
  <c r="S7" i="13"/>
  <c r="S8" i="13"/>
  <c r="S9" i="13"/>
  <c r="S10" i="13"/>
  <c r="S11" i="13"/>
  <c r="S12" i="13"/>
  <c r="S13" i="13"/>
  <c r="S14" i="13"/>
  <c r="S15" i="13"/>
  <c r="S16" i="13"/>
  <c r="S17" i="13"/>
  <c r="S18" i="13"/>
  <c r="S19" i="13"/>
  <c r="S20" i="13"/>
  <c r="S21" i="13"/>
  <c r="S22" i="13"/>
  <c r="S23" i="13"/>
  <c r="S24" i="13"/>
  <c r="S25" i="13"/>
  <c r="S26" i="13"/>
  <c r="S27" i="13"/>
  <c r="S28" i="13"/>
  <c r="S29" i="13"/>
  <c r="S30" i="13"/>
  <c r="S31" i="13"/>
  <c r="S32" i="13"/>
  <c r="S33" i="13"/>
  <c r="S34" i="13"/>
  <c r="S35" i="13"/>
  <c r="S36" i="13"/>
  <c r="S37" i="13"/>
  <c r="S38" i="13"/>
  <c r="S39" i="13"/>
  <c r="S40" i="13"/>
  <c r="S41" i="13"/>
  <c r="W42" i="13"/>
  <c r="N5" i="22"/>
  <c r="N6" i="22"/>
  <c r="T5" i="22"/>
  <c r="T6" i="22"/>
  <c r="X6" i="22" l="1"/>
  <c r="X5" i="22"/>
  <c r="N7" i="22"/>
  <c r="T7" i="22"/>
  <c r="X7" i="22" l="1"/>
  <c r="N8" i="22"/>
  <c r="T8" i="22"/>
  <c r="X8" i="22" l="1"/>
  <c r="N9" i="22"/>
  <c r="T9" i="22"/>
  <c r="X9" i="22" l="1"/>
  <c r="N10" i="22"/>
  <c r="T10" i="22"/>
  <c r="X10" i="22" l="1"/>
  <c r="N11" i="22"/>
  <c r="T11" i="22"/>
  <c r="X11" i="22" l="1"/>
  <c r="N12" i="22"/>
  <c r="T12" i="22"/>
  <c r="X12" i="22" l="1"/>
  <c r="N13" i="22"/>
  <c r="T13" i="22"/>
  <c r="X13" i="22" l="1"/>
  <c r="N14" i="22"/>
  <c r="T14" i="22"/>
  <c r="X14" i="22" l="1"/>
  <c r="N15" i="22"/>
  <c r="T15" i="22"/>
  <c r="X15" i="22" l="1"/>
  <c r="N16" i="22"/>
  <c r="T16" i="22"/>
  <c r="X16" i="22" l="1"/>
  <c r="N17" i="22"/>
  <c r="T17" i="22"/>
  <c r="X17" i="22" l="1"/>
  <c r="N18" i="22"/>
  <c r="T18" i="22"/>
  <c r="X18" i="22" l="1"/>
  <c r="N19" i="22"/>
  <c r="T19" i="22"/>
  <c r="X19" i="22" l="1"/>
  <c r="N20" i="22"/>
  <c r="T20" i="22"/>
  <c r="X20" i="22" l="1"/>
  <c r="N21" i="22"/>
  <c r="T21" i="22"/>
  <c r="X21" i="22" l="1"/>
  <c r="N22" i="22"/>
  <c r="T22" i="22"/>
  <c r="X22" i="22" l="1"/>
  <c r="N23" i="22"/>
  <c r="T23" i="22"/>
  <c r="X23" i="22" l="1"/>
  <c r="N24" i="22"/>
  <c r="T24" i="22"/>
  <c r="X24" i="22" l="1"/>
  <c r="N25" i="22"/>
  <c r="T25" i="22"/>
  <c r="X25" i="22" l="1"/>
  <c r="N26" i="22"/>
  <c r="T26" i="22"/>
  <c r="X26" i="22" l="1"/>
  <c r="N27" i="22"/>
  <c r="T27" i="22"/>
  <c r="X27" i="22" l="1"/>
  <c r="N28" i="22"/>
  <c r="T28" i="22"/>
  <c r="X28" i="22" l="1"/>
  <c r="N29" i="22"/>
  <c r="T29" i="22"/>
  <c r="X29" i="22" l="1"/>
  <c r="N30" i="22"/>
  <c r="T30" i="22"/>
  <c r="X30" i="22" l="1"/>
  <c r="N31" i="22"/>
  <c r="T31" i="22"/>
  <c r="X31" i="22" l="1"/>
  <c r="N32" i="22"/>
  <c r="T32" i="22"/>
  <c r="X32" i="22" l="1"/>
  <c r="N33" i="22"/>
  <c r="T33" i="22"/>
  <c r="X33" i="22" l="1"/>
  <c r="N34" i="22"/>
  <c r="T34" i="22"/>
  <c r="X34" i="22" l="1"/>
  <c r="N35" i="22"/>
  <c r="T35" i="22"/>
  <c r="X35" i="22" l="1"/>
  <c r="N36" i="22"/>
  <c r="T36" i="22"/>
  <c r="X36" i="22" l="1"/>
  <c r="N37" i="22"/>
  <c r="T37" i="22"/>
  <c r="X37" i="22" l="1"/>
  <c r="N38" i="22"/>
  <c r="T38" i="22"/>
  <c r="X38" i="22" l="1"/>
  <c r="N39" i="22"/>
  <c r="T39" i="22"/>
  <c r="X39" i="22" l="1"/>
  <c r="N40" i="22"/>
  <c r="T40" i="22"/>
  <c r="X40" i="22" l="1"/>
  <c r="N41" i="22"/>
  <c r="T41" i="22"/>
  <c r="X41" i="22" l="1"/>
  <c r="N42" i="22"/>
  <c r="T42" i="22"/>
  <c r="X42" i="22" l="1"/>
  <c r="N43" i="22"/>
  <c r="T43" i="22"/>
  <c r="X43" i="22" l="1"/>
  <c r="N44" i="22"/>
  <c r="T44" i="22"/>
  <c r="X44" i="22" l="1"/>
  <c r="N45" i="22"/>
  <c r="T45" i="22"/>
  <c r="X45" i="22" l="1"/>
  <c r="N46" i="22"/>
  <c r="T46" i="22"/>
  <c r="X46" i="22" l="1"/>
  <c r="N47" i="22"/>
  <c r="T47" i="22"/>
  <c r="X47" i="22" l="1"/>
  <c r="N48" i="22"/>
  <c r="T48" i="22"/>
  <c r="X48" i="22" l="1"/>
  <c r="N49" i="22"/>
  <c r="T49" i="22"/>
  <c r="X49" i="22" l="1"/>
  <c r="N50" i="22"/>
  <c r="T50" i="22"/>
  <c r="X50" i="22" l="1"/>
  <c r="N51" i="22"/>
  <c r="T51" i="22"/>
  <c r="X51" i="22" l="1"/>
  <c r="N52" i="22"/>
  <c r="T52" i="22"/>
  <c r="X52" i="22" l="1"/>
  <c r="N53" i="22"/>
  <c r="T53" i="22"/>
  <c r="X53" i="22" l="1"/>
  <c r="N54" i="22"/>
  <c r="T54" i="22"/>
  <c r="X54" i="22" l="1"/>
  <c r="N55" i="22"/>
  <c r="T55" i="22"/>
  <c r="X55" i="22" l="1"/>
  <c r="N56" i="22"/>
  <c r="T56" i="22"/>
  <c r="X56" i="22" l="1"/>
  <c r="N57" i="22"/>
  <c r="T57" i="22"/>
  <c r="X57" i="22" l="1"/>
  <c r="N58" i="22"/>
  <c r="O5" i="22" s="1" a="1"/>
  <c r="O58" i="22" s="1"/>
  <c r="T58" i="22"/>
  <c r="X58" i="22" l="1"/>
  <c r="O5" i="22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N6" i="6" l="1"/>
  <c r="Q6" i="6"/>
  <c r="N7" i="6" l="1"/>
  <c r="Q7" i="6"/>
  <c r="O6" i="6"/>
  <c r="N8" i="6" l="1"/>
  <c r="N9" i="6"/>
  <c r="N10" i="6"/>
  <c r="N11" i="6"/>
  <c r="N12" i="6"/>
  <c r="AN6" i="17"/>
  <c r="Q10" i="6"/>
  <c r="Q12" i="6"/>
  <c r="R6" i="6"/>
  <c r="Q8" i="6"/>
  <c r="O7" i="6"/>
  <c r="Q9" i="6"/>
  <c r="Q11" i="6"/>
  <c r="K5" i="6"/>
  <c r="S6" i="6" l="1"/>
  <c r="U6" i="6" s="1"/>
  <c r="I13" i="56"/>
  <c r="I14" i="56"/>
  <c r="T6" i="6"/>
  <c r="O9" i="6"/>
  <c r="O8" i="6"/>
  <c r="O10" i="6"/>
  <c r="AO6" i="17"/>
  <c r="O12" i="6"/>
  <c r="R7" i="6"/>
  <c r="O11" i="6"/>
  <c r="S7" i="6" l="1"/>
  <c r="D2" i="62"/>
  <c r="D8" i="62" s="1"/>
  <c r="J2" i="62"/>
  <c r="J6" i="62" s="1"/>
  <c r="G4" i="62"/>
  <c r="H4" i="62" s="1"/>
  <c r="R4" i="62"/>
  <c r="G5" i="62"/>
  <c r="H5" i="62" s="1"/>
  <c r="L5" i="62" s="1"/>
  <c r="G6" i="62"/>
  <c r="H6" i="62" s="1"/>
  <c r="L6" i="62" s="1"/>
  <c r="G7" i="62"/>
  <c r="H7" i="62" s="1"/>
  <c r="L7" i="62" s="1"/>
  <c r="R7" i="62"/>
  <c r="G8" i="62"/>
  <c r="H8" i="62" s="1"/>
  <c r="L8" i="62" s="1"/>
  <c r="R8" i="62"/>
  <c r="G9" i="62"/>
  <c r="H9" i="62" s="1"/>
  <c r="R9" i="62"/>
  <c r="G10" i="62"/>
  <c r="H10" i="62" s="1"/>
  <c r="L10" i="62" s="1"/>
  <c r="R10" i="62"/>
  <c r="G11" i="62"/>
  <c r="H11" i="62" s="1"/>
  <c r="L11" i="62" s="1"/>
  <c r="R11" i="62"/>
  <c r="G12" i="62"/>
  <c r="H12" i="62" s="1"/>
  <c r="L12" i="62" s="1"/>
  <c r="R12" i="62"/>
  <c r="G13" i="62"/>
  <c r="H13" i="62" s="1"/>
  <c r="L13" i="62" s="1"/>
  <c r="R13" i="62"/>
  <c r="G14" i="62"/>
  <c r="H14" i="62" s="1"/>
  <c r="L14" i="62" s="1"/>
  <c r="R14" i="62"/>
  <c r="G15" i="62"/>
  <c r="H15" i="62" s="1"/>
  <c r="L15" i="62" s="1"/>
  <c r="R15" i="62"/>
  <c r="G16" i="62"/>
  <c r="H16" i="62" s="1"/>
  <c r="L16" i="62" s="1"/>
  <c r="R16" i="62"/>
  <c r="G17" i="62"/>
  <c r="H17" i="62" s="1"/>
  <c r="R17" i="62"/>
  <c r="G18" i="62"/>
  <c r="H18" i="62" s="1"/>
  <c r="R18" i="62"/>
  <c r="G19" i="62"/>
  <c r="H19" i="62" s="1"/>
  <c r="L19" i="62" s="1"/>
  <c r="R19" i="62"/>
  <c r="G20" i="62"/>
  <c r="H20" i="62" s="1"/>
  <c r="L20" i="62" s="1"/>
  <c r="R20" i="62"/>
  <c r="G21" i="62"/>
  <c r="H21" i="62" s="1"/>
  <c r="L21" i="62" s="1"/>
  <c r="R21" i="62"/>
  <c r="D2" i="61"/>
  <c r="J2" i="61"/>
  <c r="K6" i="62"/>
  <c r="N6" i="62"/>
  <c r="R11" i="6"/>
  <c r="R9" i="6"/>
  <c r="R12" i="6"/>
  <c r="R8" i="6"/>
  <c r="R10" i="6"/>
  <c r="T7" i="6"/>
  <c r="S8" i="6" l="1"/>
  <c r="S12" i="6"/>
  <c r="S10" i="6"/>
  <c r="S11" i="6"/>
  <c r="S9" i="6"/>
  <c r="L9" i="62"/>
  <c r="L18" i="62"/>
  <c r="L17" i="62"/>
  <c r="L4" i="62"/>
  <c r="D18" i="62"/>
  <c r="D16" i="62"/>
  <c r="D14" i="62"/>
  <c r="J17" i="62"/>
  <c r="D21" i="62"/>
  <c r="D19" i="62"/>
  <c r="D5" i="62"/>
  <c r="D17" i="62"/>
  <c r="J20" i="62"/>
  <c r="J14" i="62"/>
  <c r="J12" i="62"/>
  <c r="J18" i="62"/>
  <c r="D15" i="62"/>
  <c r="J21" i="62"/>
  <c r="D20" i="62"/>
  <c r="J16" i="62"/>
  <c r="D13" i="62"/>
  <c r="D11" i="62"/>
  <c r="J9" i="62"/>
  <c r="J10" i="62"/>
  <c r="D9" i="62"/>
  <c r="D7" i="62"/>
  <c r="J4" i="62"/>
  <c r="J13" i="62"/>
  <c r="D12" i="62"/>
  <c r="J8" i="62"/>
  <c r="D10" i="62"/>
  <c r="J5" i="62"/>
  <c r="D4" i="62"/>
  <c r="T7" i="62"/>
  <c r="T11" i="62"/>
  <c r="T15" i="62"/>
  <c r="T19" i="62"/>
  <c r="T4" i="62"/>
  <c r="T9" i="62"/>
  <c r="T17" i="62"/>
  <c r="T10" i="62"/>
  <c r="T14" i="62"/>
  <c r="T18" i="62"/>
  <c r="T13" i="62"/>
  <c r="T21" i="62"/>
  <c r="T8" i="62"/>
  <c r="T12" i="62"/>
  <c r="T16" i="62"/>
  <c r="T20" i="62"/>
  <c r="J19" i="62"/>
  <c r="J15" i="62"/>
  <c r="J11" i="62"/>
  <c r="J7" i="62"/>
  <c r="D6" i="62"/>
  <c r="M6" i="62"/>
  <c r="D4" i="61"/>
  <c r="G4" i="61"/>
  <c r="H4" i="61" s="1"/>
  <c r="L4" i="61" s="1"/>
  <c r="J4" i="61"/>
  <c r="D5" i="61"/>
  <c r="G5" i="61"/>
  <c r="H5" i="61" s="1"/>
  <c r="L5" i="61" s="1"/>
  <c r="J5" i="61"/>
  <c r="D6" i="61"/>
  <c r="G6" i="61"/>
  <c r="H6" i="61" s="1"/>
  <c r="L6" i="61" s="1"/>
  <c r="J6" i="61"/>
  <c r="D7" i="61"/>
  <c r="G7" i="61"/>
  <c r="H7" i="61" s="1"/>
  <c r="L7" i="61" s="1"/>
  <c r="J7" i="61"/>
  <c r="D8" i="61"/>
  <c r="G8" i="61"/>
  <c r="H8" i="61" s="1"/>
  <c r="L8" i="61" s="1"/>
  <c r="J8" i="61"/>
  <c r="D9" i="61"/>
  <c r="G9" i="61"/>
  <c r="H9" i="61" s="1"/>
  <c r="L9" i="61" s="1"/>
  <c r="J9" i="61"/>
  <c r="D10" i="61"/>
  <c r="G10" i="61"/>
  <c r="H10" i="61" s="1"/>
  <c r="L10" i="61" s="1"/>
  <c r="J10" i="61"/>
  <c r="D11" i="61"/>
  <c r="G11" i="61"/>
  <c r="H11" i="61" s="1"/>
  <c r="L11" i="61" s="1"/>
  <c r="J11" i="61"/>
  <c r="D12" i="61"/>
  <c r="G12" i="61"/>
  <c r="H12" i="61" s="1"/>
  <c r="L12" i="61" s="1"/>
  <c r="J12" i="61"/>
  <c r="D13" i="61"/>
  <c r="G13" i="61"/>
  <c r="H13" i="61" s="1"/>
  <c r="L13" i="61" s="1"/>
  <c r="J13" i="61"/>
  <c r="D14" i="61"/>
  <c r="G14" i="61"/>
  <c r="H14" i="61" s="1"/>
  <c r="L14" i="61" s="1"/>
  <c r="J14" i="61"/>
  <c r="D15" i="61"/>
  <c r="G15" i="61"/>
  <c r="H15" i="61" s="1"/>
  <c r="L15" i="61" s="1"/>
  <c r="J15" i="61"/>
  <c r="D16" i="61"/>
  <c r="G16" i="61"/>
  <c r="H16" i="61" s="1"/>
  <c r="L16" i="61" s="1"/>
  <c r="J16" i="61"/>
  <c r="D17" i="61"/>
  <c r="G17" i="61"/>
  <c r="H17" i="61" s="1"/>
  <c r="L17" i="61" s="1"/>
  <c r="J17" i="61"/>
  <c r="D18" i="61"/>
  <c r="G18" i="61"/>
  <c r="H18" i="61" s="1"/>
  <c r="L18" i="61" s="1"/>
  <c r="J18" i="61"/>
  <c r="D19" i="61"/>
  <c r="G19" i="61"/>
  <c r="H19" i="61" s="1"/>
  <c r="L19" i="61" s="1"/>
  <c r="J19" i="61"/>
  <c r="D20" i="61"/>
  <c r="G20" i="61"/>
  <c r="H20" i="61" s="1"/>
  <c r="L20" i="61" s="1"/>
  <c r="J20" i="61"/>
  <c r="D21" i="61"/>
  <c r="G21" i="61"/>
  <c r="H21" i="61" s="1"/>
  <c r="L21" i="61" s="1"/>
  <c r="J21" i="61"/>
  <c r="D2" i="60"/>
  <c r="J2" i="60"/>
  <c r="N11" i="62"/>
  <c r="N20" i="62"/>
  <c r="K18" i="62"/>
  <c r="N10" i="61"/>
  <c r="N8" i="61"/>
  <c r="N4" i="61"/>
  <c r="N18" i="62"/>
  <c r="N12" i="62"/>
  <c r="N8" i="62"/>
  <c r="N4" i="62"/>
  <c r="N10" i="62"/>
  <c r="N16" i="62"/>
  <c r="S15" i="62"/>
  <c r="K10" i="62"/>
  <c r="K19" i="61"/>
  <c r="K19" i="62"/>
  <c r="S17" i="62"/>
  <c r="K4" i="61"/>
  <c r="S21" i="62"/>
  <c r="N21" i="62"/>
  <c r="K21" i="61"/>
  <c r="N9" i="62"/>
  <c r="N13" i="61"/>
  <c r="N7" i="62"/>
  <c r="K16" i="62"/>
  <c r="K9" i="61"/>
  <c r="K11" i="62"/>
  <c r="K13" i="61"/>
  <c r="K16" i="61"/>
  <c r="N14" i="62"/>
  <c r="K14" i="61"/>
  <c r="S9" i="62"/>
  <c r="S10" i="62"/>
  <c r="S7" i="62"/>
  <c r="K15" i="62"/>
  <c r="K7" i="62"/>
  <c r="K18" i="61"/>
  <c r="K21" i="62"/>
  <c r="N16" i="61"/>
  <c r="K6" i="61"/>
  <c r="N12" i="61"/>
  <c r="S18" i="62"/>
  <c r="N18" i="61"/>
  <c r="K11" i="61"/>
  <c r="K4" i="62"/>
  <c r="K17" i="61"/>
  <c r="K5" i="61"/>
  <c r="N7" i="61"/>
  <c r="K20" i="62"/>
  <c r="K12" i="62"/>
  <c r="N5" i="61"/>
  <c r="N17" i="61"/>
  <c r="K12" i="61"/>
  <c r="K8" i="61"/>
  <c r="N20" i="61"/>
  <c r="S14" i="62"/>
  <c r="K14" i="62"/>
  <c r="K9" i="62"/>
  <c r="S19" i="62"/>
  <c r="N5" i="62"/>
  <c r="S8" i="62"/>
  <c r="N6" i="61"/>
  <c r="N14" i="61"/>
  <c r="K8" i="62"/>
  <c r="N15" i="61"/>
  <c r="N17" i="62"/>
  <c r="K20" i="61"/>
  <c r="K13" i="62"/>
  <c r="K7" i="61"/>
  <c r="S16" i="62"/>
  <c r="N15" i="62"/>
  <c r="K17" i="62"/>
  <c r="N19" i="62"/>
  <c r="S20" i="62"/>
  <c r="K10" i="61"/>
  <c r="K15" i="61"/>
  <c r="N19" i="61"/>
  <c r="N13" i="62"/>
  <c r="S4" i="62"/>
  <c r="S13" i="62"/>
  <c r="N9" i="61"/>
  <c r="S12" i="62"/>
  <c r="N11" i="61"/>
  <c r="K5" i="62"/>
  <c r="S11" i="62"/>
  <c r="N21" i="61"/>
  <c r="T12" i="6"/>
  <c r="T8" i="6"/>
  <c r="T9" i="6"/>
  <c r="T11" i="6"/>
  <c r="T10" i="6"/>
  <c r="D3" i="62"/>
  <c r="M17" i="62" l="1"/>
  <c r="O17" i="62" s="1"/>
  <c r="M12" i="62"/>
  <c r="O12" i="62" s="1"/>
  <c r="M14" i="62"/>
  <c r="O14" i="62" s="1"/>
  <c r="M20" i="62"/>
  <c r="O20" i="62" s="1"/>
  <c r="M21" i="62"/>
  <c r="O21" i="62" s="1"/>
  <c r="M16" i="62"/>
  <c r="O16" i="62" s="1"/>
  <c r="M18" i="62"/>
  <c r="O18" i="62" s="1"/>
  <c r="M9" i="62"/>
  <c r="O9" i="62" s="1"/>
  <c r="M8" i="62"/>
  <c r="O8" i="62" s="1"/>
  <c r="M13" i="62"/>
  <c r="O13" i="62" s="1"/>
  <c r="M4" i="62"/>
  <c r="O4" i="62" s="1"/>
  <c r="M5" i="62"/>
  <c r="M10" i="62"/>
  <c r="O10" i="62" s="1"/>
  <c r="M11" i="62"/>
  <c r="O11" i="62" s="1"/>
  <c r="M15" i="62"/>
  <c r="O15" i="62" s="1"/>
  <c r="M7" i="62"/>
  <c r="O7" i="62" s="1"/>
  <c r="M19" i="62"/>
  <c r="O19" i="62" s="1"/>
  <c r="M16" i="61"/>
  <c r="O16" i="61" s="1"/>
  <c r="M15" i="61"/>
  <c r="O15" i="61" s="1"/>
  <c r="M7" i="61"/>
  <c r="O7" i="61" s="1"/>
  <c r="M6" i="61"/>
  <c r="M5" i="61"/>
  <c r="M14" i="61"/>
  <c r="O14" i="61" s="1"/>
  <c r="M4" i="61"/>
  <c r="O4" i="61" s="1"/>
  <c r="M18" i="61"/>
  <c r="O18" i="61" s="1"/>
  <c r="M17" i="61"/>
  <c r="O17" i="61" s="1"/>
  <c r="M9" i="61"/>
  <c r="O9" i="61" s="1"/>
  <c r="M8" i="61"/>
  <c r="O8" i="61" s="1"/>
  <c r="M21" i="61"/>
  <c r="O21" i="61" s="1"/>
  <c r="M13" i="61"/>
  <c r="O13" i="61" s="1"/>
  <c r="M10" i="61"/>
  <c r="O10" i="61" s="1"/>
  <c r="M20" i="61"/>
  <c r="O20" i="61" s="1"/>
  <c r="M12" i="61"/>
  <c r="O12" i="61" s="1"/>
  <c r="M19" i="61"/>
  <c r="O19" i="61" s="1"/>
  <c r="M11" i="61"/>
  <c r="O11" i="61" s="1"/>
  <c r="D4" i="60"/>
  <c r="G4" i="60"/>
  <c r="H4" i="60" s="1"/>
  <c r="L4" i="60" s="1"/>
  <c r="J4" i="60"/>
  <c r="D5" i="60"/>
  <c r="G5" i="60"/>
  <c r="H5" i="60" s="1"/>
  <c r="L5" i="60" s="1"/>
  <c r="J5" i="60"/>
  <c r="D6" i="60"/>
  <c r="G6" i="60"/>
  <c r="H6" i="60" s="1"/>
  <c r="L6" i="60" s="1"/>
  <c r="J6" i="60"/>
  <c r="D7" i="60"/>
  <c r="G7" i="60"/>
  <c r="H7" i="60" s="1"/>
  <c r="L7" i="60" s="1"/>
  <c r="J7" i="60"/>
  <c r="D8" i="60"/>
  <c r="G8" i="60"/>
  <c r="H8" i="60" s="1"/>
  <c r="L8" i="60" s="1"/>
  <c r="J8" i="60"/>
  <c r="D9" i="60"/>
  <c r="G9" i="60"/>
  <c r="H9" i="60" s="1"/>
  <c r="L9" i="60" s="1"/>
  <c r="J9" i="60"/>
  <c r="D10" i="60"/>
  <c r="G10" i="60"/>
  <c r="H10" i="60" s="1"/>
  <c r="L10" i="60" s="1"/>
  <c r="J10" i="60"/>
  <c r="D11" i="60"/>
  <c r="G11" i="60"/>
  <c r="H11" i="60" s="1"/>
  <c r="L11" i="60" s="1"/>
  <c r="J11" i="60"/>
  <c r="D12" i="60"/>
  <c r="G12" i="60"/>
  <c r="H12" i="60" s="1"/>
  <c r="L12" i="60" s="1"/>
  <c r="J12" i="60"/>
  <c r="D13" i="60"/>
  <c r="G13" i="60"/>
  <c r="H13" i="60" s="1"/>
  <c r="L13" i="60" s="1"/>
  <c r="J13" i="60"/>
  <c r="D14" i="60"/>
  <c r="G14" i="60"/>
  <c r="H14" i="60" s="1"/>
  <c r="L14" i="60" s="1"/>
  <c r="J14" i="60"/>
  <c r="D15" i="60"/>
  <c r="G15" i="60"/>
  <c r="H15" i="60" s="1"/>
  <c r="L15" i="60" s="1"/>
  <c r="J15" i="60"/>
  <c r="D16" i="60"/>
  <c r="G16" i="60"/>
  <c r="H16" i="60" s="1"/>
  <c r="L16" i="60" s="1"/>
  <c r="J16" i="60"/>
  <c r="D17" i="60"/>
  <c r="G17" i="60"/>
  <c r="H17" i="60" s="1"/>
  <c r="L17" i="60" s="1"/>
  <c r="J17" i="60"/>
  <c r="D18" i="60"/>
  <c r="G18" i="60"/>
  <c r="H18" i="60" s="1"/>
  <c r="L18" i="60" s="1"/>
  <c r="J18" i="60"/>
  <c r="K11" i="60"/>
  <c r="N7" i="60"/>
  <c r="K17" i="60"/>
  <c r="N6" i="60"/>
  <c r="K15" i="60"/>
  <c r="K14" i="60"/>
  <c r="N17" i="60"/>
  <c r="K5" i="60"/>
  <c r="N10" i="60"/>
  <c r="N11" i="60"/>
  <c r="K7" i="60"/>
  <c r="N15" i="60"/>
  <c r="K6" i="60"/>
  <c r="K10" i="60"/>
  <c r="N14" i="60"/>
  <c r="N8" i="60"/>
  <c r="N12" i="60"/>
  <c r="K13" i="60"/>
  <c r="K16" i="60"/>
  <c r="N16" i="60"/>
  <c r="K18" i="60"/>
  <c r="N9" i="60"/>
  <c r="N13" i="60"/>
  <c r="K4" i="60"/>
  <c r="K12" i="60"/>
  <c r="N18" i="60"/>
  <c r="K8" i="60"/>
  <c r="N4" i="60"/>
  <c r="N5" i="60"/>
  <c r="K9" i="60"/>
  <c r="M2" i="62" l="1"/>
  <c r="M2" i="61"/>
  <c r="M9" i="60"/>
  <c r="O9" i="60" s="1"/>
  <c r="M16" i="60"/>
  <c r="O16" i="60" s="1"/>
  <c r="M8" i="60"/>
  <c r="O8" i="60" s="1"/>
  <c r="M15" i="60"/>
  <c r="O15" i="60" s="1"/>
  <c r="M7" i="60"/>
  <c r="O7" i="60" s="1"/>
  <c r="M14" i="60"/>
  <c r="O14" i="60" s="1"/>
  <c r="M6" i="60"/>
  <c r="O6" i="60" s="1"/>
  <c r="M13" i="60"/>
  <c r="O13" i="60" s="1"/>
  <c r="M5" i="60"/>
  <c r="O5" i="60" s="1"/>
  <c r="M12" i="60"/>
  <c r="O12" i="60" s="1"/>
  <c r="M4" i="60"/>
  <c r="O4" i="60" s="1"/>
  <c r="M11" i="60"/>
  <c r="O11" i="60" s="1"/>
  <c r="M18" i="60"/>
  <c r="O18" i="60" s="1"/>
  <c r="M10" i="60"/>
  <c r="O10" i="60" s="1"/>
  <c r="M17" i="60"/>
  <c r="O17" i="60" s="1"/>
  <c r="M2" i="60" l="1"/>
  <c r="D12" i="56" l="1"/>
  <c r="E5" i="55"/>
  <c r="O5" i="55" s="1"/>
  <c r="E6" i="55"/>
  <c r="O6" i="55" s="1"/>
  <c r="E7" i="55"/>
  <c r="O7" i="55" s="1"/>
  <c r="E8" i="55"/>
  <c r="O8" i="55" s="1"/>
  <c r="E9" i="55"/>
  <c r="O9" i="55" s="1"/>
  <c r="E10" i="55"/>
  <c r="O10" i="55" s="1"/>
  <c r="Q3" i="55"/>
  <c r="K6" i="55"/>
  <c r="K10" i="55"/>
  <c r="K8" i="55"/>
  <c r="K5" i="55"/>
  <c r="K7" i="55"/>
  <c r="K9" i="55"/>
  <c r="B1" i="56"/>
  <c r="P9" i="55" l="1"/>
  <c r="P7" i="55"/>
  <c r="P5" i="55"/>
  <c r="P8" i="55"/>
  <c r="P10" i="55"/>
  <c r="P6" i="55"/>
  <c r="F5" i="55" a="1"/>
  <c r="F7" i="55" l="1"/>
  <c r="F9" i="55"/>
  <c r="F6" i="55"/>
  <c r="F5" i="55"/>
  <c r="F8" i="55"/>
  <c r="F10" i="55"/>
  <c r="C3" i="35" l="1"/>
  <c r="D3" i="35"/>
  <c r="E3" i="35"/>
  <c r="F3" i="35"/>
  <c r="H3" i="35" s="1"/>
  <c r="G3" i="35"/>
  <c r="I3" i="35"/>
  <c r="C4" i="35"/>
  <c r="D4" i="35"/>
  <c r="E4" i="35"/>
  <c r="F4" i="35"/>
  <c r="H4" i="35" s="1"/>
  <c r="G4" i="35"/>
  <c r="I4" i="35"/>
  <c r="C5" i="35"/>
  <c r="D5" i="35"/>
  <c r="E5" i="35"/>
  <c r="F5" i="35"/>
  <c r="H5" i="35" s="1"/>
  <c r="G5" i="35"/>
  <c r="I5" i="35"/>
  <c r="C6" i="35"/>
  <c r="D6" i="35"/>
  <c r="E6" i="35"/>
  <c r="F6" i="35"/>
  <c r="H6" i="35" s="1"/>
  <c r="G6" i="35"/>
  <c r="I6" i="35"/>
  <c r="C7" i="35"/>
  <c r="D7" i="35"/>
  <c r="E7" i="35"/>
  <c r="F7" i="35"/>
  <c r="H7" i="35" s="1"/>
  <c r="G7" i="35"/>
  <c r="I7" i="35"/>
  <c r="C8" i="35"/>
  <c r="D8" i="35"/>
  <c r="E8" i="35"/>
  <c r="F8" i="35"/>
  <c r="H8" i="35" s="1"/>
  <c r="G8" i="35"/>
  <c r="I8" i="35"/>
  <c r="C9" i="35"/>
  <c r="D9" i="35"/>
  <c r="E9" i="35"/>
  <c r="F9" i="35"/>
  <c r="H9" i="35" s="1"/>
  <c r="G9" i="35"/>
  <c r="I9" i="35"/>
  <c r="C10" i="35"/>
  <c r="D10" i="35"/>
  <c r="E10" i="35"/>
  <c r="F10" i="35"/>
  <c r="H10" i="35" s="1"/>
  <c r="G10" i="35"/>
  <c r="I10" i="35"/>
  <c r="C11" i="35"/>
  <c r="D11" i="35"/>
  <c r="E11" i="35"/>
  <c r="F11" i="35"/>
  <c r="H11" i="35" s="1"/>
  <c r="G11" i="35"/>
  <c r="I11" i="35"/>
  <c r="C12" i="35"/>
  <c r="D12" i="35"/>
  <c r="E12" i="35"/>
  <c r="F12" i="35"/>
  <c r="H12" i="35" s="1"/>
  <c r="G12" i="35"/>
  <c r="I12" i="35"/>
  <c r="C13" i="35"/>
  <c r="D13" i="35"/>
  <c r="E13" i="35"/>
  <c r="F13" i="35"/>
  <c r="H13" i="35" s="1"/>
  <c r="G13" i="35"/>
  <c r="I13" i="35"/>
  <c r="C14" i="35"/>
  <c r="D14" i="35"/>
  <c r="E14" i="35"/>
  <c r="F14" i="35"/>
  <c r="H14" i="35" s="1"/>
  <c r="G14" i="35"/>
  <c r="I14" i="35"/>
  <c r="C15" i="35"/>
  <c r="D15" i="35"/>
  <c r="E15" i="35"/>
  <c r="F15" i="35"/>
  <c r="H15" i="35" s="1"/>
  <c r="G15" i="35"/>
  <c r="I15" i="35"/>
  <c r="C16" i="35"/>
  <c r="D16" i="35"/>
  <c r="E16" i="35"/>
  <c r="F16" i="35"/>
  <c r="H16" i="35" s="1"/>
  <c r="G16" i="35"/>
  <c r="I16" i="35"/>
  <c r="C17" i="35"/>
  <c r="D17" i="35"/>
  <c r="E17" i="35"/>
  <c r="F17" i="35"/>
  <c r="H17" i="35" s="1"/>
  <c r="G17" i="35"/>
  <c r="I17" i="35"/>
  <c r="C18" i="35"/>
  <c r="D18" i="35"/>
  <c r="E18" i="35"/>
  <c r="F18" i="35"/>
  <c r="H18" i="35" s="1"/>
  <c r="G18" i="35"/>
  <c r="I18" i="35"/>
  <c r="C19" i="35"/>
  <c r="D19" i="35"/>
  <c r="E19" i="35"/>
  <c r="F19" i="35"/>
  <c r="H19" i="35" s="1"/>
  <c r="G19" i="35"/>
  <c r="I19" i="35"/>
  <c r="C20" i="35"/>
  <c r="D20" i="35"/>
  <c r="E20" i="35"/>
  <c r="F20" i="35"/>
  <c r="H20" i="35" s="1"/>
  <c r="G20" i="35"/>
  <c r="I20" i="35"/>
  <c r="C21" i="35"/>
  <c r="D21" i="35"/>
  <c r="E21" i="35"/>
  <c r="F21" i="35"/>
  <c r="H21" i="35" s="1"/>
  <c r="G21" i="35"/>
  <c r="I21" i="35"/>
  <c r="C22" i="35"/>
  <c r="D22" i="35"/>
  <c r="E22" i="35"/>
  <c r="F22" i="35"/>
  <c r="H22" i="35" s="1"/>
  <c r="G22" i="35"/>
  <c r="I22" i="35"/>
  <c r="C23" i="35"/>
  <c r="D23" i="35"/>
  <c r="E23" i="35"/>
  <c r="F23" i="35"/>
  <c r="H23" i="35" s="1"/>
  <c r="G23" i="35"/>
  <c r="I23" i="35"/>
  <c r="C24" i="35"/>
  <c r="D24" i="35"/>
  <c r="E24" i="35"/>
  <c r="F24" i="35"/>
  <c r="H24" i="35" s="1"/>
  <c r="G24" i="35"/>
  <c r="I24" i="35"/>
  <c r="C25" i="35"/>
  <c r="D25" i="35"/>
  <c r="E25" i="35"/>
  <c r="F25" i="35"/>
  <c r="H25" i="35" s="1"/>
  <c r="G25" i="35"/>
  <c r="I25" i="35"/>
  <c r="C26" i="35"/>
  <c r="D26" i="35"/>
  <c r="E26" i="35"/>
  <c r="F26" i="35"/>
  <c r="H26" i="35" s="1"/>
  <c r="G26" i="35"/>
  <c r="I26" i="35"/>
  <c r="C27" i="35"/>
  <c r="D27" i="35"/>
  <c r="E27" i="35"/>
  <c r="F27" i="35"/>
  <c r="H27" i="35" s="1"/>
  <c r="G27" i="35"/>
  <c r="I27" i="35"/>
  <c r="C28" i="35"/>
  <c r="D28" i="35"/>
  <c r="E28" i="35"/>
  <c r="F28" i="35"/>
  <c r="H28" i="35" s="1"/>
  <c r="G28" i="35"/>
  <c r="I28" i="35"/>
  <c r="C29" i="35"/>
  <c r="D29" i="35"/>
  <c r="E29" i="35"/>
  <c r="F29" i="35"/>
  <c r="H29" i="35" s="1"/>
  <c r="G29" i="35"/>
  <c r="I29" i="35"/>
  <c r="C30" i="35"/>
  <c r="D30" i="35"/>
  <c r="E30" i="35"/>
  <c r="F30" i="35"/>
  <c r="H30" i="35" s="1"/>
  <c r="G30" i="35"/>
  <c r="I30" i="35"/>
  <c r="C31" i="35"/>
  <c r="D31" i="35"/>
  <c r="E31" i="35"/>
  <c r="F31" i="35"/>
  <c r="H31" i="35" s="1"/>
  <c r="G31" i="35"/>
  <c r="I31" i="35"/>
  <c r="C32" i="35"/>
  <c r="D32" i="35"/>
  <c r="E32" i="35"/>
  <c r="F32" i="35"/>
  <c r="H32" i="35" s="1"/>
  <c r="G32" i="35"/>
  <c r="I32" i="35"/>
  <c r="C33" i="35"/>
  <c r="D33" i="35"/>
  <c r="E33" i="35"/>
  <c r="F33" i="35"/>
  <c r="H33" i="35" s="1"/>
  <c r="G33" i="35"/>
  <c r="I33" i="35"/>
  <c r="C34" i="35"/>
  <c r="D34" i="35"/>
  <c r="E34" i="35"/>
  <c r="F34" i="35"/>
  <c r="H34" i="35" s="1"/>
  <c r="G34" i="35"/>
  <c r="I34" i="35"/>
  <c r="C35" i="35"/>
  <c r="D35" i="35"/>
  <c r="E35" i="35"/>
  <c r="F35" i="35"/>
  <c r="H35" i="35" s="1"/>
  <c r="G35" i="35"/>
  <c r="I35" i="35"/>
  <c r="C36" i="35"/>
  <c r="D36" i="35"/>
  <c r="E36" i="35"/>
  <c r="F36" i="35"/>
  <c r="H36" i="35" s="1"/>
  <c r="G36" i="35"/>
  <c r="I36" i="35"/>
  <c r="C3" i="34"/>
  <c r="D3" i="34"/>
  <c r="E3" i="34"/>
  <c r="F3" i="34"/>
  <c r="H3" i="34" s="1"/>
  <c r="G3" i="34"/>
  <c r="I3" i="34"/>
  <c r="C4" i="34"/>
  <c r="D4" i="34"/>
  <c r="E4" i="34"/>
  <c r="F4" i="34"/>
  <c r="H4" i="34" s="1"/>
  <c r="G4" i="34"/>
  <c r="I4" i="34"/>
  <c r="C5" i="34"/>
  <c r="D5" i="34"/>
  <c r="E5" i="34"/>
  <c r="F5" i="34"/>
  <c r="H5" i="34" s="1"/>
  <c r="G5" i="34"/>
  <c r="I5" i="34"/>
  <c r="C6" i="34"/>
  <c r="D6" i="34"/>
  <c r="E6" i="34"/>
  <c r="F6" i="34"/>
  <c r="H6" i="34" s="1"/>
  <c r="G6" i="34"/>
  <c r="I6" i="34"/>
  <c r="C7" i="34"/>
  <c r="D7" i="34"/>
  <c r="E7" i="34"/>
  <c r="F7" i="34"/>
  <c r="H7" i="34" s="1"/>
  <c r="G7" i="34"/>
  <c r="I7" i="34"/>
  <c r="C8" i="34"/>
  <c r="D8" i="34"/>
  <c r="E8" i="34"/>
  <c r="F8" i="34"/>
  <c r="H8" i="34" s="1"/>
  <c r="G8" i="34"/>
  <c r="I8" i="34"/>
  <c r="C9" i="34"/>
  <c r="D9" i="34"/>
  <c r="E9" i="34"/>
  <c r="F9" i="34"/>
  <c r="H9" i="34" s="1"/>
  <c r="G9" i="34"/>
  <c r="I9" i="34"/>
  <c r="C10" i="34"/>
  <c r="D10" i="34"/>
  <c r="E10" i="34"/>
  <c r="F10" i="34"/>
  <c r="H10" i="34" s="1"/>
  <c r="G10" i="34"/>
  <c r="I10" i="34"/>
  <c r="C11" i="34"/>
  <c r="D11" i="34"/>
  <c r="E11" i="34"/>
  <c r="F11" i="34"/>
  <c r="H11" i="34" s="1"/>
  <c r="G11" i="34"/>
  <c r="I11" i="34"/>
  <c r="C12" i="34"/>
  <c r="D12" i="34"/>
  <c r="E12" i="34"/>
  <c r="F12" i="34"/>
  <c r="H12" i="34" s="1"/>
  <c r="G12" i="34"/>
  <c r="I12" i="34"/>
  <c r="C13" i="34"/>
  <c r="D13" i="34"/>
  <c r="E13" i="34"/>
  <c r="F13" i="34"/>
  <c r="H13" i="34" s="1"/>
  <c r="G13" i="34"/>
  <c r="I13" i="34"/>
  <c r="C14" i="34"/>
  <c r="D14" i="34"/>
  <c r="E14" i="34"/>
  <c r="F14" i="34"/>
  <c r="H14" i="34" s="1"/>
  <c r="G14" i="34"/>
  <c r="I14" i="34"/>
  <c r="C15" i="34"/>
  <c r="D15" i="34"/>
  <c r="E15" i="34"/>
  <c r="F15" i="34"/>
  <c r="H15" i="34" s="1"/>
  <c r="G15" i="34"/>
  <c r="I15" i="34"/>
  <c r="C16" i="34"/>
  <c r="D16" i="34"/>
  <c r="E16" i="34"/>
  <c r="F16" i="34"/>
  <c r="H16" i="34" s="1"/>
  <c r="G16" i="34"/>
  <c r="I16" i="34"/>
  <c r="C17" i="34"/>
  <c r="D17" i="34"/>
  <c r="E17" i="34"/>
  <c r="F17" i="34"/>
  <c r="H17" i="34" s="1"/>
  <c r="G17" i="34"/>
  <c r="I17" i="34"/>
  <c r="C18" i="34"/>
  <c r="D18" i="34"/>
  <c r="E18" i="34"/>
  <c r="F18" i="34"/>
  <c r="H18" i="34" s="1"/>
  <c r="G18" i="34"/>
  <c r="I18" i="34"/>
  <c r="C19" i="34"/>
  <c r="D19" i="34"/>
  <c r="E19" i="34"/>
  <c r="F19" i="34"/>
  <c r="H19" i="34" s="1"/>
  <c r="G19" i="34"/>
  <c r="I19" i="34"/>
  <c r="C20" i="34"/>
  <c r="D20" i="34"/>
  <c r="E20" i="34"/>
  <c r="F20" i="34"/>
  <c r="H20" i="34" s="1"/>
  <c r="G20" i="34"/>
  <c r="I20" i="34"/>
  <c r="C21" i="34"/>
  <c r="D21" i="34"/>
  <c r="E21" i="34"/>
  <c r="F21" i="34"/>
  <c r="H21" i="34" s="1"/>
  <c r="G21" i="34"/>
  <c r="I21" i="34"/>
  <c r="C22" i="34"/>
  <c r="D22" i="34"/>
  <c r="E22" i="34"/>
  <c r="F22" i="34"/>
  <c r="H22" i="34" s="1"/>
  <c r="G22" i="34"/>
  <c r="I22" i="34"/>
  <c r="C23" i="34"/>
  <c r="D23" i="34"/>
  <c r="E23" i="34"/>
  <c r="F23" i="34"/>
  <c r="H23" i="34" s="1"/>
  <c r="G23" i="34"/>
  <c r="I23" i="34"/>
  <c r="C24" i="34"/>
  <c r="D24" i="34"/>
  <c r="E24" i="34"/>
  <c r="F24" i="34"/>
  <c r="H24" i="34" s="1"/>
  <c r="G24" i="34"/>
  <c r="I24" i="34"/>
  <c r="C25" i="34"/>
  <c r="D25" i="34"/>
  <c r="E25" i="34"/>
  <c r="F25" i="34"/>
  <c r="H25" i="34" s="1"/>
  <c r="G25" i="34"/>
  <c r="I25" i="34"/>
  <c r="C26" i="34"/>
  <c r="D26" i="34"/>
  <c r="E26" i="34"/>
  <c r="F26" i="34"/>
  <c r="H26" i="34" s="1"/>
  <c r="G26" i="34"/>
  <c r="I26" i="34"/>
  <c r="C27" i="34"/>
  <c r="D27" i="34"/>
  <c r="E27" i="34"/>
  <c r="F27" i="34"/>
  <c r="H27" i="34" s="1"/>
  <c r="G27" i="34"/>
  <c r="I27" i="34"/>
  <c r="C28" i="34"/>
  <c r="D28" i="34"/>
  <c r="E28" i="34"/>
  <c r="F28" i="34"/>
  <c r="H28" i="34" s="1"/>
  <c r="G28" i="34"/>
  <c r="I28" i="34"/>
  <c r="C29" i="34"/>
  <c r="D29" i="34"/>
  <c r="E29" i="34"/>
  <c r="F29" i="34"/>
  <c r="H29" i="34" s="1"/>
  <c r="G29" i="34"/>
  <c r="I29" i="34"/>
  <c r="C30" i="34"/>
  <c r="D30" i="34"/>
  <c r="E30" i="34"/>
  <c r="F30" i="34"/>
  <c r="H30" i="34" s="1"/>
  <c r="G30" i="34"/>
  <c r="I30" i="34"/>
  <c r="C31" i="34"/>
  <c r="D31" i="34"/>
  <c r="E31" i="34"/>
  <c r="F31" i="34"/>
  <c r="H31" i="34" s="1"/>
  <c r="G31" i="34"/>
  <c r="I31" i="34"/>
  <c r="C32" i="34"/>
  <c r="D32" i="34"/>
  <c r="E32" i="34"/>
  <c r="F32" i="34"/>
  <c r="H32" i="34" s="1"/>
  <c r="G32" i="34"/>
  <c r="I32" i="34"/>
  <c r="C33" i="34"/>
  <c r="D33" i="34"/>
  <c r="E33" i="34"/>
  <c r="F33" i="34"/>
  <c r="H33" i="34" s="1"/>
  <c r="G33" i="34"/>
  <c r="I33" i="34"/>
  <c r="C34" i="34"/>
  <c r="D34" i="34"/>
  <c r="E34" i="34"/>
  <c r="F34" i="34"/>
  <c r="H34" i="34" s="1"/>
  <c r="G34" i="34"/>
  <c r="I34" i="34"/>
  <c r="C35" i="34"/>
  <c r="D35" i="34"/>
  <c r="E35" i="34"/>
  <c r="F35" i="34"/>
  <c r="H35" i="34" s="1"/>
  <c r="G35" i="34"/>
  <c r="I35" i="34"/>
  <c r="C36" i="34"/>
  <c r="D36" i="34"/>
  <c r="E36" i="34"/>
  <c r="F36" i="34"/>
  <c r="H36" i="34" s="1"/>
  <c r="G36" i="34"/>
  <c r="I36" i="34"/>
  <c r="L24" i="34"/>
  <c r="L6" i="34"/>
  <c r="L25" i="35"/>
  <c r="L34" i="35"/>
  <c r="L32" i="35"/>
  <c r="L35" i="35"/>
  <c r="L28" i="35"/>
  <c r="L26" i="34"/>
  <c r="L3" i="35"/>
  <c r="L29" i="34"/>
  <c r="L14" i="34"/>
  <c r="L29" i="35"/>
  <c r="L30" i="35"/>
  <c r="L19" i="34"/>
  <c r="L17" i="34"/>
  <c r="L4" i="34"/>
  <c r="L12" i="35"/>
  <c r="L5" i="34"/>
  <c r="L3" i="34"/>
  <c r="L6" i="35"/>
  <c r="L22" i="35"/>
  <c r="L28" i="34"/>
  <c r="L19" i="35"/>
  <c r="L21" i="34"/>
  <c r="L5" i="35"/>
  <c r="L32" i="34"/>
  <c r="L11" i="35"/>
  <c r="L27" i="35"/>
  <c r="L8" i="35"/>
  <c r="L17" i="35"/>
  <c r="L20" i="35"/>
  <c r="L20" i="34"/>
  <c r="L35" i="34"/>
  <c r="L8" i="34"/>
  <c r="L25" i="34"/>
  <c r="L12" i="34"/>
  <c r="L33" i="34"/>
  <c r="L10" i="34"/>
  <c r="L34" i="34"/>
  <c r="L24" i="35"/>
  <c r="L7" i="34"/>
  <c r="L15" i="34"/>
  <c r="L9" i="34"/>
  <c r="L21" i="35"/>
  <c r="L26" i="35"/>
  <c r="L13" i="35"/>
  <c r="L15" i="35"/>
  <c r="L30" i="34"/>
  <c r="L16" i="34"/>
  <c r="L18" i="34"/>
  <c r="L27" i="34"/>
  <c r="L16" i="35"/>
  <c r="L11" i="34"/>
  <c r="L14" i="35"/>
  <c r="L31" i="34"/>
  <c r="L7" i="35"/>
  <c r="L23" i="35"/>
  <c r="L31" i="35"/>
  <c r="L22" i="34"/>
  <c r="L10" i="35"/>
  <c r="L18" i="35"/>
  <c r="L36" i="35"/>
  <c r="L13" i="34"/>
  <c r="L33" i="35"/>
  <c r="L9" i="35"/>
  <c r="L36" i="34"/>
  <c r="L4" i="35"/>
  <c r="L23" i="34"/>
  <c r="J35" i="35" l="1"/>
  <c r="J9" i="34"/>
  <c r="J16" i="35"/>
  <c r="J27" i="34"/>
  <c r="J19" i="35"/>
  <c r="J17" i="35"/>
  <c r="J33" i="35"/>
  <c r="J28" i="35"/>
  <c r="J4" i="35"/>
  <c r="J29" i="35"/>
  <c r="J15" i="35"/>
  <c r="J14" i="35"/>
  <c r="J20" i="34"/>
  <c r="J8" i="34"/>
  <c r="J24" i="35"/>
  <c r="J11" i="35"/>
  <c r="J9" i="35"/>
  <c r="J5" i="35"/>
  <c r="J13" i="35"/>
  <c r="J27" i="35"/>
  <c r="J25" i="35"/>
  <c r="J36" i="35"/>
  <c r="J21" i="35"/>
  <c r="J20" i="35"/>
  <c r="J12" i="35"/>
  <c r="J3" i="35"/>
  <c r="J32" i="35"/>
  <c r="J22" i="35"/>
  <c r="J31" i="35"/>
  <c r="J30" i="35"/>
  <c r="J10" i="35"/>
  <c r="J26" i="35"/>
  <c r="J7" i="35"/>
  <c r="J6" i="35"/>
  <c r="J23" i="35"/>
  <c r="J34" i="35"/>
  <c r="J18" i="35"/>
  <c r="J8" i="35"/>
  <c r="J2" i="35"/>
  <c r="J21" i="34"/>
  <c r="J15" i="34"/>
  <c r="J5" i="34"/>
  <c r="J4" i="34"/>
  <c r="J26" i="34"/>
  <c r="J14" i="34"/>
  <c r="J33" i="34"/>
  <c r="J24" i="34"/>
  <c r="J10" i="34"/>
  <c r="J34" i="34"/>
  <c r="J23" i="34"/>
  <c r="J17" i="34"/>
  <c r="J6" i="34"/>
  <c r="J29" i="34"/>
  <c r="J32" i="34"/>
  <c r="J18" i="34"/>
  <c r="J12" i="34"/>
  <c r="J7" i="34"/>
  <c r="J22" i="34"/>
  <c r="J30" i="34"/>
  <c r="J13" i="34"/>
  <c r="J31" i="34"/>
  <c r="J25" i="34"/>
  <c r="J16" i="34"/>
  <c r="J11" i="34"/>
  <c r="J35" i="34"/>
  <c r="J28" i="34"/>
  <c r="J19" i="34"/>
  <c r="J36" i="34"/>
  <c r="J3" i="34"/>
  <c r="J2" i="34"/>
  <c r="K2" i="35"/>
  <c r="K2" i="34"/>
  <c r="L2" i="35" l="1"/>
  <c r="L2" i="34"/>
  <c r="C2" i="28" l="1"/>
  <c r="C3" i="28"/>
  <c r="C4" i="28"/>
  <c r="D2" i="28"/>
  <c r="D3" i="28"/>
  <c r="D4" i="28"/>
  <c r="C6" i="26" l="1" a="1"/>
  <c r="C6" i="26" s="1"/>
  <c r="D6" i="26" a="1"/>
  <c r="D12" i="26" s="1"/>
  <c r="C6" i="25" a="1"/>
  <c r="C12" i="25" s="1"/>
  <c r="D6" i="25" a="1"/>
  <c r="D7" i="25" s="1"/>
  <c r="E4" i="24"/>
  <c r="E5" i="24"/>
  <c r="E6" i="24"/>
  <c r="E7" i="24"/>
  <c r="E8" i="24"/>
  <c r="E9" i="24"/>
  <c r="E10" i="24"/>
  <c r="E11" i="24"/>
  <c r="E4" i="23"/>
  <c r="E5" i="23"/>
  <c r="E6" i="23"/>
  <c r="E7" i="23"/>
  <c r="E8" i="23"/>
  <c r="E9" i="23"/>
  <c r="E10" i="23"/>
  <c r="E11" i="23"/>
  <c r="E12" i="23"/>
  <c r="E13" i="23"/>
  <c r="E14" i="23"/>
  <c r="E15" i="23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2" i="28"/>
  <c r="F18" i="22"/>
  <c r="F12" i="23"/>
  <c r="F9" i="23"/>
  <c r="E4" i="28"/>
  <c r="F9" i="22"/>
  <c r="F24" i="22"/>
  <c r="F52" i="22"/>
  <c r="F35" i="22"/>
  <c r="F11" i="23"/>
  <c r="F51" i="22"/>
  <c r="F28" i="22"/>
  <c r="F48" i="22"/>
  <c r="F7" i="23"/>
  <c r="F8" i="24"/>
  <c r="F7" i="22"/>
  <c r="F42" i="22"/>
  <c r="F5" i="24"/>
  <c r="F8" i="23"/>
  <c r="F13" i="22"/>
  <c r="F5" i="22"/>
  <c r="F11" i="24"/>
  <c r="F5" i="23"/>
  <c r="F9" i="24"/>
  <c r="F13" i="23"/>
  <c r="F23" i="22"/>
  <c r="F7" i="24"/>
  <c r="F37" i="22"/>
  <c r="F21" i="22"/>
  <c r="F49" i="22"/>
  <c r="F22" i="22"/>
  <c r="F19" i="22"/>
  <c r="F46" i="22"/>
  <c r="F50" i="22"/>
  <c r="F36" i="22"/>
  <c r="E3" i="28"/>
  <c r="F10" i="22"/>
  <c r="F45" i="22"/>
  <c r="F8" i="22"/>
  <c r="F39" i="22"/>
  <c r="F57" i="22"/>
  <c r="F29" i="22"/>
  <c r="F11" i="22"/>
  <c r="F58" i="22"/>
  <c r="D60" i="22"/>
  <c r="F14" i="22"/>
  <c r="F34" i="22"/>
  <c r="F32" i="22"/>
  <c r="F25" i="22"/>
  <c r="F6" i="24"/>
  <c r="F15" i="22"/>
  <c r="F10" i="24"/>
  <c r="F43" i="22"/>
  <c r="F17" i="22"/>
  <c r="F44" i="22"/>
  <c r="F6" i="22"/>
  <c r="F53" i="22"/>
  <c r="F47" i="22"/>
  <c r="F41" i="22"/>
  <c r="F16" i="22"/>
  <c r="F31" i="22"/>
  <c r="F33" i="22"/>
  <c r="F54" i="22"/>
  <c r="F38" i="22"/>
  <c r="F55" i="22"/>
  <c r="F20" i="22"/>
  <c r="F15" i="23"/>
  <c r="F10" i="23"/>
  <c r="F12" i="22"/>
  <c r="F27" i="22"/>
  <c r="F40" i="22"/>
  <c r="F30" i="22"/>
  <c r="F6" i="23"/>
  <c r="F56" i="22"/>
  <c r="F26" i="22"/>
  <c r="F14" i="23"/>
  <c r="Y7" i="22"/>
  <c r="Y6" i="22"/>
  <c r="Y8" i="22"/>
  <c r="Y5" i="22"/>
  <c r="C32" i="26" l="1"/>
  <c r="C21" i="26"/>
  <c r="D8" i="26"/>
  <c r="C29" i="26"/>
  <c r="C8" i="26"/>
  <c r="D19" i="25"/>
  <c r="D27" i="26"/>
  <c r="D38" i="26"/>
  <c r="C19" i="26"/>
  <c r="D32" i="26"/>
  <c r="D11" i="26"/>
  <c r="D22" i="26"/>
  <c r="C40" i="26"/>
  <c r="D19" i="26"/>
  <c r="C24" i="25"/>
  <c r="D40" i="26"/>
  <c r="D30" i="26"/>
  <c r="C11" i="26"/>
  <c r="C16" i="25"/>
  <c r="C13" i="25"/>
  <c r="C37" i="26"/>
  <c r="C27" i="26"/>
  <c r="D16" i="26"/>
  <c r="C11" i="25"/>
  <c r="D35" i="26"/>
  <c r="D24" i="26"/>
  <c r="C16" i="26"/>
  <c r="D6" i="26"/>
  <c r="E6" i="26" s="1"/>
  <c r="C29" i="25"/>
  <c r="D8" i="25"/>
  <c r="C35" i="26"/>
  <c r="C24" i="26"/>
  <c r="C13" i="26"/>
  <c r="D14" i="26"/>
  <c r="D41" i="26"/>
  <c r="C38" i="26"/>
  <c r="D25" i="26"/>
  <c r="C22" i="26"/>
  <c r="D17" i="26"/>
  <c r="C14" i="26"/>
  <c r="D9" i="26"/>
  <c r="D39" i="26"/>
  <c r="C36" i="26"/>
  <c r="D31" i="26"/>
  <c r="C28" i="26"/>
  <c r="D23" i="26"/>
  <c r="C20" i="26"/>
  <c r="D15" i="26"/>
  <c r="C12" i="26"/>
  <c r="D7" i="26"/>
  <c r="D42" i="26"/>
  <c r="C39" i="26"/>
  <c r="D34" i="26"/>
  <c r="C31" i="26"/>
  <c r="D26" i="26"/>
  <c r="C23" i="26"/>
  <c r="D18" i="26"/>
  <c r="C15" i="26"/>
  <c r="D10" i="26"/>
  <c r="C7" i="26"/>
  <c r="C42" i="26"/>
  <c r="D37" i="26"/>
  <c r="C34" i="26"/>
  <c r="D29" i="26"/>
  <c r="C26" i="26"/>
  <c r="D21" i="26"/>
  <c r="C18" i="26"/>
  <c r="D13" i="26"/>
  <c r="C10" i="26"/>
  <c r="D33" i="26"/>
  <c r="C30" i="26"/>
  <c r="C41" i="26"/>
  <c r="D36" i="26"/>
  <c r="C33" i="26"/>
  <c r="D28" i="26"/>
  <c r="C25" i="26"/>
  <c r="D20" i="26"/>
  <c r="C17" i="26"/>
  <c r="C9" i="26"/>
  <c r="C21" i="25"/>
  <c r="D11" i="25"/>
  <c r="C37" i="25"/>
  <c r="C19" i="25"/>
  <c r="C8" i="25"/>
  <c r="D40" i="25"/>
  <c r="D32" i="25"/>
  <c r="D16" i="25"/>
  <c r="D6" i="25"/>
  <c r="D24" i="25"/>
  <c r="D42" i="25"/>
  <c r="C39" i="25"/>
  <c r="D34" i="25"/>
  <c r="C31" i="25"/>
  <c r="D26" i="25"/>
  <c r="C23" i="25"/>
  <c r="D18" i="25"/>
  <c r="C15" i="25"/>
  <c r="D10" i="25"/>
  <c r="C7" i="25"/>
  <c r="C42" i="25"/>
  <c r="D37" i="25"/>
  <c r="C34" i="25"/>
  <c r="D29" i="25"/>
  <c r="C26" i="25"/>
  <c r="D21" i="25"/>
  <c r="C18" i="25"/>
  <c r="D13" i="25"/>
  <c r="C10" i="25"/>
  <c r="C40" i="25"/>
  <c r="C32" i="25"/>
  <c r="D27" i="25"/>
  <c r="C35" i="25"/>
  <c r="D30" i="25"/>
  <c r="D41" i="25"/>
  <c r="C22" i="25"/>
  <c r="D17" i="25"/>
  <c r="C14" i="25"/>
  <c r="C41" i="25"/>
  <c r="D36" i="25"/>
  <c r="C33" i="25"/>
  <c r="D28" i="25"/>
  <c r="C25" i="25"/>
  <c r="D20" i="25"/>
  <c r="C17" i="25"/>
  <c r="D12" i="25"/>
  <c r="E12" i="25" s="1"/>
  <c r="C9" i="25"/>
  <c r="C6" i="25"/>
  <c r="D35" i="25"/>
  <c r="D38" i="25"/>
  <c r="C27" i="25"/>
  <c r="D22" i="25"/>
  <c r="D14" i="25"/>
  <c r="C38" i="25"/>
  <c r="D33" i="25"/>
  <c r="C30" i="25"/>
  <c r="D25" i="25"/>
  <c r="D9" i="25"/>
  <c r="D39" i="25"/>
  <c r="C36" i="25"/>
  <c r="D31" i="25"/>
  <c r="C28" i="25"/>
  <c r="D23" i="25"/>
  <c r="C20" i="25"/>
  <c r="D15" i="25"/>
  <c r="E60" i="22"/>
  <c r="G32" i="22"/>
  <c r="G37" i="22"/>
  <c r="G8" i="24"/>
  <c r="G6" i="22"/>
  <c r="G9" i="24"/>
  <c r="G52" i="22"/>
  <c r="F60" i="22"/>
  <c r="Y5" i="24"/>
  <c r="G42" i="22"/>
  <c r="G13" i="22"/>
  <c r="G17" i="22"/>
  <c r="Y11" i="24"/>
  <c r="Y8" i="24"/>
  <c r="G11" i="22"/>
  <c r="Y6" i="24"/>
  <c r="F19" i="25"/>
  <c r="G33" i="22"/>
  <c r="G7" i="23"/>
  <c r="G55" i="22"/>
  <c r="F16" i="26"/>
  <c r="G34" i="22"/>
  <c r="D61" i="22"/>
  <c r="G21" i="22"/>
  <c r="F16" i="25"/>
  <c r="G29" i="22"/>
  <c r="G41" i="22"/>
  <c r="G12" i="22"/>
  <c r="G40" i="22"/>
  <c r="G25" i="22"/>
  <c r="F24" i="25"/>
  <c r="G11" i="23"/>
  <c r="G43" i="22"/>
  <c r="G18" i="22"/>
  <c r="F35" i="26"/>
  <c r="G44" i="22"/>
  <c r="F37" i="25"/>
  <c r="G39" i="22"/>
  <c r="F11" i="25"/>
  <c r="F32" i="26"/>
  <c r="G5" i="24"/>
  <c r="G49" i="22"/>
  <c r="G51" i="22"/>
  <c r="G38" i="22"/>
  <c r="G11" i="24"/>
  <c r="F24" i="26"/>
  <c r="G30" i="22"/>
  <c r="G58" i="22"/>
  <c r="G35" i="22"/>
  <c r="G10" i="23"/>
  <c r="G6" i="24"/>
  <c r="G45" i="22"/>
  <c r="G56" i="22"/>
  <c r="Y10" i="24"/>
  <c r="G36" i="22"/>
  <c r="G26" i="22"/>
  <c r="F29" i="26"/>
  <c r="G22" i="22"/>
  <c r="G53" i="22"/>
  <c r="F19" i="26"/>
  <c r="G12" i="23"/>
  <c r="G23" i="22"/>
  <c r="G24" i="22"/>
  <c r="Y9" i="24"/>
  <c r="G19" i="22"/>
  <c r="G28" i="22"/>
  <c r="G31" i="22"/>
  <c r="G9" i="23"/>
  <c r="G48" i="22"/>
  <c r="G16" i="22"/>
  <c r="G8" i="23"/>
  <c r="F40" i="26"/>
  <c r="G10" i="24"/>
  <c r="G10" i="22"/>
  <c r="G14" i="23"/>
  <c r="F11" i="26"/>
  <c r="G57" i="22"/>
  <c r="G7" i="24"/>
  <c r="G15" i="23"/>
  <c r="Y7" i="24"/>
  <c r="G13" i="23"/>
  <c r="F29" i="25"/>
  <c r="G20" i="22"/>
  <c r="F21" i="25"/>
  <c r="F27" i="26"/>
  <c r="G47" i="22"/>
  <c r="F12" i="25"/>
  <c r="G8" i="22"/>
  <c r="F8" i="26"/>
  <c r="G54" i="22"/>
  <c r="G5" i="22"/>
  <c r="F8" i="25"/>
  <c r="G15" i="22"/>
  <c r="G46" i="22"/>
  <c r="G27" i="22"/>
  <c r="G9" i="22"/>
  <c r="G50" i="22"/>
  <c r="G6" i="23"/>
  <c r="G7" i="22"/>
  <c r="F13" i="25"/>
  <c r="G14" i="22"/>
  <c r="G5" i="23"/>
  <c r="Y13" i="23"/>
  <c r="Y12" i="22"/>
  <c r="Y19" i="22"/>
  <c r="Y56" i="22"/>
  <c r="Y43" i="22"/>
  <c r="Y14" i="23"/>
  <c r="Y8" i="23"/>
  <c r="Y33" i="22"/>
  <c r="Y38" i="22"/>
  <c r="Y22" i="22"/>
  <c r="Y24" i="22"/>
  <c r="Y37" i="22"/>
  <c r="Y28" i="22"/>
  <c r="Y29" i="22"/>
  <c r="Y9" i="23"/>
  <c r="Y15" i="22"/>
  <c r="Y35" i="22"/>
  <c r="Y39" i="22"/>
  <c r="Y25" i="22"/>
  <c r="Y48" i="22"/>
  <c r="Y10" i="23"/>
  <c r="Y5" i="23"/>
  <c r="Y9" i="22"/>
  <c r="Y26" i="22"/>
  <c r="Y13" i="22"/>
  <c r="Y11" i="23"/>
  <c r="Y21" i="22"/>
  <c r="Y31" i="22"/>
  <c r="Y6" i="23"/>
  <c r="Y45" i="22"/>
  <c r="Y58" i="22"/>
  <c r="Y52" i="22"/>
  <c r="Y49" i="22"/>
  <c r="Y27" i="22"/>
  <c r="Y41" i="22"/>
  <c r="Y14" i="22"/>
  <c r="Y53" i="22"/>
  <c r="Y23" i="22"/>
  <c r="Y46" i="22"/>
  <c r="Y16" i="22"/>
  <c r="Y18" i="22"/>
  <c r="Y17" i="22"/>
  <c r="Y47" i="22"/>
  <c r="Y36" i="22"/>
  <c r="Y50" i="22"/>
  <c r="Y44" i="22"/>
  <c r="Y12" i="23"/>
  <c r="Y54" i="22"/>
  <c r="Y30" i="22"/>
  <c r="Y32" i="22"/>
  <c r="Y42" i="22"/>
  <c r="Y55" i="22"/>
  <c r="Y40" i="22"/>
  <c r="Y34" i="22"/>
  <c r="Y20" i="22"/>
  <c r="Y7" i="23"/>
  <c r="Y57" i="22"/>
  <c r="Y15" i="23"/>
  <c r="Y51" i="22"/>
  <c r="Y11" i="22"/>
  <c r="Y10" i="22"/>
  <c r="E61" i="22" l="1"/>
  <c r="E21" i="26"/>
  <c r="E32" i="26"/>
  <c r="E27" i="26"/>
  <c r="E29" i="25"/>
  <c r="E24" i="26"/>
  <c r="E8" i="26"/>
  <c r="E13" i="25"/>
  <c r="E29" i="26"/>
  <c r="E40" i="26"/>
  <c r="E19" i="26"/>
  <c r="E16" i="26"/>
  <c r="E24" i="25"/>
  <c r="E16" i="25"/>
  <c r="E37" i="26"/>
  <c r="E35" i="26"/>
  <c r="E8" i="25"/>
  <c r="E13" i="26"/>
  <c r="E11" i="25"/>
  <c r="E5" i="26"/>
  <c r="E11" i="26"/>
  <c r="E33" i="26"/>
  <c r="E15" i="26"/>
  <c r="E26" i="26"/>
  <c r="E12" i="26"/>
  <c r="E41" i="26"/>
  <c r="E23" i="26"/>
  <c r="E14" i="26"/>
  <c r="E9" i="26"/>
  <c r="E30" i="26"/>
  <c r="E34" i="26"/>
  <c r="E20" i="26"/>
  <c r="E17" i="26"/>
  <c r="E31" i="26"/>
  <c r="E22" i="26"/>
  <c r="E10" i="26"/>
  <c r="E42" i="26"/>
  <c r="E28" i="26"/>
  <c r="E25" i="26"/>
  <c r="E7" i="26"/>
  <c r="E39" i="26"/>
  <c r="E38" i="26"/>
  <c r="E18" i="26"/>
  <c r="E36" i="26"/>
  <c r="E21" i="25"/>
  <c r="E19" i="25"/>
  <c r="E27" i="25"/>
  <c r="E18" i="25"/>
  <c r="E33" i="25"/>
  <c r="E35" i="25"/>
  <c r="E26" i="25"/>
  <c r="E20" i="25"/>
  <c r="E30" i="25"/>
  <c r="E5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AC24" i="26"/>
  <c r="F34" i="25"/>
  <c r="F10" i="26"/>
  <c r="G40" i="26"/>
  <c r="F15" i="26"/>
  <c r="G19" i="26"/>
  <c r="AC19" i="26"/>
  <c r="G13" i="25"/>
  <c r="F37" i="26"/>
  <c r="G16" i="25"/>
  <c r="AC32" i="26"/>
  <c r="F42" i="25"/>
  <c r="D62" i="22"/>
  <c r="F9" i="25"/>
  <c r="G27" i="26"/>
  <c r="G60" i="22"/>
  <c r="F21" i="26"/>
  <c r="G24" i="25"/>
  <c r="F7" i="26"/>
  <c r="F6" i="25"/>
  <c r="F18" i="25"/>
  <c r="F40" i="25"/>
  <c r="F22" i="26"/>
  <c r="F61" i="22"/>
  <c r="F42" i="26"/>
  <c r="F31" i="25"/>
  <c r="G21" i="25"/>
  <c r="F18" i="26"/>
  <c r="F20" i="25"/>
  <c r="F10" i="25"/>
  <c r="G11" i="25"/>
  <c r="F15" i="25"/>
  <c r="G35" i="26"/>
  <c r="G16" i="26"/>
  <c r="F22" i="25"/>
  <c r="F13" i="26"/>
  <c r="F12" i="26"/>
  <c r="F14" i="26"/>
  <c r="F26" i="26"/>
  <c r="F39" i="26"/>
  <c r="F36" i="25"/>
  <c r="F34" i="26"/>
  <c r="F26" i="25"/>
  <c r="G24" i="26"/>
  <c r="F41" i="26"/>
  <c r="AC29" i="26"/>
  <c r="F33" i="25"/>
  <c r="F17" i="26"/>
  <c r="F28" i="25"/>
  <c r="G8" i="26"/>
  <c r="F31" i="26"/>
  <c r="F33" i="26"/>
  <c r="F6" i="26"/>
  <c r="F27" i="25"/>
  <c r="AC8" i="26"/>
  <c r="F23" i="26"/>
  <c r="F20" i="26"/>
  <c r="G8" i="25"/>
  <c r="F35" i="25"/>
  <c r="F30" i="26"/>
  <c r="G12" i="25"/>
  <c r="G29" i="25"/>
  <c r="F41" i="25"/>
  <c r="F23" i="25"/>
  <c r="AC16" i="26"/>
  <c r="F38" i="26"/>
  <c r="AC27" i="26"/>
  <c r="AC11" i="26"/>
  <c r="F28" i="26"/>
  <c r="F14" i="25"/>
  <c r="G19" i="25"/>
  <c r="AC35" i="26"/>
  <c r="AC40" i="26"/>
  <c r="F32" i="25"/>
  <c r="F9" i="26"/>
  <c r="G37" i="25"/>
  <c r="F38" i="25"/>
  <c r="F25" i="25"/>
  <c r="F39" i="25"/>
  <c r="F7" i="25"/>
  <c r="G29" i="26"/>
  <c r="F25" i="26"/>
  <c r="G11" i="26"/>
  <c r="F30" i="25"/>
  <c r="G32" i="26"/>
  <c r="F17" i="25"/>
  <c r="F36" i="26"/>
  <c r="AC8" i="25"/>
  <c r="AC37" i="25"/>
  <c r="AC19" i="25"/>
  <c r="AC21" i="25"/>
  <c r="AC29" i="25"/>
  <c r="AC11" i="25"/>
  <c r="AC13" i="25"/>
  <c r="AC24" i="25"/>
  <c r="AC12" i="25"/>
  <c r="AC16" i="25"/>
  <c r="E62" i="22" l="1"/>
  <c r="G25" i="26"/>
  <c r="AC37" i="26"/>
  <c r="AC6" i="26"/>
  <c r="G41" i="26"/>
  <c r="G6" i="25"/>
  <c r="AC23" i="26"/>
  <c r="G6" i="26"/>
  <c r="AC36" i="26"/>
  <c r="G15" i="26"/>
  <c r="AC41" i="26"/>
  <c r="G14" i="25"/>
  <c r="G37" i="26"/>
  <c r="AC12" i="26"/>
  <c r="AC13" i="26"/>
  <c r="G28" i="26"/>
  <c r="AC15" i="26"/>
  <c r="G9" i="25"/>
  <c r="AC33" i="26"/>
  <c r="G20" i="25"/>
  <c r="AC31" i="26"/>
  <c r="G34" i="25"/>
  <c r="AC39" i="26"/>
  <c r="G23" i="25"/>
  <c r="AC9" i="26"/>
  <c r="G35" i="25"/>
  <c r="G20" i="26"/>
  <c r="G39" i="26"/>
  <c r="AC42" i="26"/>
  <c r="AC38" i="26"/>
  <c r="G61" i="22"/>
  <c r="G40" i="25"/>
  <c r="G28" i="25"/>
  <c r="G36" i="26"/>
  <c r="G41" i="25"/>
  <c r="G7" i="26"/>
  <c r="G18" i="25"/>
  <c r="G31" i="25"/>
  <c r="AC17" i="26"/>
  <c r="G33" i="26"/>
  <c r="G7" i="25"/>
  <c r="G17" i="26"/>
  <c r="G18" i="26"/>
  <c r="G30" i="26"/>
  <c r="G30" i="25"/>
  <c r="AC30" i="26"/>
  <c r="AC20" i="26"/>
  <c r="G22" i="26"/>
  <c r="AC34" i="26"/>
  <c r="G42" i="26"/>
  <c r="G12" i="26"/>
  <c r="AC14" i="26"/>
  <c r="AC7" i="26"/>
  <c r="G38" i="26"/>
  <c r="AC21" i="26"/>
  <c r="G36" i="25"/>
  <c r="G25" i="25"/>
  <c r="G27" i="25"/>
  <c r="AC22" i="26"/>
  <c r="G17" i="25"/>
  <c r="F62" i="22"/>
  <c r="G39" i="25"/>
  <c r="G33" i="25"/>
  <c r="G9" i="26"/>
  <c r="G15" i="25"/>
  <c r="D63" i="22"/>
  <c r="G14" i="26"/>
  <c r="G34" i="26"/>
  <c r="AC26" i="26"/>
  <c r="G21" i="26"/>
  <c r="G22" i="25"/>
  <c r="AC25" i="26"/>
  <c r="G31" i="26"/>
  <c r="AC18" i="26"/>
  <c r="G26" i="25"/>
  <c r="G13" i="26"/>
  <c r="AC10" i="26"/>
  <c r="G42" i="25"/>
  <c r="AC28" i="26"/>
  <c r="G10" i="25"/>
  <c r="G32" i="25"/>
  <c r="G10" i="26"/>
  <c r="G38" i="25"/>
  <c r="G23" i="26"/>
  <c r="G26" i="26"/>
  <c r="AC32" i="25"/>
  <c r="AC9" i="25"/>
  <c r="AC14" i="25"/>
  <c r="AC36" i="25"/>
  <c r="AC34" i="25"/>
  <c r="AC6" i="25"/>
  <c r="AC22" i="25"/>
  <c r="AC10" i="25"/>
  <c r="AC28" i="25"/>
  <c r="AC41" i="25"/>
  <c r="AC42" i="25"/>
  <c r="AC18" i="25"/>
  <c r="AC31" i="25"/>
  <c r="AC30" i="25"/>
  <c r="AC20" i="25"/>
  <c r="AC38" i="25"/>
  <c r="AC7" i="25"/>
  <c r="AC17" i="25"/>
  <c r="AC23" i="25"/>
  <c r="AC39" i="25"/>
  <c r="AC25" i="25"/>
  <c r="AC40" i="25"/>
  <c r="AC35" i="25"/>
  <c r="AC33" i="25"/>
  <c r="AC26" i="25"/>
  <c r="AC15" i="25"/>
  <c r="AC27" i="25"/>
  <c r="E63" i="22" l="1"/>
  <c r="F63" i="22"/>
  <c r="G62" i="22"/>
  <c r="D64" i="22"/>
  <c r="E64" i="22" l="1"/>
  <c r="G63" i="22"/>
  <c r="D65" i="22"/>
  <c r="F64" i="22"/>
  <c r="E65" i="22" l="1"/>
  <c r="D66" i="22"/>
  <c r="F65" i="22"/>
  <c r="G64" i="22"/>
  <c r="E66" i="22" l="1"/>
  <c r="F66" i="22"/>
  <c r="D67" i="22"/>
  <c r="G65" i="22"/>
  <c r="E67" i="22" l="1"/>
  <c r="G66" i="22"/>
  <c r="F67" i="22"/>
  <c r="D68" i="22"/>
  <c r="E68" i="22" l="1"/>
  <c r="D69" i="22"/>
  <c r="F68" i="22"/>
  <c r="G67" i="22"/>
  <c r="E69" i="22" l="1"/>
  <c r="D70" i="22"/>
  <c r="F69" i="22"/>
  <c r="G69" i="22"/>
  <c r="G68" i="22"/>
  <c r="E70" i="22" l="1"/>
  <c r="D71" i="22"/>
  <c r="F70" i="22"/>
  <c r="G70" i="22"/>
  <c r="E71" i="22" l="1"/>
  <c r="F71" i="22"/>
  <c r="D72" i="22"/>
  <c r="G71" i="22"/>
  <c r="E72" i="22" l="1"/>
  <c r="D73" i="22"/>
  <c r="D74" i="22" s="1"/>
  <c r="F72" i="22"/>
  <c r="G72" i="22"/>
  <c r="E73" i="22" l="1"/>
  <c r="E74" i="22"/>
  <c r="F74" i="22"/>
  <c r="D75" i="22"/>
  <c r="F73" i="22"/>
  <c r="G73" i="22"/>
  <c r="G74" i="22"/>
  <c r="E75" i="22" l="1"/>
  <c r="D76" i="22"/>
  <c r="F75" i="22"/>
  <c r="G75" i="22"/>
  <c r="E76" i="22" l="1"/>
  <c r="D77" i="22"/>
  <c r="F76" i="22"/>
  <c r="G76" i="22"/>
  <c r="E77" i="22" l="1"/>
  <c r="D78" i="22"/>
  <c r="F77" i="22"/>
  <c r="G77" i="22"/>
  <c r="E78" i="22" l="1"/>
  <c r="D79" i="22"/>
  <c r="F78" i="22"/>
  <c r="G78" i="22"/>
  <c r="E79" i="22" l="1"/>
  <c r="F4" i="23"/>
  <c r="F4" i="24"/>
  <c r="F5" i="26"/>
  <c r="F5" i="25"/>
  <c r="F79" i="22"/>
  <c r="D80" i="22"/>
  <c r="G79" i="22"/>
  <c r="E80" i="22" l="1"/>
  <c r="B4" i="20"/>
  <c r="B5" i="20"/>
  <c r="B6" i="20"/>
  <c r="E2" i="19"/>
  <c r="E5" i="18"/>
  <c r="E5" i="17"/>
  <c r="D2" i="16"/>
  <c r="D3" i="16"/>
  <c r="D4" i="16"/>
  <c r="D5" i="16"/>
  <c r="D6" i="16"/>
  <c r="D7" i="16"/>
  <c r="D8" i="16"/>
  <c r="D9" i="16"/>
  <c r="D10" i="16"/>
  <c r="D11" i="16"/>
  <c r="D12" i="16"/>
  <c r="C13" i="16"/>
  <c r="D13" i="16" s="1"/>
  <c r="C14" i="16"/>
  <c r="D14" i="16" s="1"/>
  <c r="C15" i="16"/>
  <c r="D15" i="16" s="1"/>
  <c r="C16" i="16"/>
  <c r="D16" i="16" s="1"/>
  <c r="C17" i="16"/>
  <c r="D17" i="16" s="1"/>
  <c r="C18" i="16"/>
  <c r="D18" i="16" s="1"/>
  <c r="C19" i="16"/>
  <c r="D19" i="16" s="1"/>
  <c r="C20" i="16"/>
  <c r="D20" i="16" s="1"/>
  <c r="D21" i="16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D11" i="15"/>
  <c r="D7" i="15"/>
  <c r="E5" i="16"/>
  <c r="D6" i="15"/>
  <c r="G4" i="24"/>
  <c r="D3" i="19" a="1"/>
  <c r="E8" i="16"/>
  <c r="E20" i="16"/>
  <c r="D16" i="15"/>
  <c r="F80" i="22"/>
  <c r="E19" i="16"/>
  <c r="E13" i="16"/>
  <c r="D19" i="15"/>
  <c r="E12" i="16"/>
  <c r="G5" i="26"/>
  <c r="G4" i="23"/>
  <c r="D8" i="15"/>
  <c r="E6" i="16"/>
  <c r="D21" i="15"/>
  <c r="E10" i="16"/>
  <c r="AC5" i="26"/>
  <c r="C5" i="20"/>
  <c r="E7" i="16"/>
  <c r="E4" i="16"/>
  <c r="E9" i="16"/>
  <c r="D22" i="15"/>
  <c r="D18" i="15"/>
  <c r="E21" i="16"/>
  <c r="D13" i="15"/>
  <c r="D17" i="15"/>
  <c r="D9" i="15"/>
  <c r="D10" i="15"/>
  <c r="D5" i="15"/>
  <c r="E16" i="16"/>
  <c r="E17" i="16"/>
  <c r="E3" i="16"/>
  <c r="D14" i="15"/>
  <c r="D12" i="15"/>
  <c r="E11" i="16"/>
  <c r="D15" i="15"/>
  <c r="G5" i="25"/>
  <c r="E14" i="16"/>
  <c r="D81" i="22"/>
  <c r="C6" i="20"/>
  <c r="D20" i="15"/>
  <c r="E18" i="16"/>
  <c r="E15" i="16"/>
  <c r="AC5" i="25"/>
  <c r="G80" i="22"/>
  <c r="E81" i="22" l="1"/>
  <c r="AM2" i="18"/>
  <c r="AM3" i="18"/>
  <c r="D4" i="19"/>
  <c r="E4" i="19" s="1"/>
  <c r="D6" i="19"/>
  <c r="E6" i="19" s="1"/>
  <c r="D8" i="19"/>
  <c r="E8" i="19" s="1"/>
  <c r="D10" i="19"/>
  <c r="E10" i="19" s="1"/>
  <c r="D12" i="19"/>
  <c r="E12" i="19" s="1"/>
  <c r="D14" i="19"/>
  <c r="E14" i="19" s="1"/>
  <c r="D16" i="19"/>
  <c r="E16" i="19" s="1"/>
  <c r="D18" i="19"/>
  <c r="E18" i="19" s="1"/>
  <c r="D20" i="19"/>
  <c r="E20" i="19" s="1"/>
  <c r="D22" i="19"/>
  <c r="E22" i="19" s="1"/>
  <c r="D24" i="19"/>
  <c r="E24" i="19" s="1"/>
  <c r="D26" i="19"/>
  <c r="E26" i="19" s="1"/>
  <c r="D28" i="19"/>
  <c r="E28" i="19" s="1"/>
  <c r="D30" i="19"/>
  <c r="E30" i="19" s="1"/>
  <c r="D32" i="19"/>
  <c r="E32" i="19" s="1"/>
  <c r="D34" i="19"/>
  <c r="E34" i="19" s="1"/>
  <c r="D36" i="19"/>
  <c r="E36" i="19" s="1"/>
  <c r="D38" i="19"/>
  <c r="E38" i="19" s="1"/>
  <c r="D40" i="19"/>
  <c r="E40" i="19" s="1"/>
  <c r="D42" i="19"/>
  <c r="E42" i="19" s="1"/>
  <c r="D44" i="19"/>
  <c r="E44" i="19" s="1"/>
  <c r="D46" i="19"/>
  <c r="E46" i="19" s="1"/>
  <c r="D48" i="19"/>
  <c r="E48" i="19" s="1"/>
  <c r="D50" i="19"/>
  <c r="E50" i="19" s="1"/>
  <c r="D52" i="19"/>
  <c r="E52" i="19" s="1"/>
  <c r="D54" i="19"/>
  <c r="E54" i="19" s="1"/>
  <c r="D56" i="19"/>
  <c r="E56" i="19" s="1"/>
  <c r="D58" i="19"/>
  <c r="E58" i="19" s="1"/>
  <c r="D60" i="19"/>
  <c r="E60" i="19" s="1"/>
  <c r="D62" i="19"/>
  <c r="E62" i="19" s="1"/>
  <c r="D64" i="19"/>
  <c r="E64" i="19" s="1"/>
  <c r="D66" i="19"/>
  <c r="E66" i="19" s="1"/>
  <c r="D68" i="19"/>
  <c r="E68" i="19" s="1"/>
  <c r="D70" i="19"/>
  <c r="E70" i="19" s="1"/>
  <c r="D72" i="19"/>
  <c r="E72" i="19" s="1"/>
  <c r="D74" i="19"/>
  <c r="E74" i="19" s="1"/>
  <c r="D76" i="19"/>
  <c r="E76" i="19" s="1"/>
  <c r="D78" i="19"/>
  <c r="E78" i="19" s="1"/>
  <c r="D80" i="19"/>
  <c r="E80" i="19" s="1"/>
  <c r="D82" i="19"/>
  <c r="E82" i="19" s="1"/>
  <c r="D84" i="19"/>
  <c r="E84" i="19" s="1"/>
  <c r="D86" i="19"/>
  <c r="E86" i="19" s="1"/>
  <c r="D88" i="19"/>
  <c r="E88" i="19" s="1"/>
  <c r="D90" i="19"/>
  <c r="E90" i="19" s="1"/>
  <c r="D92" i="19"/>
  <c r="E92" i="19" s="1"/>
  <c r="D94" i="19"/>
  <c r="E94" i="19" s="1"/>
  <c r="D96" i="19"/>
  <c r="E96" i="19" s="1"/>
  <c r="D98" i="19"/>
  <c r="E98" i="19" s="1"/>
  <c r="D100" i="19"/>
  <c r="E100" i="19" s="1"/>
  <c r="D102" i="19"/>
  <c r="E102" i="19" s="1"/>
  <c r="D104" i="19"/>
  <c r="E104" i="19" s="1"/>
  <c r="D106" i="19"/>
  <c r="E106" i="19" s="1"/>
  <c r="D108" i="19"/>
  <c r="E108" i="19" s="1"/>
  <c r="D110" i="19"/>
  <c r="E110" i="19" s="1"/>
  <c r="D112" i="19"/>
  <c r="E112" i="19" s="1"/>
  <c r="D114" i="19"/>
  <c r="E114" i="19" s="1"/>
  <c r="D116" i="19"/>
  <c r="E116" i="19" s="1"/>
  <c r="D118" i="19"/>
  <c r="E118" i="19" s="1"/>
  <c r="D120" i="19"/>
  <c r="E120" i="19" s="1"/>
  <c r="D122" i="19"/>
  <c r="E122" i="19" s="1"/>
  <c r="D67" i="19"/>
  <c r="E67" i="19" s="1"/>
  <c r="D83" i="19"/>
  <c r="E83" i="19" s="1"/>
  <c r="D99" i="19"/>
  <c r="E99" i="19" s="1"/>
  <c r="D115" i="19"/>
  <c r="E115" i="19" s="1"/>
  <c r="D93" i="19"/>
  <c r="E93" i="19" s="1"/>
  <c r="D75" i="19"/>
  <c r="E75" i="19" s="1"/>
  <c r="D91" i="19"/>
  <c r="E91" i="19" s="1"/>
  <c r="D3" i="19"/>
  <c r="E3" i="19" s="1"/>
  <c r="D11" i="19"/>
  <c r="E11" i="19" s="1"/>
  <c r="D19" i="19"/>
  <c r="E19" i="19" s="1"/>
  <c r="D27" i="19"/>
  <c r="E27" i="19" s="1"/>
  <c r="D35" i="19"/>
  <c r="E35" i="19" s="1"/>
  <c r="D43" i="19"/>
  <c r="E43" i="19" s="1"/>
  <c r="D51" i="19"/>
  <c r="E51" i="19" s="1"/>
  <c r="D65" i="19"/>
  <c r="E65" i="19" s="1"/>
  <c r="D81" i="19"/>
  <c r="E81" i="19" s="1"/>
  <c r="D97" i="19"/>
  <c r="E97" i="19" s="1"/>
  <c r="D113" i="19"/>
  <c r="E113" i="19" s="1"/>
  <c r="D33" i="19"/>
  <c r="E33" i="19" s="1"/>
  <c r="D49" i="19"/>
  <c r="E49" i="19" s="1"/>
  <c r="D109" i="19"/>
  <c r="E109" i="19" s="1"/>
  <c r="D59" i="19"/>
  <c r="E59" i="19" s="1"/>
  <c r="D107" i="19"/>
  <c r="E107" i="19" s="1"/>
  <c r="D37" i="19"/>
  <c r="E37" i="19" s="1"/>
  <c r="D101" i="19"/>
  <c r="E101" i="19" s="1"/>
  <c r="D63" i="19"/>
  <c r="E63" i="19" s="1"/>
  <c r="D79" i="19"/>
  <c r="E79" i="19" s="1"/>
  <c r="D95" i="19"/>
  <c r="E95" i="19" s="1"/>
  <c r="D111" i="19"/>
  <c r="E111" i="19" s="1"/>
  <c r="D9" i="19"/>
  <c r="E9" i="19" s="1"/>
  <c r="D17" i="19"/>
  <c r="E17" i="19" s="1"/>
  <c r="D25" i="19"/>
  <c r="E25" i="19" s="1"/>
  <c r="D41" i="19"/>
  <c r="E41" i="19" s="1"/>
  <c r="D61" i="19"/>
  <c r="E61" i="19" s="1"/>
  <c r="D77" i="19"/>
  <c r="E77" i="19" s="1"/>
  <c r="D45" i="19"/>
  <c r="E45" i="19" s="1"/>
  <c r="D7" i="19"/>
  <c r="E7" i="19" s="1"/>
  <c r="D15" i="19"/>
  <c r="E15" i="19" s="1"/>
  <c r="D23" i="19"/>
  <c r="E23" i="19" s="1"/>
  <c r="D31" i="19"/>
  <c r="E31" i="19" s="1"/>
  <c r="D39" i="19"/>
  <c r="E39" i="19" s="1"/>
  <c r="D47" i="19"/>
  <c r="E47" i="19" s="1"/>
  <c r="D57" i="19"/>
  <c r="E57" i="19" s="1"/>
  <c r="D73" i="19"/>
  <c r="E73" i="19" s="1"/>
  <c r="D89" i="19"/>
  <c r="E89" i="19" s="1"/>
  <c r="D105" i="19"/>
  <c r="E105" i="19" s="1"/>
  <c r="D121" i="19"/>
  <c r="E121" i="19" s="1"/>
  <c r="D55" i="19"/>
  <c r="E55" i="19" s="1"/>
  <c r="D71" i="19"/>
  <c r="E71" i="19" s="1"/>
  <c r="D87" i="19"/>
  <c r="E87" i="19" s="1"/>
  <c r="D103" i="19"/>
  <c r="E103" i="19" s="1"/>
  <c r="D119" i="19"/>
  <c r="E119" i="19" s="1"/>
  <c r="D5" i="19"/>
  <c r="E5" i="19" s="1"/>
  <c r="D13" i="19"/>
  <c r="E13" i="19" s="1"/>
  <c r="D21" i="19"/>
  <c r="E21" i="19" s="1"/>
  <c r="D29" i="19"/>
  <c r="E29" i="19" s="1"/>
  <c r="D53" i="19"/>
  <c r="E53" i="19" s="1"/>
  <c r="D69" i="19"/>
  <c r="E69" i="19" s="1"/>
  <c r="D85" i="19"/>
  <c r="E85" i="19" s="1"/>
  <c r="D117" i="19"/>
  <c r="E117" i="19" s="1"/>
  <c r="E6" i="18"/>
  <c r="E8" i="18"/>
  <c r="E10" i="18"/>
  <c r="E12" i="18"/>
  <c r="E14" i="18"/>
  <c r="E16" i="18"/>
  <c r="E18" i="18"/>
  <c r="E20" i="18"/>
  <c r="E22" i="18"/>
  <c r="E24" i="18"/>
  <c r="E26" i="18"/>
  <c r="E28" i="18"/>
  <c r="E30" i="18"/>
  <c r="E32" i="18"/>
  <c r="E34" i="18"/>
  <c r="E36" i="18"/>
  <c r="E38" i="18"/>
  <c r="E40" i="18"/>
  <c r="E42" i="18"/>
  <c r="E44" i="18"/>
  <c r="E46" i="18"/>
  <c r="E17" i="18"/>
  <c r="E7" i="18"/>
  <c r="E15" i="18"/>
  <c r="E23" i="18"/>
  <c r="E31" i="18"/>
  <c r="E39" i="18"/>
  <c r="E47" i="18"/>
  <c r="E9" i="18"/>
  <c r="E33" i="18"/>
  <c r="E41" i="18"/>
  <c r="E25" i="18"/>
  <c r="E11" i="18"/>
  <c r="E19" i="18"/>
  <c r="E27" i="18"/>
  <c r="E35" i="18"/>
  <c r="E43" i="18"/>
  <c r="E13" i="18"/>
  <c r="E21" i="18"/>
  <c r="E29" i="18"/>
  <c r="E37" i="18"/>
  <c r="E45" i="18"/>
  <c r="E7" i="17"/>
  <c r="E9" i="17"/>
  <c r="E11" i="17"/>
  <c r="E13" i="17"/>
  <c r="E15" i="17"/>
  <c r="E17" i="17"/>
  <c r="E12" i="17"/>
  <c r="E6" i="17"/>
  <c r="E14" i="17"/>
  <c r="E10" i="17"/>
  <c r="E8" i="17"/>
  <c r="E16" i="17"/>
  <c r="E2" i="16"/>
  <c r="F5" i="18"/>
  <c r="F2" i="19"/>
  <c r="C4" i="20"/>
  <c r="F5" i="17"/>
  <c r="D4" i="15"/>
  <c r="F74" i="19"/>
  <c r="F8" i="17"/>
  <c r="F11" i="16"/>
  <c r="F19" i="19"/>
  <c r="F59" i="19"/>
  <c r="E6" i="15"/>
  <c r="F116" i="19"/>
  <c r="F113" i="19"/>
  <c r="F97" i="19"/>
  <c r="F35" i="19"/>
  <c r="F9" i="19"/>
  <c r="F16" i="18"/>
  <c r="E18" i="15"/>
  <c r="E12" i="15"/>
  <c r="F32" i="18"/>
  <c r="F6" i="19"/>
  <c r="F8" i="19"/>
  <c r="F63" i="19"/>
  <c r="E10" i="15"/>
  <c r="F96" i="19"/>
  <c r="F90" i="19"/>
  <c r="F34" i="19"/>
  <c r="E5" i="15"/>
  <c r="F26" i="18"/>
  <c r="F78" i="19"/>
  <c r="F83" i="19"/>
  <c r="F14" i="16"/>
  <c r="F7" i="19"/>
  <c r="F33" i="19"/>
  <c r="F13" i="17"/>
  <c r="F31" i="19"/>
  <c r="F89" i="19"/>
  <c r="F26" i="19"/>
  <c r="F45" i="18"/>
  <c r="F61" i="19"/>
  <c r="F14" i="19"/>
  <c r="F21" i="19"/>
  <c r="F27" i="18"/>
  <c r="F10" i="19"/>
  <c r="F36" i="18"/>
  <c r="F122" i="19"/>
  <c r="F25" i="19"/>
  <c r="F18" i="19"/>
  <c r="F35" i="18"/>
  <c r="E17" i="15"/>
  <c r="F40" i="19"/>
  <c r="F67" i="19"/>
  <c r="F68" i="19"/>
  <c r="F84" i="19"/>
  <c r="F41" i="18"/>
  <c r="D6" i="20"/>
  <c r="F114" i="19"/>
  <c r="F81" i="19"/>
  <c r="F16" i="17"/>
  <c r="F91" i="19"/>
  <c r="F56" i="19"/>
  <c r="F4" i="16"/>
  <c r="F16" i="19"/>
  <c r="F39" i="18"/>
  <c r="F52" i="19"/>
  <c r="F12" i="19"/>
  <c r="F30" i="19"/>
  <c r="F58" i="19"/>
  <c r="F109" i="19"/>
  <c r="F39" i="19"/>
  <c r="F40" i="18"/>
  <c r="F88" i="19"/>
  <c r="E19" i="15"/>
  <c r="F86" i="19"/>
  <c r="F43" i="19"/>
  <c r="F43" i="18"/>
  <c r="F12" i="16"/>
  <c r="F111" i="19"/>
  <c r="F100" i="19"/>
  <c r="F73" i="19"/>
  <c r="F94" i="19"/>
  <c r="F66" i="19"/>
  <c r="F33" i="18"/>
  <c r="F12" i="17"/>
  <c r="F23" i="19"/>
  <c r="F81" i="22"/>
  <c r="F17" i="17"/>
  <c r="F55" i="19"/>
  <c r="F20" i="16"/>
  <c r="F7" i="17"/>
  <c r="F4" i="19"/>
  <c r="F9" i="18"/>
  <c r="F11" i="18"/>
  <c r="D82" i="22"/>
  <c r="F16" i="16"/>
  <c r="F119" i="19"/>
  <c r="F42" i="18"/>
  <c r="F110" i="19"/>
  <c r="F15" i="19"/>
  <c r="F9" i="17"/>
  <c r="F10" i="18"/>
  <c r="F27" i="19"/>
  <c r="E7" i="15"/>
  <c r="F49" i="19"/>
  <c r="F7" i="18"/>
  <c r="F15" i="17"/>
  <c r="F54" i="19"/>
  <c r="F8" i="18"/>
  <c r="F6" i="17"/>
  <c r="F9" i="16"/>
  <c r="F15" i="16"/>
  <c r="F47" i="18"/>
  <c r="F70" i="19"/>
  <c r="F45" i="19"/>
  <c r="F106" i="19"/>
  <c r="F50" i="19"/>
  <c r="F108" i="19"/>
  <c r="F41" i="19"/>
  <c r="F71" i="19"/>
  <c r="F8" i="16"/>
  <c r="F18" i="16"/>
  <c r="F37" i="19"/>
  <c r="F101" i="19"/>
  <c r="F87" i="19"/>
  <c r="F15" i="18"/>
  <c r="F34" i="18"/>
  <c r="F37" i="18"/>
  <c r="F18" i="18"/>
  <c r="E21" i="15"/>
  <c r="F6" i="16"/>
  <c r="E16" i="15"/>
  <c r="F69" i="19"/>
  <c r="F98" i="19"/>
  <c r="F75" i="19"/>
  <c r="F28" i="19"/>
  <c r="F12" i="18"/>
  <c r="F118" i="19"/>
  <c r="F11" i="19"/>
  <c r="F82" i="19"/>
  <c r="F25" i="18"/>
  <c r="F60" i="19"/>
  <c r="F85" i="19"/>
  <c r="F20" i="19"/>
  <c r="E20" i="15"/>
  <c r="F17" i="18"/>
  <c r="F17" i="19"/>
  <c r="F77" i="19"/>
  <c r="F29" i="19"/>
  <c r="F117" i="19"/>
  <c r="F104" i="19"/>
  <c r="F17" i="16"/>
  <c r="F57" i="19"/>
  <c r="F10" i="16"/>
  <c r="F42" i="19"/>
  <c r="F19" i="18"/>
  <c r="F30" i="18"/>
  <c r="F120" i="19"/>
  <c r="F23" i="18"/>
  <c r="F44" i="19"/>
  <c r="F21" i="16"/>
  <c r="F38" i="19"/>
  <c r="F7" i="16"/>
  <c r="F93" i="19"/>
  <c r="F22" i="19"/>
  <c r="F99" i="19"/>
  <c r="F13" i="16"/>
  <c r="F3" i="19"/>
  <c r="F115" i="19"/>
  <c r="F44" i="18"/>
  <c r="E22" i="15"/>
  <c r="F103" i="19"/>
  <c r="F92" i="19"/>
  <c r="F80" i="19"/>
  <c r="F38" i="18"/>
  <c r="D5" i="20"/>
  <c r="F20" i="18"/>
  <c r="F13" i="18"/>
  <c r="F29" i="18"/>
  <c r="F62" i="19"/>
  <c r="F65" i="19"/>
  <c r="F102" i="19"/>
  <c r="F72" i="19"/>
  <c r="F95" i="19"/>
  <c r="F64" i="19"/>
  <c r="F47" i="19"/>
  <c r="F3" i="16"/>
  <c r="F46" i="18"/>
  <c r="F10" i="17"/>
  <c r="F14" i="18"/>
  <c r="F105" i="19"/>
  <c r="F24" i="19"/>
  <c r="F76" i="19"/>
  <c r="F24" i="18"/>
  <c r="F79" i="19"/>
  <c r="F48" i="19"/>
  <c r="F53" i="19"/>
  <c r="F19" i="16"/>
  <c r="F107" i="19"/>
  <c r="E9" i="15"/>
  <c r="F28" i="18"/>
  <c r="E15" i="15"/>
  <c r="F14" i="17"/>
  <c r="F31" i="18"/>
  <c r="F121" i="19"/>
  <c r="F32" i="19"/>
  <c r="E13" i="15"/>
  <c r="F11" i="17"/>
  <c r="F5" i="16"/>
  <c r="F21" i="18"/>
  <c r="F112" i="19"/>
  <c r="F13" i="19"/>
  <c r="F46" i="19"/>
  <c r="F36" i="19"/>
  <c r="F5" i="19"/>
  <c r="F22" i="18"/>
  <c r="E14" i="15"/>
  <c r="F6" i="18"/>
  <c r="F51" i="19"/>
  <c r="E11" i="15"/>
  <c r="E8" i="15"/>
  <c r="X11" i="16"/>
  <c r="X21" i="16"/>
  <c r="Z8" i="17"/>
  <c r="P12" i="15"/>
  <c r="P16" i="15"/>
  <c r="X14" i="16"/>
  <c r="X7" i="16"/>
  <c r="X9" i="16"/>
  <c r="P17" i="15"/>
  <c r="P15" i="15"/>
  <c r="X8" i="16"/>
  <c r="P6" i="15"/>
  <c r="P18" i="15"/>
  <c r="X20" i="16"/>
  <c r="P22" i="15"/>
  <c r="Z15" i="17"/>
  <c r="Q6" i="20"/>
  <c r="Z14" i="17"/>
  <c r="P13" i="15"/>
  <c r="X15" i="16"/>
  <c r="P9" i="15"/>
  <c r="Z13" i="17"/>
  <c r="Z17" i="17"/>
  <c r="P20" i="15"/>
  <c r="Z9" i="17"/>
  <c r="X18" i="16"/>
  <c r="X10" i="16"/>
  <c r="P21" i="15"/>
  <c r="P14" i="15"/>
  <c r="X16" i="16"/>
  <c r="X17" i="16"/>
  <c r="X13" i="16"/>
  <c r="Z16" i="17"/>
  <c r="P7" i="15"/>
  <c r="P8" i="15"/>
  <c r="Q5" i="20"/>
  <c r="Z11" i="17"/>
  <c r="Z6" i="17"/>
  <c r="P10" i="15"/>
  <c r="P11" i="15"/>
  <c r="P5" i="15"/>
  <c r="Z12" i="17"/>
  <c r="Z10" i="17"/>
  <c r="Z7" i="17"/>
  <c r="X19" i="16"/>
  <c r="X12" i="16"/>
  <c r="P19" i="15"/>
  <c r="G81" i="22"/>
  <c r="E82" i="22" l="1"/>
  <c r="C5" i="13"/>
  <c r="D5" i="13"/>
  <c r="D6" i="13" s="1"/>
  <c r="D7" i="13" s="1"/>
  <c r="D8" i="13" s="1"/>
  <c r="D9" i="13" s="1"/>
  <c r="D10" i="13" s="1"/>
  <c r="D11" i="13" s="1"/>
  <c r="D12" i="13" s="1"/>
  <c r="D13" i="13" s="1"/>
  <c r="D14" i="13" s="1"/>
  <c r="D15" i="13" s="1"/>
  <c r="D16" i="13" s="1"/>
  <c r="D17" i="13" s="1"/>
  <c r="D18" i="13" s="1"/>
  <c r="D19" i="13" s="1"/>
  <c r="D20" i="13" s="1"/>
  <c r="D21" i="13" s="1"/>
  <c r="D22" i="13" s="1"/>
  <c r="D23" i="13" s="1"/>
  <c r="D24" i="13" s="1"/>
  <c r="D25" i="13" s="1"/>
  <c r="D26" i="13" s="1"/>
  <c r="D27" i="13" s="1"/>
  <c r="D28" i="13" s="1"/>
  <c r="D29" i="13" s="1"/>
  <c r="D30" i="13" s="1"/>
  <c r="D31" i="13" s="1"/>
  <c r="D32" i="13" s="1"/>
  <c r="D33" i="13" s="1"/>
  <c r="D34" i="13" s="1"/>
  <c r="D35" i="13" s="1"/>
  <c r="D36" i="13" s="1"/>
  <c r="D37" i="13" s="1"/>
  <c r="D38" i="13" s="1"/>
  <c r="D39" i="13" s="1"/>
  <c r="D40" i="13" s="1"/>
  <c r="D41" i="13" s="1"/>
  <c r="D42" i="13" s="1"/>
  <c r="C5" i="12"/>
  <c r="D5" i="12"/>
  <c r="D6" i="12" s="1"/>
  <c r="D7" i="12" s="1"/>
  <c r="D8" i="12" s="1"/>
  <c r="D9" i="12" s="1"/>
  <c r="D10" i="12" s="1"/>
  <c r="D11" i="12" s="1"/>
  <c r="D12" i="12" s="1"/>
  <c r="D13" i="12" s="1"/>
  <c r="D14" i="12" s="1"/>
  <c r="D15" i="12" s="1"/>
  <c r="D16" i="12" s="1"/>
  <c r="D17" i="12" s="1"/>
  <c r="D18" i="12" s="1"/>
  <c r="D19" i="12" s="1"/>
  <c r="D20" i="12" s="1"/>
  <c r="D21" i="12" s="1"/>
  <c r="D22" i="12" s="1"/>
  <c r="D23" i="12" s="1"/>
  <c r="D24" i="12" s="1"/>
  <c r="D25" i="12" s="1"/>
  <c r="D26" i="12" s="1"/>
  <c r="D27" i="12" s="1"/>
  <c r="D28" i="12" s="1"/>
  <c r="D29" i="12" s="1"/>
  <c r="D30" i="12" s="1"/>
  <c r="D31" i="12" s="1"/>
  <c r="D32" i="12" s="1"/>
  <c r="D33" i="12" s="1"/>
  <c r="D34" i="12" s="1"/>
  <c r="D35" i="12" s="1"/>
  <c r="D36" i="12" s="1"/>
  <c r="D37" i="12" s="1"/>
  <c r="D38" i="12" s="1"/>
  <c r="D39" i="12" s="1"/>
  <c r="D40" i="12" s="1"/>
  <c r="D41" i="12" s="1"/>
  <c r="D42" i="12" s="1"/>
  <c r="C5" i="11"/>
  <c r="D5" i="11"/>
  <c r="D6" i="11" s="1"/>
  <c r="D7" i="11" s="1"/>
  <c r="D8" i="11" s="1"/>
  <c r="D9" i="11" s="1"/>
  <c r="D10" i="11" s="1"/>
  <c r="D11" i="11" s="1"/>
  <c r="D12" i="11" s="1"/>
  <c r="D13" i="11" s="1"/>
  <c r="D14" i="11" s="1"/>
  <c r="D15" i="11" s="1"/>
  <c r="D16" i="11" s="1"/>
  <c r="D17" i="11" s="1"/>
  <c r="D18" i="11" s="1"/>
  <c r="D19" i="11" s="1"/>
  <c r="D20" i="11" s="1"/>
  <c r="D21" i="11" s="1"/>
  <c r="D22" i="11" s="1"/>
  <c r="D23" i="11" s="1"/>
  <c r="D24" i="11" s="1"/>
  <c r="D25" i="11" s="1"/>
  <c r="D26" i="11" s="1"/>
  <c r="D27" i="11" s="1"/>
  <c r="D28" i="11" s="1"/>
  <c r="D29" i="11" s="1"/>
  <c r="D30" i="11" s="1"/>
  <c r="D31" i="11" s="1"/>
  <c r="D32" i="11" s="1"/>
  <c r="D33" i="11" s="1"/>
  <c r="D34" i="11" s="1"/>
  <c r="D35" i="11" s="1"/>
  <c r="D36" i="11" s="1"/>
  <c r="D37" i="11" s="1"/>
  <c r="D38" i="11" s="1"/>
  <c r="D39" i="11" s="1"/>
  <c r="D40" i="11" s="1"/>
  <c r="D41" i="11" s="1"/>
  <c r="D42" i="11" s="1"/>
  <c r="G9" i="18"/>
  <c r="G30" i="18"/>
  <c r="G27" i="19"/>
  <c r="G46" i="19"/>
  <c r="G50" i="19"/>
  <c r="G121" i="19"/>
  <c r="G18" i="19"/>
  <c r="G71" i="19"/>
  <c r="G7" i="18"/>
  <c r="G72" i="19"/>
  <c r="G36" i="18"/>
  <c r="G26" i="18"/>
  <c r="G106" i="19"/>
  <c r="G25" i="19"/>
  <c r="G88" i="19"/>
  <c r="G56" i="19"/>
  <c r="G83" i="19"/>
  <c r="G11" i="17"/>
  <c r="G92" i="19"/>
  <c r="G27" i="18"/>
  <c r="G37" i="19"/>
  <c r="G108" i="19"/>
  <c r="G12" i="18"/>
  <c r="G94" i="19"/>
  <c r="G17" i="17"/>
  <c r="G7" i="19"/>
  <c r="G3" i="19"/>
  <c r="G20" i="18"/>
  <c r="G2" i="19"/>
  <c r="G120" i="19"/>
  <c r="G42" i="18"/>
  <c r="G5" i="19"/>
  <c r="G10" i="18"/>
  <c r="G104" i="19"/>
  <c r="G110" i="19"/>
  <c r="G73" i="19"/>
  <c r="G41" i="19"/>
  <c r="F82" i="22"/>
  <c r="G40" i="18"/>
  <c r="G69" i="19"/>
  <c r="G111" i="19"/>
  <c r="G67" i="19"/>
  <c r="G66" i="19"/>
  <c r="G44" i="18"/>
  <c r="G78" i="19"/>
  <c r="G13" i="18"/>
  <c r="G8" i="19"/>
  <c r="G101" i="19"/>
  <c r="G58" i="19"/>
  <c r="G45" i="19"/>
  <c r="G33" i="18"/>
  <c r="G52" i="19"/>
  <c r="G122" i="19"/>
  <c r="G115" i="19"/>
  <c r="G51" i="19"/>
  <c r="G15" i="18"/>
  <c r="G77" i="19"/>
  <c r="G74" i="19"/>
  <c r="G116" i="19"/>
  <c r="G54" i="19"/>
  <c r="G70" i="19"/>
  <c r="G12" i="17"/>
  <c r="G57" i="19"/>
  <c r="G114" i="19"/>
  <c r="G46" i="18"/>
  <c r="G28" i="19"/>
  <c r="G98" i="19"/>
  <c r="G8" i="17"/>
  <c r="G34" i="18"/>
  <c r="G68" i="19"/>
  <c r="G107" i="19"/>
  <c r="G55" i="19"/>
  <c r="E4" i="15"/>
  <c r="G11" i="19"/>
  <c r="G17" i="18"/>
  <c r="G87" i="19"/>
  <c r="G35" i="18"/>
  <c r="G40" i="19"/>
  <c r="G35" i="19"/>
  <c r="G112" i="19"/>
  <c r="G23" i="18"/>
  <c r="G9" i="19"/>
  <c r="G25" i="18"/>
  <c r="G39" i="18"/>
  <c r="G59" i="19"/>
  <c r="G16" i="18"/>
  <c r="G12" i="19"/>
  <c r="G82" i="19"/>
  <c r="G91" i="19"/>
  <c r="G90" i="19"/>
  <c r="G30" i="19"/>
  <c r="G31" i="19"/>
  <c r="G93" i="19"/>
  <c r="G119" i="19"/>
  <c r="G34" i="19"/>
  <c r="G14" i="19"/>
  <c r="G80" i="19"/>
  <c r="G6" i="18"/>
  <c r="G62" i="19"/>
  <c r="G8" i="18"/>
  <c r="G14" i="18"/>
  <c r="G75" i="19"/>
  <c r="G18" i="18"/>
  <c r="G21" i="18"/>
  <c r="G24" i="18"/>
  <c r="G20" i="19"/>
  <c r="G22" i="19"/>
  <c r="G10" i="19"/>
  <c r="G97" i="19"/>
  <c r="G53" i="19"/>
  <c r="G117" i="19"/>
  <c r="G33" i="19"/>
  <c r="G4" i="19"/>
  <c r="G95" i="19"/>
  <c r="G109" i="19"/>
  <c r="G15" i="19"/>
  <c r="G64" i="19"/>
  <c r="G26" i="19"/>
  <c r="G16" i="19"/>
  <c r="G5" i="18"/>
  <c r="G47" i="18"/>
  <c r="G31" i="18"/>
  <c r="G79" i="19"/>
  <c r="G63" i="19"/>
  <c r="G15" i="17"/>
  <c r="G43" i="19"/>
  <c r="G19" i="19"/>
  <c r="G99" i="19"/>
  <c r="G21" i="19"/>
  <c r="G7" i="17"/>
  <c r="G44" i="19"/>
  <c r="G89" i="19"/>
  <c r="G105" i="19"/>
  <c r="G36" i="19"/>
  <c r="G23" i="19"/>
  <c r="G13" i="17"/>
  <c r="F2" i="16"/>
  <c r="G37" i="18"/>
  <c r="G6" i="19"/>
  <c r="G14" i="17"/>
  <c r="G5" i="17"/>
  <c r="G96" i="19"/>
  <c r="G60" i="19"/>
  <c r="G19" i="18"/>
  <c r="G28" i="18"/>
  <c r="G118" i="19"/>
  <c r="G65" i="19"/>
  <c r="G76" i="19"/>
  <c r="G49" i="19"/>
  <c r="G16" i="17"/>
  <c r="G102" i="19"/>
  <c r="D83" i="22"/>
  <c r="G22" i="18"/>
  <c r="G6" i="17"/>
  <c r="G61" i="19"/>
  <c r="D4" i="20"/>
  <c r="G24" i="19"/>
  <c r="G42" i="19"/>
  <c r="G47" i="19"/>
  <c r="G29" i="19"/>
  <c r="G41" i="18"/>
  <c r="G81" i="19"/>
  <c r="G48" i="19"/>
  <c r="G17" i="19"/>
  <c r="G13" i="19"/>
  <c r="G43" i="18"/>
  <c r="G29" i="18"/>
  <c r="G38" i="19"/>
  <c r="G32" i="18"/>
  <c r="G32" i="19"/>
  <c r="G113" i="19"/>
  <c r="G11" i="18"/>
  <c r="G10" i="17"/>
  <c r="G85" i="19"/>
  <c r="G100" i="19"/>
  <c r="G86" i="19"/>
  <c r="G38" i="18"/>
  <c r="G39" i="19"/>
  <c r="G9" i="17"/>
  <c r="G84" i="19"/>
  <c r="G45" i="18"/>
  <c r="G103" i="19"/>
  <c r="Z15" i="18"/>
  <c r="Q3" i="20"/>
  <c r="Z46" i="18"/>
  <c r="Z43" i="18"/>
  <c r="Z8" i="18"/>
  <c r="Z31" i="18"/>
  <c r="Z11" i="18"/>
  <c r="Z24" i="18"/>
  <c r="Z40" i="18"/>
  <c r="Z21" i="18"/>
  <c r="Z35" i="18"/>
  <c r="Z13" i="18"/>
  <c r="Z20" i="18"/>
  <c r="Z27" i="18"/>
  <c r="Z9" i="18"/>
  <c r="Z32" i="18"/>
  <c r="Z28" i="18"/>
  <c r="Z7" i="18"/>
  <c r="Z36" i="18"/>
  <c r="Z45" i="18"/>
  <c r="Z42" i="18"/>
  <c r="Z16" i="18"/>
  <c r="Z47" i="18"/>
  <c r="Z6" i="18"/>
  <c r="Z34" i="18"/>
  <c r="Z10" i="18"/>
  <c r="Z30" i="18"/>
  <c r="Z26" i="18"/>
  <c r="Z41" i="18"/>
  <c r="Z25" i="18"/>
  <c r="Z23" i="18"/>
  <c r="Z18" i="18"/>
  <c r="Z38" i="18"/>
  <c r="Z22" i="18"/>
  <c r="Z29" i="18"/>
  <c r="Z14" i="18"/>
  <c r="Z17" i="18"/>
  <c r="Z33" i="18"/>
  <c r="Z12" i="18"/>
  <c r="Z19" i="18"/>
  <c r="Z39" i="18"/>
  <c r="Z37" i="18"/>
  <c r="Z44" i="18"/>
  <c r="G82" i="22"/>
  <c r="E83" i="22" l="1"/>
  <c r="E5" i="13"/>
  <c r="E5" i="11"/>
  <c r="E5" i="12"/>
  <c r="C6" i="13"/>
  <c r="C6" i="12"/>
  <c r="C6" i="11"/>
  <c r="F5" i="13"/>
  <c r="D84" i="22"/>
  <c r="F5" i="12"/>
  <c r="F5" i="11"/>
  <c r="F83" i="22"/>
  <c r="G83" i="22"/>
  <c r="E84" i="22" l="1"/>
  <c r="C7" i="13"/>
  <c r="E6" i="13"/>
  <c r="E4" i="12"/>
  <c r="C7" i="12"/>
  <c r="E6" i="12"/>
  <c r="E4" i="11"/>
  <c r="C7" i="11"/>
  <c r="E6" i="11"/>
  <c r="F84" i="22"/>
  <c r="G5" i="13"/>
  <c r="G5" i="12"/>
  <c r="F6" i="11"/>
  <c r="G5" i="11"/>
  <c r="D85" i="22"/>
  <c r="F6" i="12"/>
  <c r="F6" i="13"/>
  <c r="G84" i="22"/>
  <c r="E85" i="22" l="1"/>
  <c r="C8" i="13"/>
  <c r="E7" i="13"/>
  <c r="E7" i="12"/>
  <c r="C8" i="12"/>
  <c r="E7" i="11"/>
  <c r="C8" i="11"/>
  <c r="D86" i="22"/>
  <c r="F7" i="11"/>
  <c r="G6" i="13"/>
  <c r="G6" i="12"/>
  <c r="D87" i="22"/>
  <c r="G6" i="11"/>
  <c r="F7" i="13"/>
  <c r="F85" i="22"/>
  <c r="F7" i="12"/>
  <c r="G85" i="22"/>
  <c r="E86" i="22" l="1"/>
  <c r="E87" i="22"/>
  <c r="E8" i="13"/>
  <c r="C9" i="13"/>
  <c r="C9" i="12"/>
  <c r="E8" i="12"/>
  <c r="E8" i="11"/>
  <c r="C9" i="11"/>
  <c r="F86" i="22"/>
  <c r="G86" i="22" s="1"/>
  <c r="F8" i="11"/>
  <c r="G7" i="13"/>
  <c r="F8" i="12"/>
  <c r="F8" i="13"/>
  <c r="G7" i="11"/>
  <c r="D88" i="22"/>
  <c r="F87" i="22"/>
  <c r="G7" i="12"/>
  <c r="G87" i="22"/>
  <c r="E88" i="22" l="1"/>
  <c r="E4" i="13"/>
  <c r="C10" i="13"/>
  <c r="E9" i="13"/>
  <c r="E9" i="12"/>
  <c r="C10" i="12"/>
  <c r="C10" i="11"/>
  <c r="E9" i="11"/>
  <c r="F9" i="11"/>
  <c r="F9" i="13"/>
  <c r="G8" i="12"/>
  <c r="D89" i="22"/>
  <c r="F9" i="12"/>
  <c r="G8" i="13"/>
  <c r="G8" i="11"/>
  <c r="F88" i="22"/>
  <c r="G88" i="22"/>
  <c r="E89" i="22" l="1"/>
  <c r="E10" i="13"/>
  <c r="C11" i="13"/>
  <c r="E10" i="12"/>
  <c r="C11" i="12"/>
  <c r="E10" i="11"/>
  <c r="C11" i="11"/>
  <c r="F10" i="11"/>
  <c r="G9" i="13"/>
  <c r="G9" i="12"/>
  <c r="F89" i="22"/>
  <c r="D90" i="22"/>
  <c r="G9" i="11"/>
  <c r="F10" i="12"/>
  <c r="F10" i="13"/>
  <c r="G89" i="22"/>
  <c r="E90" i="22" l="1"/>
  <c r="E11" i="13"/>
  <c r="C12" i="13"/>
  <c r="E11" i="12"/>
  <c r="C12" i="12"/>
  <c r="C12" i="11"/>
  <c r="E11" i="11"/>
  <c r="F11" i="11"/>
  <c r="F11" i="13"/>
  <c r="G10" i="12"/>
  <c r="G10" i="13"/>
  <c r="D91" i="22"/>
  <c r="F11" i="12"/>
  <c r="G10" i="11"/>
  <c r="F90" i="22"/>
  <c r="G90" i="22"/>
  <c r="E91" i="22" l="1"/>
  <c r="E12" i="13"/>
  <c r="C13" i="13"/>
  <c r="E12" i="12"/>
  <c r="C13" i="12"/>
  <c r="E12" i="11"/>
  <c r="C13" i="11"/>
  <c r="F12" i="13"/>
  <c r="F91" i="22"/>
  <c r="F12" i="11"/>
  <c r="G11" i="12"/>
  <c r="G11" i="11"/>
  <c r="G11" i="13"/>
  <c r="D92" i="22"/>
  <c r="F12" i="12"/>
  <c r="D93" i="22"/>
  <c r="G91" i="22"/>
  <c r="E92" i="22" l="1"/>
  <c r="E93" i="22"/>
  <c r="E13" i="13"/>
  <c r="C14" i="13"/>
  <c r="E13" i="12"/>
  <c r="C14" i="12"/>
  <c r="E13" i="11"/>
  <c r="C14" i="11"/>
  <c r="F4" i="22"/>
  <c r="F13" i="13"/>
  <c r="G12" i="12"/>
  <c r="D94" i="22"/>
  <c r="F13" i="12"/>
  <c r="F93" i="22"/>
  <c r="D95" i="22"/>
  <c r="G12" i="13"/>
  <c r="F13" i="11"/>
  <c r="G12" i="11"/>
  <c r="F92" i="22"/>
  <c r="G92" i="22"/>
  <c r="G93" i="22"/>
  <c r="E94" i="22" l="1"/>
  <c r="E95" i="22"/>
  <c r="C15" i="13"/>
  <c r="E14" i="13"/>
  <c r="C15" i="12"/>
  <c r="E14" i="12"/>
  <c r="C15" i="11"/>
  <c r="E14" i="11"/>
  <c r="F14" i="12"/>
  <c r="F94" i="22"/>
  <c r="F14" i="13"/>
  <c r="G13" i="11"/>
  <c r="G4" i="22"/>
  <c r="G13" i="12"/>
  <c r="F14" i="11"/>
  <c r="G13" i="13"/>
  <c r="F95" i="22"/>
  <c r="G95" i="22"/>
  <c r="G94" i="22"/>
  <c r="C16" i="13" l="1"/>
  <c r="E15" i="13"/>
  <c r="E15" i="12"/>
  <c r="C16" i="12"/>
  <c r="E15" i="11"/>
  <c r="C16" i="11"/>
  <c r="G14" i="12"/>
  <c r="F15" i="12"/>
  <c r="G14" i="13"/>
  <c r="F15" i="13"/>
  <c r="F15" i="11"/>
  <c r="G14" i="11"/>
  <c r="E16" i="13" l="1"/>
  <c r="C17" i="13"/>
  <c r="C17" i="12"/>
  <c r="E16" i="12"/>
  <c r="E16" i="11"/>
  <c r="C17" i="11"/>
  <c r="G15" i="12"/>
  <c r="G15" i="11"/>
  <c r="F16" i="12"/>
  <c r="F16" i="11"/>
  <c r="G15" i="13"/>
  <c r="F16" i="13"/>
  <c r="E17" i="13" l="1"/>
  <c r="C18" i="13"/>
  <c r="C18" i="12"/>
  <c r="E17" i="12"/>
  <c r="C18" i="11"/>
  <c r="E17" i="11"/>
  <c r="G16" i="13"/>
  <c r="G16" i="12"/>
  <c r="F17" i="11"/>
  <c r="F17" i="12"/>
  <c r="G16" i="11"/>
  <c r="F17" i="13"/>
  <c r="C19" i="13" l="1"/>
  <c r="E18" i="13"/>
  <c r="E18" i="12"/>
  <c r="C19" i="12"/>
  <c r="E18" i="11"/>
  <c r="C19" i="11"/>
  <c r="F18" i="12"/>
  <c r="G17" i="12"/>
  <c r="G17" i="11"/>
  <c r="G17" i="13"/>
  <c r="F18" i="11"/>
  <c r="F18" i="13"/>
  <c r="E19" i="13" l="1"/>
  <c r="C20" i="13"/>
  <c r="C20" i="12"/>
  <c r="E19" i="12"/>
  <c r="C20" i="11"/>
  <c r="E19" i="11"/>
  <c r="G18" i="13"/>
  <c r="F19" i="11"/>
  <c r="G18" i="12"/>
  <c r="G18" i="11"/>
  <c r="F19" i="13"/>
  <c r="F19" i="12"/>
  <c r="E20" i="13" l="1"/>
  <c r="C21" i="13"/>
  <c r="C21" i="12"/>
  <c r="E20" i="12"/>
  <c r="E20" i="11"/>
  <c r="C21" i="11"/>
  <c r="G19" i="11"/>
  <c r="F20" i="11"/>
  <c r="G19" i="13"/>
  <c r="F20" i="12"/>
  <c r="G19" i="12"/>
  <c r="F20" i="13"/>
  <c r="E21" i="13" l="1"/>
  <c r="C22" i="13"/>
  <c r="E21" i="12"/>
  <c r="C22" i="12"/>
  <c r="E21" i="11"/>
  <c r="C22" i="11"/>
  <c r="F21" i="11"/>
  <c r="G20" i="13"/>
  <c r="G20" i="11"/>
  <c r="G20" i="12"/>
  <c r="F21" i="13"/>
  <c r="F21" i="12"/>
  <c r="C23" i="13" l="1"/>
  <c r="E22" i="13"/>
  <c r="C23" i="12"/>
  <c r="E22" i="12"/>
  <c r="C23" i="11"/>
  <c r="E22" i="11"/>
  <c r="G21" i="13"/>
  <c r="F22" i="13"/>
  <c r="G21" i="12"/>
  <c r="G21" i="11"/>
  <c r="F22" i="12"/>
  <c r="F22" i="11"/>
  <c r="C24" i="13" l="1"/>
  <c r="E23" i="13"/>
  <c r="E23" i="12"/>
  <c r="C24" i="12"/>
  <c r="E23" i="11"/>
  <c r="C24" i="11"/>
  <c r="F23" i="13"/>
  <c r="F23" i="12"/>
  <c r="G22" i="11"/>
  <c r="G22" i="12"/>
  <c r="G22" i="13"/>
  <c r="F23" i="11"/>
  <c r="E24" i="13" l="1"/>
  <c r="C25" i="13"/>
  <c r="E24" i="12"/>
  <c r="C25" i="12"/>
  <c r="E24" i="11"/>
  <c r="C25" i="11"/>
  <c r="G23" i="11"/>
  <c r="F24" i="12"/>
  <c r="G23" i="13"/>
  <c r="F24" i="11"/>
  <c r="G23" i="12"/>
  <c r="F24" i="13"/>
  <c r="E25" i="13" l="1"/>
  <c r="C26" i="13"/>
  <c r="C26" i="12"/>
  <c r="E25" i="12"/>
  <c r="C26" i="11"/>
  <c r="E25" i="11"/>
  <c r="F25" i="11"/>
  <c r="G24" i="13"/>
  <c r="F25" i="12"/>
  <c r="G24" i="12"/>
  <c r="F25" i="13"/>
  <c r="G24" i="11"/>
  <c r="C27" i="13" l="1"/>
  <c r="E26" i="13"/>
  <c r="E26" i="12"/>
  <c r="C27" i="12"/>
  <c r="E26" i="11"/>
  <c r="C27" i="11"/>
  <c r="G25" i="12"/>
  <c r="G25" i="11"/>
  <c r="F26" i="13"/>
  <c r="F26" i="11"/>
  <c r="G25" i="13"/>
  <c r="F26" i="12"/>
  <c r="E27" i="13" l="1"/>
  <c r="C28" i="13"/>
  <c r="C28" i="12"/>
  <c r="E27" i="12"/>
  <c r="C28" i="11"/>
  <c r="E27" i="11"/>
  <c r="F27" i="12"/>
  <c r="G26" i="12"/>
  <c r="G26" i="13"/>
  <c r="G26" i="11"/>
  <c r="F27" i="11"/>
  <c r="F27" i="13"/>
  <c r="C29" i="13" l="1"/>
  <c r="E28" i="13"/>
  <c r="E28" i="12"/>
  <c r="C29" i="12"/>
  <c r="C29" i="11"/>
  <c r="E28" i="11"/>
  <c r="F28" i="11"/>
  <c r="F28" i="13"/>
  <c r="G27" i="11"/>
  <c r="G27" i="12"/>
  <c r="G27" i="13"/>
  <c r="F28" i="12"/>
  <c r="E29" i="13" l="1"/>
  <c r="C30" i="13"/>
  <c r="E29" i="12"/>
  <c r="C30" i="12"/>
  <c r="E29" i="11"/>
  <c r="C30" i="11"/>
  <c r="F29" i="13"/>
  <c r="G28" i="11"/>
  <c r="G28" i="13"/>
  <c r="G28" i="12"/>
  <c r="F29" i="12"/>
  <c r="F29" i="11"/>
  <c r="C31" i="13" l="1"/>
  <c r="E30" i="13"/>
  <c r="C31" i="12"/>
  <c r="E30" i="12"/>
  <c r="C31" i="11"/>
  <c r="E30" i="11"/>
  <c r="F30" i="12"/>
  <c r="F30" i="13"/>
  <c r="G29" i="12"/>
  <c r="G29" i="13"/>
  <c r="G29" i="11"/>
  <c r="F30" i="11"/>
  <c r="C32" i="13" l="1"/>
  <c r="E31" i="13"/>
  <c r="E31" i="12"/>
  <c r="C32" i="12"/>
  <c r="E31" i="11"/>
  <c r="C32" i="11"/>
  <c r="F31" i="13"/>
  <c r="G30" i="11"/>
  <c r="F31" i="12"/>
  <c r="G30" i="12"/>
  <c r="G30" i="13"/>
  <c r="F31" i="11"/>
  <c r="E32" i="13" l="1"/>
  <c r="C33" i="13"/>
  <c r="E32" i="12"/>
  <c r="C33" i="12"/>
  <c r="E32" i="11"/>
  <c r="C33" i="11"/>
  <c r="G31" i="11"/>
  <c r="F32" i="12"/>
  <c r="G31" i="12"/>
  <c r="F32" i="11"/>
  <c r="F32" i="13"/>
  <c r="G31" i="13"/>
  <c r="E33" i="13" l="1"/>
  <c r="C34" i="13"/>
  <c r="C34" i="12"/>
  <c r="E33" i="12"/>
  <c r="C34" i="11"/>
  <c r="E33" i="11"/>
  <c r="F33" i="13"/>
  <c r="F33" i="11"/>
  <c r="G32" i="11"/>
  <c r="G32" i="12"/>
  <c r="F33" i="12"/>
  <c r="G32" i="13"/>
  <c r="C35" i="13" l="1"/>
  <c r="E34" i="13"/>
  <c r="E34" i="12"/>
  <c r="C35" i="12"/>
  <c r="E34" i="11"/>
  <c r="C35" i="11"/>
  <c r="G33" i="12"/>
  <c r="F34" i="11"/>
  <c r="F34" i="12"/>
  <c r="G33" i="11"/>
  <c r="F34" i="13"/>
  <c r="G33" i="13"/>
  <c r="E35" i="13" l="1"/>
  <c r="C36" i="13"/>
  <c r="C36" i="12"/>
  <c r="E35" i="12"/>
  <c r="C36" i="11"/>
  <c r="E35" i="11"/>
  <c r="G34" i="12"/>
  <c r="F35" i="13"/>
  <c r="F35" i="11"/>
  <c r="G34" i="13"/>
  <c r="F35" i="12"/>
  <c r="G34" i="11"/>
  <c r="E36" i="13" l="1"/>
  <c r="C37" i="13"/>
  <c r="E36" i="12"/>
  <c r="C37" i="12"/>
  <c r="E36" i="11"/>
  <c r="C37" i="11"/>
  <c r="G35" i="13"/>
  <c r="G35" i="12"/>
  <c r="F36" i="12"/>
  <c r="F36" i="13"/>
  <c r="F36" i="11"/>
  <c r="G35" i="11"/>
  <c r="E37" i="13" l="1"/>
  <c r="C38" i="13"/>
  <c r="E37" i="12"/>
  <c r="C38" i="12"/>
  <c r="E37" i="11"/>
  <c r="C38" i="11"/>
  <c r="G36" i="13"/>
  <c r="F37" i="11"/>
  <c r="G36" i="12"/>
  <c r="F37" i="13"/>
  <c r="G36" i="11"/>
  <c r="F37" i="12"/>
  <c r="C39" i="13" l="1"/>
  <c r="E38" i="13"/>
  <c r="C39" i="12"/>
  <c r="E38" i="12"/>
  <c r="C39" i="11"/>
  <c r="E38" i="11"/>
  <c r="F38" i="13"/>
  <c r="G37" i="11"/>
  <c r="G37" i="13"/>
  <c r="F38" i="12"/>
  <c r="G37" i="12"/>
  <c r="F38" i="11"/>
  <c r="C40" i="13" l="1"/>
  <c r="E39" i="13"/>
  <c r="C40" i="12"/>
  <c r="E39" i="12"/>
  <c r="E39" i="11"/>
  <c r="C40" i="11"/>
  <c r="F39" i="11"/>
  <c r="F39" i="13"/>
  <c r="F39" i="12"/>
  <c r="G38" i="11"/>
  <c r="G38" i="12"/>
  <c r="G38" i="13"/>
  <c r="E40" i="13" l="1"/>
  <c r="C41" i="13"/>
  <c r="E40" i="12"/>
  <c r="C41" i="12"/>
  <c r="E40" i="11"/>
  <c r="C41" i="11"/>
  <c r="F40" i="11"/>
  <c r="G39" i="11"/>
  <c r="G39" i="12"/>
  <c r="G39" i="13"/>
  <c r="F40" i="13"/>
  <c r="F40" i="12"/>
  <c r="E41" i="13" l="1"/>
  <c r="C42" i="13"/>
  <c r="E42" i="13" s="1"/>
  <c r="C42" i="12"/>
  <c r="E42" i="12" s="1"/>
  <c r="E41" i="12"/>
  <c r="C42" i="11"/>
  <c r="E42" i="11" s="1"/>
  <c r="E41" i="11"/>
  <c r="F4" i="13"/>
  <c r="F4" i="12"/>
  <c r="F4" i="11"/>
  <c r="F41" i="13"/>
  <c r="F42" i="11"/>
  <c r="G40" i="13"/>
  <c r="G40" i="11"/>
  <c r="F41" i="12"/>
  <c r="F42" i="13"/>
  <c r="G40" i="12"/>
  <c r="F42" i="12"/>
  <c r="F41" i="11"/>
  <c r="E6" i="8" l="1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F50" i="7"/>
  <c r="F52" i="8"/>
  <c r="F59" i="8"/>
  <c r="F13" i="7"/>
  <c r="F21" i="7"/>
  <c r="F8" i="7"/>
  <c r="F16" i="7"/>
  <c r="F42" i="8"/>
  <c r="F17" i="8"/>
  <c r="F55" i="8"/>
  <c r="F11" i="7"/>
  <c r="F25" i="7"/>
  <c r="F22" i="8"/>
  <c r="F23" i="8"/>
  <c r="F10" i="8"/>
  <c r="F24" i="8"/>
  <c r="F47" i="8"/>
  <c r="F35" i="7"/>
  <c r="F35" i="8"/>
  <c r="F48" i="8"/>
  <c r="F60" i="7"/>
  <c r="G41" i="11"/>
  <c r="F61" i="8"/>
  <c r="F50" i="8"/>
  <c r="F41" i="8"/>
  <c r="F45" i="8"/>
  <c r="F28" i="8"/>
  <c r="F18" i="7"/>
  <c r="F39" i="7"/>
  <c r="F53" i="8"/>
  <c r="F57" i="7"/>
  <c r="F65" i="7"/>
  <c r="F20" i="7"/>
  <c r="F20" i="8"/>
  <c r="G42" i="13"/>
  <c r="F61" i="7"/>
  <c r="F12" i="7"/>
  <c r="F62" i="8"/>
  <c r="F33" i="7"/>
  <c r="F31" i="8"/>
  <c r="F46" i="8"/>
  <c r="F43" i="8"/>
  <c r="F47" i="7"/>
  <c r="F19" i="7"/>
  <c r="F41" i="7"/>
  <c r="F56" i="8"/>
  <c r="F16" i="8"/>
  <c r="F37" i="7"/>
  <c r="F43" i="7"/>
  <c r="F36" i="8"/>
  <c r="F34" i="8"/>
  <c r="F27" i="8"/>
  <c r="F34" i="7"/>
  <c r="G41" i="13"/>
  <c r="F53" i="7"/>
  <c r="F12" i="8"/>
  <c r="F30" i="7"/>
  <c r="F14" i="7"/>
  <c r="F56" i="7"/>
  <c r="F52" i="7"/>
  <c r="F13" i="8"/>
  <c r="F62" i="7"/>
  <c r="F30" i="8"/>
  <c r="F19" i="8"/>
  <c r="F9" i="7"/>
  <c r="F38" i="8"/>
  <c r="F64" i="7"/>
  <c r="F32" i="8"/>
  <c r="F51" i="8"/>
  <c r="F45" i="7"/>
  <c r="F26" i="7"/>
  <c r="F57" i="8"/>
  <c r="F7" i="7"/>
  <c r="F51" i="7"/>
  <c r="F58" i="7"/>
  <c r="F29" i="7"/>
  <c r="F42" i="7"/>
  <c r="F27" i="7"/>
  <c r="F49" i="7"/>
  <c r="F44" i="8"/>
  <c r="F33" i="8"/>
  <c r="F25" i="8"/>
  <c r="F15" i="8"/>
  <c r="F18" i="8"/>
  <c r="F40" i="8"/>
  <c r="F64" i="8"/>
  <c r="F39" i="8"/>
  <c r="F10" i="7"/>
  <c r="F46" i="7"/>
  <c r="F28" i="7"/>
  <c r="F63" i="8"/>
  <c r="F14" i="8"/>
  <c r="F29" i="8"/>
  <c r="F59" i="7"/>
  <c r="F63" i="7"/>
  <c r="F32" i="7"/>
  <c r="F36" i="7"/>
  <c r="F26" i="8"/>
  <c r="G42" i="11"/>
  <c r="F24" i="7"/>
  <c r="F37" i="8"/>
  <c r="F23" i="7"/>
  <c r="F60" i="8"/>
  <c r="F49" i="8"/>
  <c r="F66" i="8"/>
  <c r="F38" i="7"/>
  <c r="F54" i="7"/>
  <c r="F7" i="8"/>
  <c r="F55" i="7"/>
  <c r="F65" i="8"/>
  <c r="F21" i="8"/>
  <c r="F66" i="7"/>
  <c r="F22" i="7"/>
  <c r="F17" i="7"/>
  <c r="G4" i="12"/>
  <c r="F15" i="7"/>
  <c r="F40" i="7"/>
  <c r="G41" i="12"/>
  <c r="F8" i="8"/>
  <c r="F58" i="8"/>
  <c r="F48" i="7"/>
  <c r="G4" i="13"/>
  <c r="F31" i="7"/>
  <c r="G4" i="11"/>
  <c r="F9" i="8"/>
  <c r="F54" i="8"/>
  <c r="F44" i="7"/>
  <c r="G42" i="12"/>
  <c r="F11" i="8"/>
  <c r="AM4" i="18" l="1"/>
  <c r="F6" i="8"/>
  <c r="F6" i="7"/>
  <c r="S3" i="12"/>
  <c r="S3" i="13"/>
  <c r="X5" i="12" a="1"/>
  <c r="X5" i="13" a="1"/>
  <c r="G30" i="8"/>
  <c r="G9" i="8"/>
  <c r="G42" i="7"/>
  <c r="G44" i="7"/>
  <c r="G59" i="7"/>
  <c r="G9" i="7"/>
  <c r="G12" i="7"/>
  <c r="G20" i="8"/>
  <c r="G63" i="7"/>
  <c r="G56" i="8"/>
  <c r="G38" i="8"/>
  <c r="G31" i="8"/>
  <c r="G39" i="8"/>
  <c r="G23" i="7"/>
  <c r="G57" i="8"/>
  <c r="G57" i="7"/>
  <c r="G32" i="7"/>
  <c r="G21" i="8"/>
  <c r="G6" i="7"/>
  <c r="I7" i="6"/>
  <c r="G12" i="8"/>
  <c r="G29" i="7"/>
  <c r="G45" i="8"/>
  <c r="G31" i="7"/>
  <c r="G53" i="7"/>
  <c r="G64" i="8"/>
  <c r="G66" i="7"/>
  <c r="G23" i="8"/>
  <c r="G11" i="8"/>
  <c r="G39" i="7"/>
  <c r="G60" i="7"/>
  <c r="G25" i="8"/>
  <c r="G19" i="7"/>
  <c r="G60" i="8"/>
  <c r="G59" i="8"/>
  <c r="G22" i="8"/>
  <c r="G17" i="8"/>
  <c r="I9" i="6"/>
  <c r="G34" i="7"/>
  <c r="G16" i="7"/>
  <c r="G53" i="8"/>
  <c r="G36" i="8"/>
  <c r="G44" i="8"/>
  <c r="G25" i="7"/>
  <c r="G38" i="7"/>
  <c r="G58" i="8"/>
  <c r="I12" i="6"/>
  <c r="G36" i="7"/>
  <c r="G55" i="8"/>
  <c r="G61" i="7"/>
  <c r="G24" i="8"/>
  <c r="G37" i="7"/>
  <c r="G32" i="8"/>
  <c r="G47" i="7"/>
  <c r="G47" i="8"/>
  <c r="G35" i="8"/>
  <c r="G46" i="8"/>
  <c r="G20" i="7"/>
  <c r="G15" i="8"/>
  <c r="G33" i="8"/>
  <c r="G28" i="8"/>
  <c r="G51" i="8"/>
  <c r="G65" i="8"/>
  <c r="G54" i="7"/>
  <c r="G48" i="7"/>
  <c r="G13" i="8"/>
  <c r="G27" i="7"/>
  <c r="G18" i="8"/>
  <c r="G58" i="7"/>
  <c r="G14" i="7"/>
  <c r="G14" i="8"/>
  <c r="G46" i="7"/>
  <c r="G35" i="7"/>
  <c r="G51" i="7"/>
  <c r="G19" i="8"/>
  <c r="G27" i="8"/>
  <c r="G61" i="8"/>
  <c r="G55" i="7"/>
  <c r="G40" i="7"/>
  <c r="G15" i="7"/>
  <c r="G49" i="8"/>
  <c r="G66" i="8"/>
  <c r="G33" i="7"/>
  <c r="G7" i="8"/>
  <c r="G26" i="7"/>
  <c r="G16" i="8"/>
  <c r="G7" i="7"/>
  <c r="G43" i="8"/>
  <c r="G65" i="7"/>
  <c r="G8" i="8"/>
  <c r="G24" i="7"/>
  <c r="G17" i="7"/>
  <c r="G18" i="7"/>
  <c r="G62" i="8"/>
  <c r="G26" i="8"/>
  <c r="G11" i="7"/>
  <c r="G30" i="7"/>
  <c r="G48" i="8"/>
  <c r="G50" i="8"/>
  <c r="G45" i="7"/>
  <c r="G6" i="8"/>
  <c r="G50" i="7"/>
  <c r="G21" i="7"/>
  <c r="G42" i="8"/>
  <c r="G52" i="8"/>
  <c r="G54" i="8"/>
  <c r="G29" i="8"/>
  <c r="I11" i="6"/>
  <c r="G13" i="7"/>
  <c r="G34" i="8"/>
  <c r="I8" i="6"/>
  <c r="G10" i="8"/>
  <c r="G10" i="7"/>
  <c r="G22" i="7"/>
  <c r="G40" i="8"/>
  <c r="G8" i="7"/>
  <c r="G62" i="7"/>
  <c r="I10" i="6"/>
  <c r="G64" i="7"/>
  <c r="G63" i="8"/>
  <c r="G37" i="8"/>
  <c r="G28" i="7"/>
  <c r="G41" i="7"/>
  <c r="G52" i="7"/>
  <c r="G56" i="7"/>
  <c r="G41" i="8"/>
  <c r="I6" i="6"/>
  <c r="G49" i="7"/>
  <c r="G43" i="7"/>
  <c r="AM25" i="18"/>
  <c r="AM27" i="18"/>
  <c r="AN27" i="18"/>
  <c r="AM22" i="18"/>
  <c r="AM18" i="18"/>
  <c r="Y3" i="22"/>
  <c r="AM43" i="18"/>
  <c r="AM45" i="18"/>
  <c r="AM24" i="18"/>
  <c r="AN24" i="18"/>
  <c r="AM36" i="18"/>
  <c r="AN36" i="18" s="1"/>
  <c r="AM44" i="18"/>
  <c r="AN44" i="18" s="1"/>
  <c r="AM23" i="18"/>
  <c r="AM19" i="18"/>
  <c r="AM47" i="18"/>
  <c r="AM42" i="18"/>
  <c r="AN18" i="18"/>
  <c r="AM12" i="18"/>
  <c r="AN12" i="18" s="1"/>
  <c r="AM46" i="18"/>
  <c r="AN46" i="18" s="1"/>
  <c r="AM8" i="18"/>
  <c r="AN8" i="18" s="1"/>
  <c r="AM35" i="18"/>
  <c r="AM26" i="18"/>
  <c r="AN26" i="18" s="1"/>
  <c r="AM39" i="18"/>
  <c r="AM10" i="18"/>
  <c r="AN10" i="18" s="1"/>
  <c r="AN25" i="18"/>
  <c r="AM28" i="18"/>
  <c r="AN28" i="18" s="1"/>
  <c r="AN19" i="18"/>
  <c r="AM33" i="18"/>
  <c r="AN33" i="18" s="1"/>
  <c r="AM34" i="18"/>
  <c r="AN34" i="18" s="1"/>
  <c r="AM29" i="18"/>
  <c r="AN45" i="18"/>
  <c r="AM11" i="18"/>
  <c r="AN11" i="18" s="1"/>
  <c r="AM13" i="18"/>
  <c r="AN39" i="18"/>
  <c r="AN22" i="18"/>
  <c r="AN23" i="18"/>
  <c r="AM15" i="18"/>
  <c r="AN15" i="18"/>
  <c r="AM21" i="18"/>
  <c r="AN47" i="18"/>
  <c r="AM32" i="18"/>
  <c r="AN32" i="18" s="1"/>
  <c r="AM16" i="18"/>
  <c r="AN16" i="18" s="1"/>
  <c r="AM20" i="18"/>
  <c r="AN20" i="18" s="1"/>
  <c r="AM41" i="18"/>
  <c r="AN41" i="18" s="1"/>
  <c r="AM9" i="18"/>
  <c r="AN9" i="18" s="1"/>
  <c r="AN42" i="18"/>
  <c r="AN43" i="18"/>
  <c r="AM30" i="18"/>
  <c r="AN30" i="18" s="1"/>
  <c r="AM31" i="18"/>
  <c r="AN31" i="18" s="1"/>
  <c r="AM7" i="18"/>
  <c r="AN7" i="18" s="1"/>
  <c r="AN29" i="18"/>
  <c r="AN13" i="18"/>
  <c r="AN35" i="18"/>
  <c r="AM17" i="18"/>
  <c r="AN17" i="18" s="1"/>
  <c r="AM37" i="18"/>
  <c r="AN37" i="18" s="1"/>
  <c r="AM40" i="18"/>
  <c r="AN40" i="18" s="1"/>
  <c r="AN21" i="18"/>
  <c r="AM6" i="18"/>
  <c r="AN6" i="18" s="1"/>
  <c r="AM14" i="18"/>
  <c r="AN14" i="18" s="1"/>
  <c r="AM38" i="18"/>
  <c r="AN38" i="18" s="1"/>
  <c r="X20" i="13" l="1"/>
  <c r="AB20" i="13" s="1"/>
  <c r="X28" i="13"/>
  <c r="AB28" i="13" s="1"/>
  <c r="X24" i="13"/>
  <c r="AB24" i="13" s="1"/>
  <c r="X33" i="13"/>
  <c r="AB33" i="13" s="1"/>
  <c r="X14" i="13"/>
  <c r="AB14" i="13" s="1"/>
  <c r="X17" i="13"/>
  <c r="AB17" i="13" s="1"/>
  <c r="X10" i="13"/>
  <c r="AB10" i="13" s="1"/>
  <c r="X34" i="13"/>
  <c r="AB34" i="13" s="1"/>
  <c r="X21" i="13"/>
  <c r="AB21" i="13" s="1"/>
  <c r="X23" i="13"/>
  <c r="AB23" i="13" s="1"/>
  <c r="X26" i="13"/>
  <c r="AB26" i="13" s="1"/>
  <c r="X11" i="13"/>
  <c r="AB11" i="13" s="1"/>
  <c r="X27" i="13"/>
  <c r="AB27" i="13" s="1"/>
  <c r="X31" i="13"/>
  <c r="AB31" i="13" s="1"/>
  <c r="X22" i="13"/>
  <c r="AB22" i="13" s="1"/>
  <c r="X9" i="13"/>
  <c r="AB9" i="13" s="1"/>
  <c r="X7" i="13"/>
  <c r="AB7" i="13" s="1"/>
  <c r="X38" i="13"/>
  <c r="AB38" i="13" s="1"/>
  <c r="X37" i="13"/>
  <c r="AB37" i="13" s="1"/>
  <c r="X15" i="13"/>
  <c r="AB15" i="13" s="1"/>
  <c r="X8" i="13"/>
  <c r="AB8" i="13" s="1"/>
  <c r="X5" i="13"/>
  <c r="AB5" i="13" s="1"/>
  <c r="X6" i="13"/>
  <c r="AB6" i="13" s="1"/>
  <c r="X32" i="13"/>
  <c r="AB32" i="13" s="1"/>
  <c r="X19" i="13"/>
  <c r="AB19" i="13" s="1"/>
  <c r="X29" i="13"/>
  <c r="AB29" i="13" s="1"/>
  <c r="X12" i="13"/>
  <c r="AB12" i="13" s="1"/>
  <c r="X13" i="13"/>
  <c r="AB13" i="13" s="1"/>
  <c r="X35" i="13"/>
  <c r="AB35" i="13" s="1"/>
  <c r="X36" i="13"/>
  <c r="AB36" i="13" s="1"/>
  <c r="X16" i="13"/>
  <c r="AB16" i="13" s="1"/>
  <c r="X25" i="13"/>
  <c r="AB25" i="13" s="1"/>
  <c r="X30" i="13"/>
  <c r="AB30" i="13" s="1"/>
  <c r="X18" i="13"/>
  <c r="AB18" i="13" s="1"/>
  <c r="X6" i="12"/>
  <c r="AB6" i="12" s="1"/>
  <c r="X7" i="12"/>
  <c r="AB7" i="12" s="1"/>
  <c r="X8" i="12"/>
  <c r="AB8" i="12" s="1"/>
  <c r="X5" i="12"/>
  <c r="AB5" i="12" s="1"/>
  <c r="X9" i="12"/>
  <c r="AB9" i="12" s="1"/>
  <c r="U8" i="6" l="1"/>
  <c r="X39" i="13"/>
  <c r="AB39" i="13" s="1"/>
  <c r="U10" i="6"/>
  <c r="U7" i="6"/>
  <c r="U9" i="6"/>
  <c r="U11" i="6"/>
  <c r="U12" i="6"/>
  <c r="X10" i="12"/>
  <c r="AB10" i="12" s="1"/>
  <c r="X11" i="12"/>
  <c r="AB11" i="12" s="1"/>
  <c r="X12" i="12"/>
  <c r="AB12" i="12" s="1"/>
  <c r="X13" i="12"/>
  <c r="AB13" i="12" s="1"/>
  <c r="X14" i="12"/>
  <c r="AB14" i="12" s="1"/>
  <c r="X15" i="12"/>
  <c r="AB15" i="12" s="1"/>
  <c r="X16" i="12"/>
  <c r="AB16" i="12" s="1"/>
  <c r="X17" i="12"/>
  <c r="AB17" i="12" s="1"/>
  <c r="X18" i="12"/>
  <c r="AB18" i="12" s="1"/>
  <c r="X19" i="12"/>
  <c r="AB19" i="12" s="1"/>
  <c r="X20" i="12"/>
  <c r="AB20" i="12" s="1"/>
  <c r="X21" i="12"/>
  <c r="AB21" i="12" s="1"/>
  <c r="X22" i="12"/>
  <c r="AB22" i="12" s="1"/>
  <c r="X23" i="12"/>
  <c r="AB23" i="12" s="1"/>
  <c r="X24" i="12"/>
  <c r="AB24" i="12" s="1"/>
  <c r="X25" i="12"/>
  <c r="AB25" i="12" s="1"/>
  <c r="X26" i="12"/>
  <c r="AB26" i="12" s="1"/>
  <c r="X27" i="12"/>
  <c r="AB27" i="12" s="1"/>
  <c r="X28" i="12"/>
  <c r="AB28" i="12" s="1"/>
  <c r="X29" i="12"/>
  <c r="AB29" i="12" s="1"/>
  <c r="X30" i="12"/>
  <c r="AB30" i="12" s="1"/>
  <c r="X31" i="12"/>
  <c r="AB31" i="12" s="1"/>
  <c r="X32" i="12"/>
  <c r="AB32" i="12" s="1"/>
  <c r="X33" i="12"/>
  <c r="AB33" i="12" s="1"/>
  <c r="X34" i="12"/>
  <c r="AB34" i="12" s="1"/>
  <c r="X35" i="12"/>
  <c r="AB35" i="12" s="1"/>
  <c r="X36" i="12"/>
  <c r="AB36" i="12" s="1"/>
  <c r="X37" i="12"/>
  <c r="AB37" i="12" s="1"/>
  <c r="X38" i="12"/>
  <c r="AB38" i="12" s="1"/>
  <c r="X39" i="12" l="1"/>
  <c r="AB39" i="12" s="1"/>
  <c r="X40" i="13"/>
  <c r="AB40" i="13" s="1"/>
  <c r="X40" i="12" l="1"/>
  <c r="AB40" i="12" s="1"/>
  <c r="X41" i="13"/>
  <c r="AB41" i="13" s="1"/>
  <c r="S3" i="11"/>
  <c r="X41" i="12" l="1"/>
  <c r="AB41" i="12" s="1"/>
  <c r="X42" i="13"/>
  <c r="AB42" i="13" s="1"/>
  <c r="X5" i="11" a="1"/>
  <c r="X42" i="12" l="1"/>
  <c r="AB42" i="12" s="1"/>
  <c r="X6" i="11"/>
  <c r="AB6" i="11" s="1"/>
  <c r="X5" i="11"/>
  <c r="AB5" i="11" s="1"/>
  <c r="X7" i="11"/>
  <c r="AB7" i="11" s="1"/>
  <c r="X8" i="11"/>
  <c r="AB8" i="11" s="1"/>
  <c r="X9" i="11"/>
  <c r="AB9" i="11" s="1"/>
  <c r="X10" i="11"/>
  <c r="AB10" i="11" s="1"/>
  <c r="X11" i="11" l="1"/>
  <c r="AB11" i="11" s="1"/>
  <c r="X12" i="11"/>
  <c r="AB12" i="11" s="1"/>
  <c r="X13" i="11"/>
  <c r="AB13" i="11" s="1"/>
  <c r="X14" i="11"/>
  <c r="AB14" i="11" s="1"/>
  <c r="X15" i="11"/>
  <c r="AB15" i="11" s="1"/>
  <c r="X16" i="11"/>
  <c r="AB16" i="11" s="1"/>
  <c r="X17" i="11"/>
  <c r="AB17" i="11" s="1"/>
  <c r="X18" i="11"/>
  <c r="AB18" i="11" s="1"/>
  <c r="X19" i="11"/>
  <c r="AB19" i="11" s="1"/>
  <c r="X20" i="11"/>
  <c r="AB20" i="11" s="1"/>
  <c r="X21" i="11"/>
  <c r="AB21" i="11" s="1"/>
  <c r="X22" i="11"/>
  <c r="AB22" i="11" s="1"/>
  <c r="X23" i="11"/>
  <c r="AB23" i="11" s="1"/>
  <c r="X24" i="11"/>
  <c r="AB24" i="11" s="1"/>
  <c r="X25" i="11"/>
  <c r="AB25" i="11" s="1"/>
  <c r="X26" i="11"/>
  <c r="AB26" i="11" s="1"/>
  <c r="X27" i="11"/>
  <c r="AB27" i="11" s="1"/>
  <c r="X28" i="11"/>
  <c r="AB28" i="11" s="1"/>
  <c r="X29" i="11"/>
  <c r="AB29" i="11" s="1"/>
  <c r="X30" i="11"/>
  <c r="AB30" i="11" s="1"/>
  <c r="X31" i="11"/>
  <c r="AB31" i="11" s="1"/>
  <c r="X32" i="11"/>
  <c r="AB32" i="11" s="1"/>
  <c r="X33" i="11"/>
  <c r="AB33" i="11" s="1"/>
  <c r="X34" i="11"/>
  <c r="AB34" i="11" s="1"/>
  <c r="X35" i="11"/>
  <c r="AB35" i="11" s="1"/>
  <c r="X36" i="11"/>
  <c r="AB36" i="11" s="1"/>
  <c r="X37" i="11"/>
  <c r="AB37" i="11" s="1"/>
  <c r="X38" i="11"/>
  <c r="AB38" i="11" s="1"/>
  <c r="Y3" i="24"/>
  <c r="M6" i="17" a="1"/>
  <c r="AC29" i="13"/>
  <c r="AC33" i="12"/>
  <c r="AC11" i="13"/>
  <c r="AC12" i="13"/>
  <c r="AC30" i="13"/>
  <c r="AC28" i="13"/>
  <c r="AC5" i="12"/>
  <c r="AC22" i="12"/>
  <c r="AC17" i="13"/>
  <c r="AC6" i="13"/>
  <c r="AC8" i="12"/>
  <c r="AC16" i="13"/>
  <c r="AC37" i="12"/>
  <c r="AC21" i="13"/>
  <c r="AC17" i="12"/>
  <c r="AC23" i="13"/>
  <c r="AC11" i="12"/>
  <c r="AC35" i="12"/>
  <c r="AC15" i="13"/>
  <c r="AC32" i="13"/>
  <c r="AC13" i="12"/>
  <c r="AC21" i="12"/>
  <c r="AC14" i="13"/>
  <c r="AC32" i="12"/>
  <c r="AC34" i="12"/>
  <c r="AC24" i="12"/>
  <c r="AC19" i="12"/>
  <c r="AC9" i="12"/>
  <c r="X5" i="16"/>
  <c r="AC35" i="13"/>
  <c r="AC9" i="13"/>
  <c r="AC7" i="12"/>
  <c r="AC25" i="12"/>
  <c r="AC42" i="13"/>
  <c r="AC22" i="13"/>
  <c r="AC30" i="12"/>
  <c r="AC18" i="13"/>
  <c r="AC8" i="13"/>
  <c r="AC39" i="12"/>
  <c r="AC26" i="13"/>
  <c r="AC26" i="12"/>
  <c r="AC38" i="12"/>
  <c r="AC29" i="12"/>
  <c r="AC31" i="13"/>
  <c r="AC20" i="13"/>
  <c r="AC14" i="12"/>
  <c r="AC36" i="12"/>
  <c r="AC16" i="12"/>
  <c r="AC12" i="12"/>
  <c r="AC25" i="13"/>
  <c r="AC23" i="12"/>
  <c r="AC40" i="12"/>
  <c r="AC20" i="12"/>
  <c r="AC19" i="13"/>
  <c r="AC24" i="13"/>
  <c r="AC18" i="12"/>
  <c r="AC15" i="12"/>
  <c r="AC38" i="13"/>
  <c r="AC31" i="12"/>
  <c r="AC10" i="13"/>
  <c r="AC41" i="13"/>
  <c r="AC42" i="12"/>
  <c r="AC7" i="13"/>
  <c r="AC33" i="13"/>
  <c r="AC34" i="13"/>
  <c r="Y3" i="23"/>
  <c r="AC10" i="12"/>
  <c r="AC40" i="13"/>
  <c r="AC28" i="12"/>
  <c r="AC37" i="13"/>
  <c r="AC39" i="13"/>
  <c r="AC36" i="13"/>
  <c r="AC5" i="13"/>
  <c r="AC27" i="12"/>
  <c r="AC41" i="12"/>
  <c r="AC6" i="12"/>
  <c r="P3" i="15"/>
  <c r="AC27" i="13"/>
  <c r="AC13" i="13"/>
  <c r="AJ22" i="12" l="1"/>
  <c r="AJ39" i="12"/>
  <c r="AJ30" i="12"/>
  <c r="AJ38" i="12"/>
  <c r="AJ17" i="12"/>
  <c r="AJ33" i="12"/>
  <c r="AJ18" i="12"/>
  <c r="AJ21" i="12"/>
  <c r="AJ34" i="12"/>
  <c r="AJ27" i="12"/>
  <c r="AJ9" i="12"/>
  <c r="AJ14" i="12"/>
  <c r="AJ24" i="12"/>
  <c r="AJ5" i="12"/>
  <c r="AJ23" i="12"/>
  <c r="AJ16" i="12"/>
  <c r="AJ25" i="12"/>
  <c r="AJ28" i="12"/>
  <c r="AJ35" i="12"/>
  <c r="AJ42" i="12"/>
  <c r="AJ13" i="12"/>
  <c r="AJ31" i="12"/>
  <c r="AJ41" i="12"/>
  <c r="AJ7" i="12"/>
  <c r="AJ8" i="12"/>
  <c r="AJ15" i="12"/>
  <c r="AJ10" i="12"/>
  <c r="AJ32" i="12"/>
  <c r="AJ26" i="12"/>
  <c r="AJ11" i="12"/>
  <c r="AJ37" i="12"/>
  <c r="AJ19" i="12"/>
  <c r="AJ12" i="12"/>
  <c r="AJ20" i="12"/>
  <c r="AJ29" i="12"/>
  <c r="AJ40" i="12"/>
  <c r="AJ36" i="12"/>
  <c r="AJ6" i="12"/>
  <c r="X39" i="11"/>
  <c r="AB39" i="11" s="1"/>
  <c r="M7" i="17"/>
  <c r="M6" i="17"/>
  <c r="M8" i="17"/>
  <c r="M9" i="17"/>
  <c r="X40" i="11" l="1"/>
  <c r="AB40" i="11" s="1"/>
  <c r="M10" i="17"/>
  <c r="M11" i="17"/>
  <c r="X41" i="11" l="1"/>
  <c r="AB41" i="11" s="1"/>
  <c r="M12" i="17"/>
  <c r="M13" i="17"/>
  <c r="X42" i="11" l="1"/>
  <c r="AB42" i="11" s="1"/>
  <c r="M14" i="17"/>
  <c r="M15" i="17"/>
  <c r="M16" i="17" l="1"/>
  <c r="M17" i="17"/>
  <c r="AC42" i="11"/>
  <c r="AC30" i="11"/>
  <c r="AC16" i="11"/>
  <c r="AC5" i="11"/>
  <c r="AC36" i="11"/>
  <c r="AC7" i="11"/>
  <c r="AC6" i="11"/>
  <c r="AC20" i="11"/>
  <c r="AC15" i="11"/>
  <c r="AC39" i="11"/>
  <c r="AC9" i="11"/>
  <c r="AC26" i="11"/>
  <c r="AC32" i="11"/>
  <c r="AC28" i="11"/>
  <c r="AC14" i="11"/>
  <c r="AC13" i="11"/>
  <c r="AC11" i="11"/>
  <c r="AC8" i="11"/>
  <c r="AC33" i="11"/>
  <c r="AC29" i="11"/>
  <c r="AC12" i="11"/>
  <c r="AC22" i="11"/>
  <c r="AC10" i="11"/>
  <c r="AC38" i="11"/>
  <c r="AC31" i="11"/>
  <c r="AC24" i="11"/>
  <c r="AC37" i="11"/>
  <c r="AC19" i="11"/>
  <c r="AC40" i="11"/>
  <c r="AC18" i="11"/>
  <c r="AC41" i="11"/>
  <c r="AC35" i="11"/>
  <c r="AC27" i="11"/>
  <c r="AC23" i="11"/>
  <c r="AC17" i="11"/>
  <c r="AC34" i="11"/>
  <c r="AC25" i="11"/>
  <c r="AC21" i="11"/>
  <c r="O6" i="17" l="1" a="1"/>
  <c r="AC3" i="11"/>
  <c r="O6" i="17" l="1"/>
  <c r="O7" i="17"/>
  <c r="O8" i="17"/>
  <c r="O9" i="17"/>
  <c r="O10" i="17"/>
  <c r="O11" i="17"/>
  <c r="O12" i="17"/>
  <c r="O13" i="17"/>
  <c r="O14" i="17"/>
  <c r="O15" i="17"/>
  <c r="O16" i="17"/>
  <c r="O17" i="17"/>
  <c r="M6" i="18" a="1"/>
  <c r="M7" i="18" l="1"/>
  <c r="M6" i="18"/>
  <c r="M8" i="18"/>
  <c r="M9" i="18"/>
  <c r="Z4" i="17"/>
  <c r="M10" i="18" l="1"/>
  <c r="M11" i="18"/>
  <c r="M12" i="18" l="1"/>
  <c r="M13" i="18"/>
  <c r="M14" i="18" l="1"/>
  <c r="M15" i="18"/>
  <c r="M16" i="18" l="1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M47" i="18"/>
  <c r="O6" i="18" l="1" a="1"/>
  <c r="O6" i="18" l="1"/>
  <c r="O7" i="18"/>
  <c r="O8" i="18"/>
  <c r="O9" i="18"/>
  <c r="O10" i="18"/>
  <c r="O11" i="18"/>
  <c r="O12" i="18"/>
  <c r="O13" i="18"/>
  <c r="O14" i="18"/>
  <c r="O15" i="18"/>
  <c r="O16" i="18"/>
  <c r="O17" i="18"/>
  <c r="O18" i="18"/>
  <c r="O19" i="18"/>
  <c r="O20" i="18"/>
  <c r="O21" i="18"/>
  <c r="O22" i="18"/>
  <c r="O23" i="18"/>
  <c r="O24" i="18"/>
  <c r="O25" i="18"/>
  <c r="O26" i="18"/>
  <c r="O27" i="18"/>
  <c r="O28" i="18"/>
  <c r="O29" i="18"/>
  <c r="O30" i="18"/>
  <c r="O31" i="18"/>
  <c r="O32" i="18"/>
  <c r="O33" i="18"/>
  <c r="O34" i="18"/>
  <c r="O35" i="18"/>
  <c r="O36" i="18"/>
  <c r="O37" i="18"/>
  <c r="O38" i="18"/>
  <c r="O39" i="18"/>
  <c r="O40" i="18"/>
  <c r="O41" i="18"/>
  <c r="O42" i="18"/>
  <c r="O43" i="18"/>
  <c r="O44" i="18"/>
  <c r="O45" i="18"/>
  <c r="O46" i="18"/>
  <c r="O47" i="18"/>
  <c r="AM5" i="18"/>
  <c r="AC3" i="26"/>
  <c r="AC3" i="25"/>
  <c r="AC3" i="12"/>
  <c r="AC3" i="13"/>
  <c r="Z4" i="18"/>
  <c r="D7" i="56" s="1"/>
  <c r="AN5" i="18"/>
  <c r="S4" i="11"/>
  <c r="D3" i="61"/>
  <c r="O5" i="18"/>
  <c r="O4" i="23"/>
  <c r="S4" i="25"/>
  <c r="S4" i="13"/>
  <c r="O4" i="22"/>
  <c r="D3" i="60"/>
  <c r="U27" i="15"/>
  <c r="N6" i="16"/>
  <c r="S4" i="26"/>
  <c r="J4" i="15"/>
  <c r="S4" i="12"/>
  <c r="O4" i="24"/>
  <c r="F4" i="55"/>
  <c r="O5" i="17"/>
</calcChain>
</file>

<file path=xl/comments1.xml><?xml version="1.0" encoding="utf-8"?>
<comments xmlns="http://schemas.openxmlformats.org/spreadsheetml/2006/main">
  <authors>
    <author>erik</author>
  </authors>
  <commentList>
    <comment ref="S26" authorId="0">
      <text>
        <r>
          <rPr>
            <b/>
            <sz val="8"/>
            <color indexed="81"/>
            <rFont val="Tahoma"/>
            <family val="2"/>
          </rPr>
          <t>erik:</t>
        </r>
        <r>
          <rPr>
            <sz val="8"/>
            <color indexed="81"/>
            <rFont val="Tahoma"/>
            <family val="2"/>
          </rPr>
          <t xml:space="preserve">
this named range is a marker for Sensitivity Analysis</t>
        </r>
      </text>
    </comment>
  </commentList>
</comments>
</file>

<file path=xl/sharedStrings.xml><?xml version="1.0" encoding="utf-8"?>
<sst xmlns="http://schemas.openxmlformats.org/spreadsheetml/2006/main" count="2510" uniqueCount="322">
  <si>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</si>
  <si>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</si>
  <si>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</si>
  <si>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</si>
  <si>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</si>
  <si>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</si>
  <si>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</si>
  <si>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</si>
  <si>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</si>
  <si>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</si>
  <si>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</si>
  <si>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</si>
  <si>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</si>
  <si>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</si>
  <si>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</si>
  <si>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</si>
  <si>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</si>
  <si>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</si>
  <si>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</si>
  <si>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</si>
  <si>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</si>
  <si>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</si>
  <si>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</si>
  <si>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</si>
  <si>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</si>
  <si>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</si>
  <si>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</si>
  <si>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</si>
  <si>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</si>
  <si>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</si>
  <si>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</si>
  <si>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</si>
  <si>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</si>
  <si>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</si>
  <si>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</si>
  <si>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</si>
  <si>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</si>
  <si>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</si>
  <si>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</si>
  <si>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</si>
  <si>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</si>
  <si>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</si>
  <si>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</si>
  <si>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</si>
  <si>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</si>
  <si>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</si>
  <si>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</si>
  <si>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</si>
  <si>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</si>
  <si>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</si>
  <si>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</si>
  <si>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</si>
  <si>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</si>
  <si>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</si>
  <si>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</si>
  <si>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</si>
  <si>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</si>
  <si>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</si>
  <si>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</si>
  <si>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</si>
  <si>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</si>
  <si>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</si>
  <si>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</si>
  <si>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</si>
  <si>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</si>
  <si>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</si>
  <si>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</si>
  <si>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</si>
  <si>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</si>
  <si>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</si>
  <si>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</si>
  <si>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</si>
  <si>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</si>
  <si>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</si>
  <si>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</si>
  <si>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</si>
  <si>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</si>
  <si>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</si>
  <si>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</si>
  <si>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</si>
  <si>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</si>
  <si>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</si>
  <si>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</si>
  <si>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</si>
  <si>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</si>
  <si>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</si>
  <si>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IsdaFixAm</t>
  </si>
  <si>
    <t>FixingType</t>
  </si>
  <si>
    <t>LiborSwap</t>
  </si>
  <si>
    <t>IsdaFixPm</t>
  </si>
  <si>
    <t>UnitedKingdom::Exchange</t>
  </si>
  <si>
    <t>IborIndex</t>
  </si>
  <si>
    <t>ForBasisCalc</t>
  </si>
  <si>
    <t>Discounting2</t>
  </si>
  <si>
    <t>Discounting</t>
  </si>
  <si>
    <t>USD</t>
  </si>
  <si>
    <t>UsdLibor</t>
  </si>
  <si>
    <t>1L</t>
  </si>
  <si>
    <t>3L</t>
  </si>
  <si>
    <t>6L</t>
  </si>
  <si>
    <t>JPY</t>
  </si>
  <si>
    <t>GBP</t>
  </si>
  <si>
    <t>6E</t>
  </si>
  <si>
    <t>1E</t>
  </si>
  <si>
    <t>EUR</t>
  </si>
  <si>
    <t>CHF</t>
  </si>
  <si>
    <t>21M</t>
  </si>
  <si>
    <t>18M</t>
  </si>
  <si>
    <t>15M</t>
  </si>
  <si>
    <t>Length</t>
  </si>
  <si>
    <t>3E</t>
  </si>
  <si>
    <t>12L</t>
  </si>
  <si>
    <t>12E</t>
  </si>
  <si>
    <t>PriceTickValue</t>
  </si>
  <si>
    <t>RateTickValue</t>
  </si>
  <si>
    <t>_Quote</t>
  </si>
  <si>
    <t>QuoteSuffix</t>
  </si>
  <si>
    <t>ADDITIONAL SETTINGS</t>
  </si>
  <si>
    <t>USD_010_BasisSwapQuotes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</si>
  <si>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</si>
  <si>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</si>
  <si>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</si>
  <si>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</si>
  <si>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</si>
  <si>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</si>
  <si>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</si>
  <si>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</si>
  <si>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</si>
  <si>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</si>
  <si>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</si>
  <si>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</si>
  <si>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</si>
  <si>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</si>
  <si>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</si>
  <si>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</si>
  <si>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</si>
  <si>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</si>
  <si>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x24F</t>
  </si>
  <si>
    <t>F1</t>
  </si>
  <si>
    <t>x9F</t>
  </si>
  <si>
    <t>x8F</t>
  </si>
  <si>
    <t>x7F</t>
  </si>
  <si>
    <t>x6F</t>
  </si>
  <si>
    <t>x5F</t>
  </si>
  <si>
    <t>x4F</t>
  </si>
  <si>
    <t>TOM3</t>
  </si>
  <si>
    <t>T3</t>
  </si>
  <si>
    <t>TOM1</t>
  </si>
  <si>
    <t>T1</t>
  </si>
  <si>
    <t>Future Code</t>
  </si>
  <si>
    <t>Main Cycle</t>
  </si>
  <si>
    <t>#</t>
  </si>
  <si>
    <t>FUT</t>
  </si>
  <si>
    <t>IMMFRA</t>
  </si>
  <si>
    <t>USD_010_DepoFRAFuturesQuotes</t>
  </si>
  <si>
    <t>OIS</t>
  </si>
  <si>
    <t>FED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</si>
  <si>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</si>
  <si>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</si>
  <si>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</si>
  <si>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</si>
  <si>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</si>
  <si>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</si>
  <si>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</si>
  <si>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</si>
  <si>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</si>
  <si>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</si>
  <si>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</si>
  <si>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</si>
  <si>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</si>
  <si>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</si>
  <si>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</si>
  <si>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</si>
  <si>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</si>
  <si>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X1S</t>
  </si>
  <si>
    <t>1S</t>
  </si>
  <si>
    <t>2S</t>
  </si>
  <si>
    <t>4S</t>
  </si>
  <si>
    <t>3S</t>
  </si>
  <si>
    <t>AM</t>
  </si>
  <si>
    <t>SB</t>
  </si>
  <si>
    <t>AB</t>
  </si>
  <si>
    <t>Conventions</t>
  </si>
  <si>
    <t>Set</t>
  </si>
  <si>
    <t>Main</t>
  </si>
  <si>
    <t>Secondary</t>
  </si>
  <si>
    <t>USD_010_SwapQuotes</t>
  </si>
  <si>
    <t>TOY2</t>
  </si>
  <si>
    <t>TOY</t>
  </si>
  <si>
    <t>ON</t>
  </si>
  <si>
    <t>USD_015_SyntheticQuotes</t>
  </si>
  <si>
    <t>1w</t>
  </si>
  <si>
    <t>Swap index</t>
  </si>
  <si>
    <t>Spread</t>
  </si>
  <si>
    <t>Fwd start</t>
  </si>
  <si>
    <t>USD_020_ForwardSwapQuotes</t>
  </si>
  <si>
    <t>Quote</t>
  </si>
  <si>
    <t>Meanreversion</t>
  </si>
  <si>
    <t>Volatility</t>
  </si>
  <si>
    <t>USD_020_FuturesConvAdjQuotes</t>
  </si>
  <si>
    <t>ASK</t>
  </si>
  <si>
    <t>BID</t>
  </si>
  <si>
    <t>SaYieldCurveTweak</t>
  </si>
  <si>
    <t>KLIEM</t>
  </si>
  <si>
    <t>COSZ</t>
  </si>
  <si>
    <t>D</t>
  </si>
  <si>
    <t>COSMOREX</t>
  </si>
  <si>
    <t>PREL</t>
  </si>
  <si>
    <t>Prebon</t>
  </si>
  <si>
    <t>TRIT</t>
  </si>
  <si>
    <t>Tradition</t>
  </si>
  <si>
    <t>TTKL</t>
  </si>
  <si>
    <t>Tullets</t>
  </si>
  <si>
    <t>The record could not be found</t>
  </si>
  <si>
    <t>ICAP</t>
  </si>
  <si>
    <t>CKCC</t>
  </si>
  <si>
    <t>Reuters</t>
  </si>
  <si>
    <t>SN</t>
  </si>
  <si>
    <t>LAST</t>
  </si>
  <si>
    <t>FSR</t>
  </si>
  <si>
    <t>TN</t>
  </si>
  <si>
    <t>IBOR</t>
  </si>
  <si>
    <t>ibor</t>
  </si>
  <si>
    <t>Field</t>
  </si>
  <si>
    <t>Code</t>
  </si>
  <si>
    <t>RIC element2</t>
  </si>
  <si>
    <t>RIC element1</t>
  </si>
  <si>
    <t>Contributors</t>
  </si>
  <si>
    <t>Change</t>
  </si>
  <si>
    <t>Effective</t>
  </si>
  <si>
    <t>Object ID</t>
  </si>
  <si>
    <t>Static</t>
  </si>
  <si>
    <t>Quote suffix</t>
  </si>
  <si>
    <t>X</t>
  </si>
  <si>
    <t>ASK-BID</t>
  </si>
  <si>
    <t>Mid Safe</t>
  </si>
  <si>
    <t>HST_CLOSE</t>
  </si>
  <si>
    <t>ruled by swap 3m</t>
  </si>
  <si>
    <t>EM</t>
  </si>
  <si>
    <t>CODES</t>
  </si>
  <si>
    <t>LIFFE</t>
  </si>
  <si>
    <t>EXPIRE DATE</t>
  </si>
  <si>
    <t>Effective Date</t>
  </si>
  <si>
    <t>ED</t>
  </si>
  <si>
    <t>FSS</t>
  </si>
  <si>
    <t>FEI</t>
  </si>
  <si>
    <t>FES</t>
  </si>
  <si>
    <t>US</t>
  </si>
  <si>
    <t>JP</t>
  </si>
  <si>
    <t>GB</t>
  </si>
  <si>
    <t>EU</t>
  </si>
  <si>
    <t>mean reversion</t>
  </si>
  <si>
    <t>CH</t>
  </si>
  <si>
    <t>sigma</t>
  </si>
  <si>
    <t>HW parameters</t>
  </si>
  <si>
    <t>this rules also 3m/6m basis and FRAs</t>
  </si>
  <si>
    <t>Mid</t>
  </si>
  <si>
    <t>Mid Equivalent</t>
  </si>
  <si>
    <t>Error</t>
  </si>
  <si>
    <t>ruled by swap 3M</t>
  </si>
  <si>
    <t>6X</t>
  </si>
  <si>
    <t>E</t>
  </si>
  <si>
    <t>12S</t>
  </si>
  <si>
    <t>3X</t>
  </si>
  <si>
    <t>6S</t>
  </si>
  <si>
    <t>2X</t>
  </si>
  <si>
    <t>5S</t>
  </si>
  <si>
    <t>1X</t>
  </si>
  <si>
    <t>Live Data Feed</t>
  </si>
  <si>
    <t>Last update</t>
  </si>
  <si>
    <t>GCMN</t>
  </si>
  <si>
    <t>ICAP NY</t>
  </si>
  <si>
    <t>SMKR</t>
  </si>
  <si>
    <t>Contributor Code</t>
  </si>
  <si>
    <t>MonotonicCubicNaturalSpline</t>
  </si>
  <si>
    <t>InterpolationType</t>
  </si>
  <si>
    <t>TriggerCounter</t>
  </si>
  <si>
    <t>FRQ:1S</t>
  </si>
  <si>
    <t>ReutersRtMode</t>
  </si>
  <si>
    <t>GENERAL_SETTINGS</t>
  </si>
  <si>
    <t>USD_InterestRateQuotesFeed</t>
  </si>
  <si>
    <t>CAD</t>
  </si>
  <si>
    <t>HKD</t>
  </si>
  <si>
    <t>After Fixing Check</t>
  </si>
  <si>
    <t>Delta</t>
  </si>
  <si>
    <t>Observed Fixing</t>
  </si>
  <si>
    <t>Forecasted Before Fixing</t>
  </si>
  <si>
    <t>Add Fixing</t>
  </si>
  <si>
    <t>Fixing Check</t>
  </si>
  <si>
    <t>VALUE_DT1</t>
  </si>
  <si>
    <t>LiborSwapIsdaFixAm</t>
  </si>
  <si>
    <t>SFIX</t>
  </si>
  <si>
    <t>LiborSwapIsda</t>
  </si>
  <si>
    <t>iborSwapIsdaFixA</t>
  </si>
  <si>
    <t>SFIXA</t>
  </si>
  <si>
    <t>PRIM ACT 1</t>
  </si>
  <si>
    <t>LiborSwapIsdaFixPm</t>
  </si>
  <si>
    <t>SFIXP</t>
  </si>
  <si>
    <t>-</t>
  </si>
  <si>
    <t>LiborSwapIsdaFixA</t>
  </si>
  <si>
    <t>SFIXLA</t>
  </si>
  <si>
    <t>LiborSwapIsdaFixB</t>
  </si>
  <si>
    <t>SFIXLB</t>
  </si>
  <si>
    <t>Abs Delta</t>
  </si>
  <si>
    <t>ibor365</t>
  </si>
  <si>
    <t>IB365</t>
  </si>
  <si>
    <t>EvaluationDate</t>
  </si>
  <si>
    <t>USD_MMIndicesAddLastFixing</t>
  </si>
  <si>
    <t>USD_InterestRateQuotesFeed!EONIAOIS</t>
  </si>
  <si>
    <t>MID</t>
  </si>
  <si>
    <t>STD</t>
  </si>
  <si>
    <t>LastFixingsTrigger</t>
  </si>
  <si>
    <t>JoinHolidays</t>
  </si>
  <si>
    <t>UnitedStates::Settlement</t>
  </si>
  <si>
    <t>OVERNIGHT INDEX CALENDAR</t>
  </si>
  <si>
    <t>Join Calendar Rule</t>
  </si>
  <si>
    <t>First Calendar</t>
  </si>
  <si>
    <t>Second Calendar</t>
  </si>
  <si>
    <t>OverNightIndexCalendar</t>
  </si>
  <si>
    <t>Index</t>
  </si>
  <si>
    <t>Relinkable Handle</t>
  </si>
  <si>
    <t>LastFixing_Quote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</si>
</sst>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mm/dd/yy;@"/>
    <numFmt numFmtId="172" formatCode="ddd\,\ dd\-mmm\-yyyy"/>
    <numFmt numFmtId="173" formatCode="0.000"/>
    <numFmt numFmtId="174" formatCode="0.000%"/>
    <numFmt numFmtId="175" formatCode="ddd\,\ dd\-mmm\-yyyy\,\ h:mm:ss"/>
    <numFmt numFmtId="176" formatCode="ddd\,\ dd\-mmm\-yyyy\ h:mm:ss"/>
    <numFmt numFmtId="177" formatCode="ddd\,\ dd\-mmm\-yyyy\,\ hh:mm:ss"/>
    <numFmt numFmtId="178" formatCode="ddd\,\ dd\-mmm\-yy"/>
  </numFmts>
  <fonts count="30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MS Sans Serif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b/>
      <sz val="12"/>
      <name val="MS Sans Serif"/>
      <family val="2"/>
    </font>
    <font>
      <i/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</font>
    <font>
      <sz val="8"/>
      <color indexed="10"/>
      <name val="Microsoft Sans Serif"/>
      <family val="2"/>
    </font>
    <font>
      <sz val="8"/>
      <color indexed="9"/>
      <name val="Arial"/>
    </font>
    <font>
      <b/>
      <u/>
      <sz val="8"/>
      <name val="Arial"/>
      <family val="2"/>
    </font>
    <font>
      <sz val="8"/>
      <color indexed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color indexed="9"/>
      <name val="Arial"/>
      <family val="2"/>
    </font>
    <font>
      <sz val="8"/>
      <color indexed="12"/>
      <name val="Arial"/>
      <family val="2"/>
    </font>
    <font>
      <sz val="8"/>
      <name val="MS Sans Serif"/>
      <family val="2"/>
    </font>
    <font>
      <sz val="8"/>
      <color indexed="10"/>
      <name val="MS Sans Serif"/>
      <family val="2"/>
    </font>
    <font>
      <sz val="8"/>
      <color indexed="23"/>
      <name val="Arial"/>
      <family val="2"/>
    </font>
    <font>
      <b/>
      <sz val="12"/>
      <color indexed="12"/>
      <name val="Arial Black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gray0625">
        <fgColor indexed="22"/>
        <bgColor rgb="FFFFFF00"/>
      </patternFill>
    </fill>
  </fills>
  <borders count="3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3">
    <xf numFmtId="0" fontId="0" fillId="0" borderId="0"/>
    <xf numFmtId="0" fontId="1" fillId="0" borderId="0"/>
    <xf numFmtId="0" fontId="5" fillId="0" borderId="0"/>
    <xf numFmtId="166" fontId="6" fillId="5" borderId="0">
      <alignment horizontal="center" vertical="center"/>
    </xf>
    <xf numFmtId="9" fontId="10" fillId="0" borderId="0" applyFont="0" applyFill="0" applyBorder="0" applyAlignment="0" applyProtection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167" fontId="12" fillId="0" borderId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</cellStyleXfs>
  <cellXfs count="510">
    <xf numFmtId="0" fontId="0" fillId="0" borderId="0" xfId="0"/>
    <xf numFmtId="0" fontId="2" fillId="3" borderId="1" xfId="1" applyFont="1" applyFill="1" applyBorder="1"/>
    <xf numFmtId="0" fontId="2" fillId="3" borderId="2" xfId="1" applyFont="1" applyFill="1" applyBorder="1"/>
    <xf numFmtId="0" fontId="2" fillId="3" borderId="3" xfId="1" applyFont="1" applyFill="1" applyBorder="1"/>
    <xf numFmtId="0" fontId="2" fillId="3" borderId="4" xfId="1" applyFont="1" applyFill="1" applyBorder="1"/>
    <xf numFmtId="0" fontId="2" fillId="4" borderId="6" xfId="1" applyNumberFormat="1" applyFont="1" applyFill="1" applyBorder="1" applyAlignment="1" applyProtection="1"/>
    <xf numFmtId="0" fontId="2" fillId="3" borderId="7" xfId="1" applyFont="1" applyFill="1" applyBorder="1"/>
    <xf numFmtId="0" fontId="2" fillId="4" borderId="5" xfId="1" applyNumberFormat="1" applyFont="1" applyFill="1" applyBorder="1" applyAlignment="1" applyProtection="1">
      <alignment horizontal="center"/>
    </xf>
    <xf numFmtId="0" fontId="2" fillId="3" borderId="0" xfId="1" applyFont="1" applyFill="1" applyBorder="1"/>
    <xf numFmtId="15" fontId="2" fillId="3" borderId="4" xfId="1" applyNumberFormat="1" applyFont="1" applyFill="1" applyBorder="1"/>
    <xf numFmtId="165" fontId="2" fillId="4" borderId="6" xfId="1" applyNumberFormat="1" applyFont="1" applyFill="1" applyBorder="1" applyAlignment="1" applyProtection="1">
      <alignment horizontal="center"/>
    </xf>
    <xf numFmtId="0" fontId="2" fillId="2" borderId="5" xfId="1" applyNumberFormat="1" applyFont="1" applyFill="1" applyBorder="1"/>
    <xf numFmtId="0" fontId="1" fillId="0" borderId="0" xfId="1"/>
    <xf numFmtId="0" fontId="5" fillId="0" borderId="0" xfId="1" applyFont="1"/>
    <xf numFmtId="0" fontId="5" fillId="2" borderId="0" xfId="1" applyFont="1" applyFill="1"/>
    <xf numFmtId="165" fontId="2" fillId="4" borderId="6" xfId="1" quotePrefix="1" applyNumberFormat="1" applyFont="1" applyFill="1" applyBorder="1" applyAlignment="1" applyProtection="1">
      <alignment horizontal="center"/>
    </xf>
    <xf numFmtId="0" fontId="2" fillId="4" borderId="14" xfId="1" applyNumberFormat="1" applyFont="1" applyFill="1" applyBorder="1" applyAlignment="1" applyProtection="1"/>
    <xf numFmtId="0" fontId="2" fillId="4" borderId="6" xfId="1" applyNumberFormat="1" applyFont="1" applyFill="1" applyBorder="1" applyAlignment="1" applyProtection="1">
      <alignment horizontal="center"/>
    </xf>
    <xf numFmtId="0" fontId="3" fillId="3" borderId="5" xfId="1" applyFont="1" applyFill="1" applyBorder="1" applyAlignment="1">
      <alignment horizontal="center"/>
    </xf>
    <xf numFmtId="0" fontId="5" fillId="2" borderId="0" xfId="2" applyFont="1" applyFill="1"/>
    <xf numFmtId="0" fontId="5" fillId="3" borderId="1" xfId="1" applyFont="1" applyFill="1" applyBorder="1"/>
    <xf numFmtId="0" fontId="5" fillId="3" borderId="2" xfId="1" applyFont="1" applyFill="1" applyBorder="1"/>
    <xf numFmtId="0" fontId="5" fillId="3" borderId="3" xfId="1" applyFont="1" applyFill="1" applyBorder="1"/>
    <xf numFmtId="0" fontId="5" fillId="3" borderId="4" xfId="1" applyFont="1" applyFill="1" applyBorder="1"/>
    <xf numFmtId="0" fontId="5" fillId="4" borderId="5" xfId="1" applyNumberFormat="1" applyFont="1" applyFill="1" applyBorder="1" applyAlignment="1" applyProtection="1"/>
    <xf numFmtId="0" fontId="5" fillId="4" borderId="6" xfId="1" applyNumberFormat="1" applyFont="1" applyFill="1" applyBorder="1" applyAlignment="1" applyProtection="1"/>
    <xf numFmtId="0" fontId="5" fillId="2" borderId="5" xfId="2" applyFont="1" applyFill="1" applyBorder="1"/>
    <xf numFmtId="0" fontId="2" fillId="2" borderId="5" xfId="1" applyFont="1" applyFill="1" applyBorder="1" applyAlignment="1">
      <alignment horizontal="center"/>
    </xf>
    <xf numFmtId="0" fontId="5" fillId="2" borderId="5" xfId="1" applyFont="1" applyFill="1" applyBorder="1" applyAlignment="1">
      <alignment horizontal="center"/>
    </xf>
    <xf numFmtId="0" fontId="5" fillId="3" borderId="7" xfId="2" applyFont="1" applyFill="1" applyBorder="1"/>
    <xf numFmtId="0" fontId="5" fillId="3" borderId="4" xfId="2" applyFont="1" applyFill="1" applyBorder="1"/>
    <xf numFmtId="0" fontId="5" fillId="4" borderId="6" xfId="1" applyNumberFormat="1" applyFont="1" applyFill="1" applyBorder="1" applyAlignment="1" applyProtection="1">
      <alignment horizontal="center"/>
    </xf>
    <xf numFmtId="0" fontId="8" fillId="3" borderId="5" xfId="1" applyFont="1" applyFill="1" applyBorder="1" applyAlignment="1">
      <alignment horizontal="center"/>
    </xf>
    <xf numFmtId="0" fontId="5" fillId="3" borderId="5" xfId="2" applyFont="1" applyFill="1" applyBorder="1"/>
    <xf numFmtId="0" fontId="5" fillId="3" borderId="0" xfId="2" applyFont="1" applyFill="1" applyBorder="1"/>
    <xf numFmtId="0" fontId="5" fillId="2" borderId="5" xfId="1" applyNumberFormat="1" applyFont="1" applyFill="1" applyBorder="1"/>
    <xf numFmtId="0" fontId="5" fillId="3" borderId="8" xfId="2" applyFont="1" applyFill="1" applyBorder="1"/>
    <xf numFmtId="0" fontId="5" fillId="3" borderId="9" xfId="2" applyFont="1" applyFill="1" applyBorder="1"/>
    <xf numFmtId="0" fontId="9" fillId="3" borderId="9" xfId="2" applyFont="1" applyFill="1" applyBorder="1"/>
    <xf numFmtId="0" fontId="5" fillId="3" borderId="10" xfId="2" applyFont="1" applyFill="1" applyBorder="1"/>
    <xf numFmtId="0" fontId="5" fillId="2" borderId="5" xfId="2" applyFont="1" applyFill="1" applyBorder="1" applyAlignment="1"/>
    <xf numFmtId="0" fontId="5" fillId="2" borderId="5" xfId="1" applyFont="1" applyFill="1" applyBorder="1" applyAlignment="1"/>
    <xf numFmtId="0" fontId="5" fillId="0" borderId="0" xfId="1" applyFont="1" applyAlignment="1">
      <alignment horizontal="left"/>
    </xf>
    <xf numFmtId="0" fontId="5" fillId="3" borderId="15" xfId="1" applyFont="1" applyFill="1" applyBorder="1"/>
    <xf numFmtId="0" fontId="5" fillId="3" borderId="18" xfId="1" applyFont="1" applyFill="1" applyBorder="1" applyAlignment="1">
      <alignment horizontal="left"/>
    </xf>
    <xf numFmtId="0" fontId="5" fillId="3" borderId="18" xfId="1" applyFont="1" applyFill="1" applyBorder="1"/>
    <xf numFmtId="0" fontId="5" fillId="3" borderId="19" xfId="1" applyFont="1" applyFill="1" applyBorder="1"/>
    <xf numFmtId="0" fontId="5" fillId="3" borderId="20" xfId="1" applyFont="1" applyFill="1" applyBorder="1"/>
    <xf numFmtId="0" fontId="2" fillId="4" borderId="5" xfId="1" applyNumberFormat="1" applyFont="1" applyFill="1" applyBorder="1" applyAlignment="1" applyProtection="1">
      <alignment vertical="center"/>
    </xf>
    <xf numFmtId="0" fontId="5" fillId="3" borderId="14" xfId="1" applyNumberFormat="1" applyFont="1" applyFill="1" applyBorder="1" applyAlignment="1">
      <alignment horizontal="left"/>
    </xf>
    <xf numFmtId="0" fontId="5" fillId="3" borderId="14" xfId="1" applyNumberFormat="1" applyFont="1" applyFill="1" applyBorder="1" applyAlignment="1">
      <alignment horizontal="center"/>
    </xf>
    <xf numFmtId="0" fontId="5" fillId="3" borderId="15" xfId="1" applyNumberFormat="1" applyFont="1" applyFill="1" applyBorder="1" applyAlignment="1">
      <alignment horizontal="center"/>
    </xf>
    <xf numFmtId="49" fontId="5" fillId="0" borderId="5" xfId="4" applyNumberFormat="1" applyFont="1" applyFill="1" applyBorder="1" applyAlignment="1">
      <alignment horizontal="center"/>
    </xf>
    <xf numFmtId="0" fontId="5" fillId="3" borderId="21" xfId="1" applyFont="1" applyFill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5" fillId="0" borderId="8" xfId="1" applyFont="1" applyBorder="1" applyAlignment="1">
      <alignment horizontal="center"/>
    </xf>
    <xf numFmtId="0" fontId="5" fillId="0" borderId="9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49" fontId="5" fillId="0" borderId="14" xfId="4" applyNumberFormat="1" applyFont="1" applyFill="1" applyBorder="1" applyAlignment="1">
      <alignment horizontal="center"/>
    </xf>
    <xf numFmtId="0" fontId="2" fillId="4" borderId="6" xfId="1" applyNumberFormat="1" applyFont="1" applyFill="1" applyBorder="1" applyAlignment="1" applyProtection="1">
      <alignment horizontal="center" vertical="center"/>
    </xf>
    <xf numFmtId="0" fontId="3" fillId="3" borderId="5" xfId="1" applyFont="1" applyFill="1" applyBorder="1" applyAlignment="1">
      <alignment vertical="center"/>
    </xf>
    <xf numFmtId="0" fontId="9" fillId="3" borderId="5" xfId="1" applyFont="1" applyFill="1" applyBorder="1" applyAlignment="1">
      <alignment horizontal="center" vertical="center" wrapText="1"/>
    </xf>
    <xf numFmtId="0" fontId="9" fillId="3" borderId="6" xfId="1" applyFont="1" applyFill="1" applyBorder="1" applyAlignment="1">
      <alignment horizontal="center" vertical="center" wrapText="1"/>
    </xf>
    <xf numFmtId="0" fontId="5" fillId="3" borderId="22" xfId="1" applyFont="1" applyFill="1" applyBorder="1"/>
    <xf numFmtId="0" fontId="5" fillId="0" borderId="23" xfId="1" applyFont="1" applyBorder="1"/>
    <xf numFmtId="0" fontId="5" fillId="0" borderId="23" xfId="1" applyFont="1" applyBorder="1" applyAlignment="1">
      <alignment horizontal="left"/>
    </xf>
    <xf numFmtId="0" fontId="5" fillId="3" borderId="23" xfId="1" applyFont="1" applyFill="1" applyBorder="1"/>
    <xf numFmtId="0" fontId="1" fillId="0" borderId="23" xfId="1" applyBorder="1"/>
    <xf numFmtId="0" fontId="1" fillId="0" borderId="23" xfId="1" applyBorder="1" applyAlignment="1">
      <alignment horizontal="left"/>
    </xf>
    <xf numFmtId="169" fontId="2" fillId="4" borderId="6" xfId="1" quotePrefix="1" applyNumberFormat="1" applyFont="1" applyFill="1" applyBorder="1" applyAlignment="1" applyProtection="1">
      <alignment horizontal="center"/>
    </xf>
    <xf numFmtId="170" fontId="2" fillId="4" borderId="6" xfId="1" quotePrefix="1" applyNumberFormat="1" applyFont="1" applyFill="1" applyBorder="1" applyAlignment="1" applyProtection="1">
      <alignment horizontal="center"/>
    </xf>
    <xf numFmtId="0" fontId="5" fillId="3" borderId="24" xfId="1" applyFont="1" applyFill="1" applyBorder="1" applyAlignment="1">
      <alignment horizontal="left"/>
    </xf>
    <xf numFmtId="0" fontId="13" fillId="0" borderId="0" xfId="1" applyFont="1"/>
    <xf numFmtId="0" fontId="5" fillId="3" borderId="20" xfId="1" applyFont="1" applyFill="1" applyBorder="1" applyAlignment="1">
      <alignment horizontal="center"/>
    </xf>
    <xf numFmtId="164" fontId="14" fillId="4" borderId="5" xfId="1" applyNumberFormat="1" applyFont="1" applyFill="1" applyBorder="1" applyAlignment="1" applyProtection="1">
      <alignment horizontal="left"/>
    </xf>
    <xf numFmtId="0" fontId="5" fillId="3" borderId="5" xfId="1" applyNumberFormat="1" applyFont="1" applyFill="1" applyBorder="1" applyAlignment="1"/>
    <xf numFmtId="0" fontId="9" fillId="3" borderId="5" xfId="1" applyFont="1" applyFill="1" applyBorder="1" applyAlignment="1"/>
    <xf numFmtId="0" fontId="14" fillId="4" borderId="5" xfId="1" applyNumberFormat="1" applyFont="1" applyFill="1" applyBorder="1" applyAlignment="1" applyProtection="1">
      <alignment vertical="center"/>
    </xf>
    <xf numFmtId="0" fontId="2" fillId="4" borderId="5" xfId="1" applyNumberFormat="1" applyFont="1" applyFill="1" applyBorder="1" applyAlignment="1" applyProtection="1">
      <alignment horizontal="center" vertical="center"/>
    </xf>
    <xf numFmtId="0" fontId="5" fillId="3" borderId="5" xfId="1" applyFont="1" applyFill="1" applyBorder="1" applyAlignment="1">
      <alignment vertical="center"/>
    </xf>
    <xf numFmtId="0" fontId="13" fillId="3" borderId="22" xfId="1" applyFont="1" applyFill="1" applyBorder="1"/>
    <xf numFmtId="0" fontId="13" fillId="3" borderId="23" xfId="1" applyFont="1" applyFill="1" applyBorder="1"/>
    <xf numFmtId="0" fontId="13" fillId="3" borderId="24" xfId="1" applyFont="1" applyFill="1" applyBorder="1"/>
    <xf numFmtId="0" fontId="1" fillId="0" borderId="0" xfId="1" applyAlignment="1">
      <alignment horizontal="left"/>
    </xf>
    <xf numFmtId="0" fontId="10" fillId="0" borderId="0" xfId="1" applyFont="1"/>
    <xf numFmtId="0" fontId="5" fillId="3" borderId="2" xfId="1" applyFont="1" applyFill="1" applyBorder="1" applyAlignment="1">
      <alignment horizontal="left"/>
    </xf>
    <xf numFmtId="0" fontId="14" fillId="4" borderId="14" xfId="1" applyNumberFormat="1" applyFont="1" applyFill="1" applyBorder="1" applyAlignment="1" applyProtection="1"/>
    <xf numFmtId="0" fontId="5" fillId="3" borderId="14" xfId="1" applyNumberFormat="1" applyFont="1" applyFill="1" applyBorder="1" applyAlignment="1"/>
    <xf numFmtId="0" fontId="5" fillId="3" borderId="19" xfId="1" applyNumberFormat="1" applyFont="1" applyFill="1" applyBorder="1" applyAlignment="1"/>
    <xf numFmtId="0" fontId="5" fillId="3" borderId="17" xfId="1" applyNumberFormat="1" applyFont="1" applyFill="1" applyBorder="1" applyAlignment="1"/>
    <xf numFmtId="0" fontId="5" fillId="3" borderId="16" xfId="1" applyNumberFormat="1" applyFont="1" applyFill="1" applyBorder="1" applyAlignment="1"/>
    <xf numFmtId="0" fontId="5" fillId="3" borderId="7" xfId="1" applyFont="1" applyFill="1" applyBorder="1" applyAlignment="1">
      <alignment horizontal="center"/>
    </xf>
    <xf numFmtId="0" fontId="5" fillId="3" borderId="18" xfId="1" applyNumberFormat="1" applyFont="1" applyFill="1" applyBorder="1" applyAlignment="1"/>
    <xf numFmtId="0" fontId="14" fillId="4" borderId="25" xfId="1" applyNumberFormat="1" applyFont="1" applyFill="1" applyBorder="1" applyAlignment="1" applyProtection="1"/>
    <xf numFmtId="0" fontId="5" fillId="3" borderId="25" xfId="1" applyNumberFormat="1" applyFont="1" applyFill="1" applyBorder="1" applyAlignment="1"/>
    <xf numFmtId="0" fontId="5" fillId="3" borderId="24" xfId="1" applyNumberFormat="1" applyFont="1" applyFill="1" applyBorder="1" applyAlignment="1"/>
    <xf numFmtId="0" fontId="5" fillId="3" borderId="23" xfId="1" applyNumberFormat="1" applyFont="1" applyFill="1" applyBorder="1" applyAlignment="1"/>
    <xf numFmtId="0" fontId="14" fillId="4" borderId="26" xfId="1" applyNumberFormat="1" applyFont="1" applyFill="1" applyBorder="1" applyAlignment="1" applyProtection="1"/>
    <xf numFmtId="0" fontId="5" fillId="3" borderId="26" xfId="1" applyNumberFormat="1" applyFont="1" applyFill="1" applyBorder="1" applyAlignment="1"/>
    <xf numFmtId="0" fontId="5" fillId="3" borderId="21" xfId="1" applyNumberFormat="1" applyFont="1" applyFill="1" applyBorder="1" applyAlignment="1"/>
    <xf numFmtId="0" fontId="5" fillId="3" borderId="0" xfId="1" applyNumberFormat="1" applyFont="1" applyFill="1" applyBorder="1" applyAlignment="1"/>
    <xf numFmtId="0" fontId="14" fillId="4" borderId="25" xfId="1" applyNumberFormat="1" applyFont="1" applyFill="1" applyBorder="1" applyAlignment="1" applyProtection="1">
      <alignment vertical="center"/>
    </xf>
    <xf numFmtId="0" fontId="2" fillId="4" borderId="25" xfId="1" applyNumberFormat="1" applyFont="1" applyFill="1" applyBorder="1" applyAlignment="1" applyProtection="1">
      <alignment horizontal="center" vertical="center"/>
    </xf>
    <xf numFmtId="0" fontId="3" fillId="3" borderId="24" xfId="1" applyFont="1" applyFill="1" applyBorder="1" applyAlignment="1">
      <alignment vertical="center"/>
    </xf>
    <xf numFmtId="0" fontId="9" fillId="3" borderId="23" xfId="1" applyFont="1" applyFill="1" applyBorder="1" applyAlignment="1">
      <alignment horizontal="center" vertical="center" wrapText="1"/>
    </xf>
    <xf numFmtId="0" fontId="9" fillId="3" borderId="24" xfId="1" applyFont="1" applyFill="1" applyBorder="1" applyAlignment="1">
      <alignment horizontal="center" vertical="center" wrapText="1"/>
    </xf>
    <xf numFmtId="0" fontId="5" fillId="3" borderId="0" xfId="1" applyFont="1" applyFill="1" applyBorder="1"/>
    <xf numFmtId="0" fontId="13" fillId="3" borderId="1" xfId="1" applyFont="1" applyFill="1" applyBorder="1"/>
    <xf numFmtId="0" fontId="13" fillId="3" borderId="2" xfId="1" applyFont="1" applyFill="1" applyBorder="1"/>
    <xf numFmtId="0" fontId="15" fillId="3" borderId="3" xfId="1" applyFont="1" applyFill="1" applyBorder="1"/>
    <xf numFmtId="0" fontId="13" fillId="3" borderId="4" xfId="1" applyFont="1" applyFill="1" applyBorder="1"/>
    <xf numFmtId="171" fontId="5" fillId="3" borderId="16" xfId="10" applyNumberFormat="1" applyFont="1" applyFill="1" applyBorder="1" applyAlignment="1">
      <alignment horizontal="center"/>
    </xf>
    <xf numFmtId="0" fontId="5" fillId="3" borderId="19" xfId="1" applyFont="1" applyFill="1" applyBorder="1" applyAlignment="1">
      <alignment horizontal="left"/>
    </xf>
    <xf numFmtId="0" fontId="5" fillId="3" borderId="5" xfId="1" applyFont="1" applyFill="1" applyBorder="1" applyAlignment="1">
      <alignment horizontal="center"/>
    </xf>
    <xf numFmtId="0" fontId="5" fillId="3" borderId="17" xfId="1" applyFont="1" applyFill="1" applyBorder="1" applyAlignment="1">
      <alignment horizontal="center"/>
    </xf>
    <xf numFmtId="0" fontId="9" fillId="3" borderId="5" xfId="1" applyFont="1" applyFill="1" applyBorder="1" applyAlignment="1">
      <alignment horizontal="center"/>
    </xf>
    <xf numFmtId="0" fontId="15" fillId="3" borderId="7" xfId="1" applyFont="1" applyFill="1" applyBorder="1"/>
    <xf numFmtId="164" fontId="14" fillId="4" borderId="14" xfId="1" applyNumberFormat="1" applyFont="1" applyFill="1" applyBorder="1" applyAlignment="1" applyProtection="1">
      <alignment horizontal="left"/>
    </xf>
    <xf numFmtId="171" fontId="5" fillId="3" borderId="19" xfId="10" applyNumberFormat="1" applyFont="1" applyFill="1" applyBorder="1" applyAlignment="1">
      <alignment horizontal="center"/>
    </xf>
    <xf numFmtId="0" fontId="5" fillId="3" borderId="14" xfId="1" applyFont="1" applyFill="1" applyBorder="1" applyAlignment="1">
      <alignment horizontal="center"/>
    </xf>
    <xf numFmtId="0" fontId="5" fillId="3" borderId="18" xfId="1" applyFont="1" applyFill="1" applyBorder="1" applyAlignment="1">
      <alignment horizontal="center"/>
    </xf>
    <xf numFmtId="0" fontId="9" fillId="3" borderId="14" xfId="1" applyFont="1" applyFill="1" applyBorder="1" applyAlignment="1">
      <alignment horizontal="center"/>
    </xf>
    <xf numFmtId="0" fontId="13" fillId="3" borderId="7" xfId="1" applyFont="1" applyFill="1" applyBorder="1"/>
    <xf numFmtId="0" fontId="15" fillId="3" borderId="8" xfId="1" applyFont="1" applyFill="1" applyBorder="1"/>
    <xf numFmtId="0" fontId="13" fillId="0" borderId="9" xfId="1" applyFont="1" applyBorder="1"/>
    <xf numFmtId="0" fontId="13" fillId="0" borderId="9" xfId="1" applyFont="1" applyBorder="1" applyAlignment="1">
      <alignment horizontal="center"/>
    </xf>
    <xf numFmtId="0" fontId="16" fillId="3" borderId="9" xfId="1" applyFont="1" applyFill="1" applyBorder="1"/>
    <xf numFmtId="0" fontId="13" fillId="3" borderId="10" xfId="1" applyFont="1" applyFill="1" applyBorder="1"/>
    <xf numFmtId="0" fontId="13" fillId="3" borderId="15" xfId="1" applyFont="1" applyFill="1" applyBorder="1"/>
    <xf numFmtId="0" fontId="13" fillId="3" borderId="18" xfId="1" applyFont="1" applyFill="1" applyBorder="1"/>
    <xf numFmtId="0" fontId="13" fillId="3" borderId="19" xfId="1" applyFont="1" applyFill="1" applyBorder="1"/>
    <xf numFmtId="0" fontId="13" fillId="3" borderId="20" xfId="1" applyFont="1" applyFill="1" applyBorder="1"/>
    <xf numFmtId="0" fontId="13" fillId="3" borderId="5" xfId="1" applyFont="1" applyFill="1" applyBorder="1"/>
    <xf numFmtId="0" fontId="13" fillId="3" borderId="21" xfId="1" applyFont="1" applyFill="1" applyBorder="1"/>
    <xf numFmtId="0" fontId="5" fillId="3" borderId="7" xfId="1" applyFont="1" applyFill="1" applyBorder="1" applyAlignment="1">
      <alignment horizontal="left"/>
    </xf>
    <xf numFmtId="0" fontId="2" fillId="4" borderId="5" xfId="1" applyNumberFormat="1" applyFont="1" applyFill="1" applyBorder="1" applyAlignment="1" applyProtection="1"/>
    <xf numFmtId="0" fontId="5" fillId="3" borderId="5" xfId="1" applyNumberFormat="1" applyFont="1" applyFill="1" applyBorder="1" applyAlignment="1">
      <alignment horizontal="center"/>
    </xf>
    <xf numFmtId="0" fontId="5" fillId="3" borderId="6" xfId="1" applyNumberFormat="1" applyFont="1" applyFill="1" applyBorder="1" applyAlignment="1">
      <alignment horizontal="center"/>
    </xf>
    <xf numFmtId="170" fontId="5" fillId="0" borderId="5" xfId="10" applyNumberFormat="1" applyFont="1" applyFill="1" applyBorder="1" applyAlignment="1">
      <alignment horizontal="center"/>
    </xf>
    <xf numFmtId="170" fontId="5" fillId="0" borderId="14" xfId="10" applyNumberFormat="1" applyFont="1" applyFill="1" applyBorder="1" applyAlignment="1">
      <alignment horizontal="center"/>
    </xf>
    <xf numFmtId="0" fontId="9" fillId="3" borderId="17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8" xfId="1" applyFont="1" applyFill="1" applyBorder="1"/>
    <xf numFmtId="0" fontId="1" fillId="0" borderId="9" xfId="1" applyBorder="1"/>
    <xf numFmtId="0" fontId="1" fillId="0" borderId="9" xfId="1" applyBorder="1" applyAlignment="1">
      <alignment horizontal="left"/>
    </xf>
    <xf numFmtId="0" fontId="5" fillId="3" borderId="9" xfId="1" applyFont="1" applyFill="1" applyBorder="1"/>
    <xf numFmtId="170" fontId="5" fillId="0" borderId="27" xfId="10" applyNumberFormat="1" applyFont="1" applyFill="1" applyBorder="1" applyAlignment="1">
      <alignment horizontal="center"/>
    </xf>
    <xf numFmtId="170" fontId="5" fillId="0" borderId="28" xfId="10" applyNumberFormat="1" applyFont="1" applyFill="1" applyBorder="1" applyAlignment="1">
      <alignment horizontal="center"/>
    </xf>
    <xf numFmtId="0" fontId="9" fillId="3" borderId="16" xfId="1" applyFont="1" applyFill="1" applyBorder="1" applyAlignment="1">
      <alignment horizontal="center" vertical="center" wrapText="1"/>
    </xf>
    <xf numFmtId="0" fontId="5" fillId="3" borderId="27" xfId="1" applyFont="1" applyFill="1" applyBorder="1" applyAlignment="1">
      <alignment horizontal="center" vertical="center" wrapText="1"/>
    </xf>
    <xf numFmtId="0" fontId="5" fillId="0" borderId="3" xfId="1" applyFont="1" applyBorder="1"/>
    <xf numFmtId="0" fontId="5" fillId="0" borderId="7" xfId="1" applyFont="1" applyBorder="1"/>
    <xf numFmtId="0" fontId="5" fillId="0" borderId="1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13" fillId="0" borderId="0" xfId="1" applyFont="1" applyAlignment="1">
      <alignment horizontal="left"/>
    </xf>
    <xf numFmtId="0" fontId="5" fillId="3" borderId="2" xfId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/>
    </xf>
    <xf numFmtId="0" fontId="5" fillId="0" borderId="14" xfId="10" applyNumberFormat="1" applyFont="1" applyFill="1" applyBorder="1" applyAlignment="1">
      <alignment horizontal="center"/>
    </xf>
    <xf numFmtId="0" fontId="5" fillId="0" borderId="4" xfId="1" quotePrefix="1" applyFont="1" applyBorder="1" applyAlignment="1">
      <alignment horizontal="center"/>
    </xf>
    <xf numFmtId="0" fontId="5" fillId="0" borderId="0" xfId="1" quotePrefix="1" applyFont="1" applyBorder="1" applyAlignment="1">
      <alignment horizontal="center"/>
    </xf>
    <xf numFmtId="0" fontId="5" fillId="0" borderId="5" xfId="10" applyNumberFormat="1" applyFont="1" applyFill="1" applyBorder="1" applyAlignment="1">
      <alignment horizontal="center"/>
    </xf>
    <xf numFmtId="0" fontId="13" fillId="0" borderId="9" xfId="1" applyFont="1" applyBorder="1" applyAlignment="1">
      <alignment horizontal="left"/>
    </xf>
    <xf numFmtId="0" fontId="5" fillId="3" borderId="10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center"/>
    </xf>
    <xf numFmtId="164" fontId="2" fillId="4" borderId="14" xfId="1" applyNumberFormat="1" applyFont="1" applyFill="1" applyBorder="1" applyAlignment="1" applyProtection="1">
      <alignment horizontal="left"/>
    </xf>
    <xf numFmtId="0" fontId="9" fillId="3" borderId="19" xfId="1" applyFont="1" applyFill="1" applyBorder="1" applyAlignment="1"/>
    <xf numFmtId="164" fontId="2" fillId="4" borderId="25" xfId="1" applyNumberFormat="1" applyFont="1" applyFill="1" applyBorder="1" applyAlignment="1" applyProtection="1">
      <alignment horizontal="left"/>
    </xf>
    <xf numFmtId="0" fontId="9" fillId="3" borderId="24" xfId="1" applyFont="1" applyFill="1" applyBorder="1" applyAlignment="1"/>
    <xf numFmtId="0" fontId="3" fillId="3" borderId="5" xfId="1" applyFont="1" applyFill="1" applyBorder="1" applyAlignment="1">
      <alignment horizontal="left"/>
    </xf>
    <xf numFmtId="0" fontId="5" fillId="3" borderId="5" xfId="1" applyFont="1" applyFill="1" applyBorder="1" applyAlignment="1"/>
    <xf numFmtId="0" fontId="13" fillId="3" borderId="8" xfId="1" applyFont="1" applyFill="1" applyBorder="1"/>
    <xf numFmtId="0" fontId="13" fillId="3" borderId="9" xfId="1" applyFont="1" applyFill="1" applyBorder="1"/>
    <xf numFmtId="0" fontId="13" fillId="3" borderId="9" xfId="1" applyFont="1" applyFill="1" applyBorder="1" applyAlignment="1">
      <alignment horizontal="center"/>
    </xf>
    <xf numFmtId="0" fontId="5" fillId="3" borderId="5" xfId="1" applyNumberFormat="1" applyFont="1" applyFill="1" applyBorder="1" applyAlignment="1">
      <alignment horizontal="left"/>
    </xf>
    <xf numFmtId="170" fontId="5" fillId="3" borderId="5" xfId="4" applyNumberFormat="1" applyFont="1" applyFill="1" applyBorder="1" applyAlignment="1">
      <alignment horizontal="left"/>
    </xf>
    <xf numFmtId="0" fontId="5" fillId="0" borderId="5" xfId="4" applyNumberFormat="1" applyFont="1" applyFill="1" applyBorder="1" applyAlignment="1">
      <alignment horizontal="center"/>
    </xf>
    <xf numFmtId="0" fontId="2" fillId="4" borderId="25" xfId="1" applyNumberFormat="1" applyFont="1" applyFill="1" applyBorder="1" applyAlignment="1" applyProtection="1">
      <alignment vertical="center"/>
    </xf>
    <xf numFmtId="0" fontId="17" fillId="3" borderId="5" xfId="1" applyNumberFormat="1" applyFont="1" applyFill="1" applyBorder="1" applyAlignment="1"/>
    <xf numFmtId="0" fontId="2" fillId="4" borderId="22" xfId="1" applyNumberFormat="1" applyFont="1" applyFill="1" applyBorder="1" applyAlignment="1" applyProtection="1">
      <alignment horizontal="center" vertical="center"/>
    </xf>
    <xf numFmtId="0" fontId="3" fillId="3" borderId="25" xfId="1" applyFont="1" applyFill="1" applyBorder="1" applyAlignment="1">
      <alignment vertical="center"/>
    </xf>
    <xf numFmtId="0" fontId="9" fillId="3" borderId="25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5" fillId="0" borderId="9" xfId="1" applyFont="1" applyBorder="1"/>
    <xf numFmtId="0" fontId="14" fillId="4" borderId="5" xfId="1" applyNumberFormat="1" applyFont="1" applyFill="1" applyBorder="1" applyAlignment="1" applyProtection="1"/>
    <xf numFmtId="0" fontId="17" fillId="0" borderId="2" xfId="1" applyFont="1" applyBorder="1" applyAlignment="1">
      <alignment horizontal="center"/>
    </xf>
    <xf numFmtId="171" fontId="5" fillId="3" borderId="14" xfId="10" applyNumberFormat="1" applyFont="1" applyFill="1" applyBorder="1" applyAlignment="1">
      <alignment horizontal="center"/>
    </xf>
    <xf numFmtId="171" fontId="5" fillId="3" borderId="14" xfId="10" applyNumberFormat="1" applyFont="1" applyFill="1" applyBorder="1" applyAlignment="1">
      <alignment horizontal="left"/>
    </xf>
    <xf numFmtId="0" fontId="13" fillId="0" borderId="0" xfId="1" applyFont="1" applyAlignment="1">
      <alignment horizontal="center"/>
    </xf>
    <xf numFmtId="0" fontId="13" fillId="0" borderId="5" xfId="1" applyFont="1" applyFill="1" applyBorder="1"/>
    <xf numFmtId="0" fontId="13" fillId="0" borderId="5" xfId="1" applyFont="1" applyFill="1" applyBorder="1" applyAlignment="1">
      <alignment horizontal="center"/>
    </xf>
    <xf numFmtId="0" fontId="9" fillId="0" borderId="17" xfId="1" applyFont="1" applyBorder="1" applyAlignment="1">
      <alignment horizontal="center" vertical="center" wrapText="1"/>
    </xf>
    <xf numFmtId="0" fontId="5" fillId="3" borderId="29" xfId="1" applyFont="1" applyFill="1" applyBorder="1"/>
    <xf numFmtId="170" fontId="5" fillId="0" borderId="20" xfId="4" applyNumberFormat="1" applyFont="1" applyFill="1" applyBorder="1" applyAlignment="1">
      <alignment horizontal="center"/>
    </xf>
    <xf numFmtId="169" fontId="5" fillId="0" borderId="0" xfId="4" applyNumberFormat="1" applyFont="1" applyFill="1" applyBorder="1" applyAlignment="1">
      <alignment horizontal="center"/>
    </xf>
    <xf numFmtId="170" fontId="5" fillId="0" borderId="21" xfId="4" applyNumberFormat="1" applyFont="1" applyFill="1" applyBorder="1" applyAlignment="1">
      <alignment horizontal="center"/>
    </xf>
    <xf numFmtId="0" fontId="5" fillId="3" borderId="0" xfId="1" applyFont="1" applyFill="1" applyBorder="1" applyAlignment="1">
      <alignment horizontal="center"/>
    </xf>
    <xf numFmtId="169" fontId="5" fillId="0" borderId="26" xfId="4" applyNumberFormat="1" applyFont="1" applyBorder="1"/>
    <xf numFmtId="169" fontId="5" fillId="0" borderId="20" xfId="4" applyNumberFormat="1" applyFont="1" applyFill="1" applyBorder="1" applyAlignment="1">
      <alignment horizontal="center"/>
    </xf>
    <xf numFmtId="170" fontId="5" fillId="0" borderId="0" xfId="4" applyNumberFormat="1" applyFont="1" applyFill="1" applyBorder="1" applyAlignment="1"/>
    <xf numFmtId="0" fontId="5" fillId="0" borderId="21" xfId="4" applyNumberFormat="1" applyFont="1" applyFill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0" borderId="18" xfId="1" applyFont="1" applyBorder="1" applyAlignment="1">
      <alignment horizontal="center"/>
    </xf>
    <xf numFmtId="0" fontId="5" fillId="0" borderId="19" xfId="1" applyFont="1" applyBorder="1" applyAlignment="1">
      <alignment horizontal="center"/>
    </xf>
    <xf numFmtId="0" fontId="5" fillId="0" borderId="20" xfId="1" applyFont="1" applyBorder="1" applyAlignment="1">
      <alignment horizontal="center"/>
    </xf>
    <xf numFmtId="0" fontId="5" fillId="0" borderId="21" xfId="1" applyFont="1" applyBorder="1" applyAlignment="1">
      <alignment horizontal="center"/>
    </xf>
    <xf numFmtId="170" fontId="5" fillId="0" borderId="15" xfId="4" applyNumberFormat="1" applyFont="1" applyFill="1" applyBorder="1" applyAlignment="1">
      <alignment horizontal="center"/>
    </xf>
    <xf numFmtId="169" fontId="5" fillId="0" borderId="18" xfId="4" applyNumberFormat="1" applyFont="1" applyFill="1" applyBorder="1" applyAlignment="1">
      <alignment horizontal="center"/>
    </xf>
    <xf numFmtId="170" fontId="5" fillId="0" borderId="19" xfId="4" applyNumberFormat="1" applyFont="1" applyFill="1" applyBorder="1" applyAlignment="1">
      <alignment horizontal="center"/>
    </xf>
    <xf numFmtId="169" fontId="5" fillId="0" borderId="14" xfId="4" applyNumberFormat="1" applyFont="1" applyBorder="1"/>
    <xf numFmtId="169" fontId="5" fillId="0" borderId="15" xfId="4" applyNumberFormat="1" applyFont="1" applyFill="1" applyBorder="1" applyAlignment="1">
      <alignment horizontal="center"/>
    </xf>
    <xf numFmtId="170" fontId="5" fillId="0" borderId="18" xfId="4" applyNumberFormat="1" applyFont="1" applyFill="1" applyBorder="1" applyAlignment="1"/>
    <xf numFmtId="0" fontId="5" fillId="0" borderId="19" xfId="4" applyNumberFormat="1" applyFont="1" applyFill="1" applyBorder="1" applyAlignment="1">
      <alignment horizontal="center"/>
    </xf>
    <xf numFmtId="170" fontId="5" fillId="0" borderId="22" xfId="4" applyNumberFormat="1" applyFont="1" applyFill="1" applyBorder="1" applyAlignment="1">
      <alignment horizontal="center"/>
    </xf>
    <xf numFmtId="169" fontId="5" fillId="0" borderId="23" xfId="4" applyNumberFormat="1" applyFont="1" applyFill="1" applyBorder="1" applyAlignment="1">
      <alignment horizontal="center"/>
    </xf>
    <xf numFmtId="169" fontId="5" fillId="0" borderId="25" xfId="4" applyNumberFormat="1" applyFont="1" applyBorder="1"/>
    <xf numFmtId="169" fontId="5" fillId="0" borderId="22" xfId="4" applyNumberFormat="1" applyFont="1" applyFill="1" applyBorder="1" applyAlignment="1">
      <alignment horizontal="center"/>
    </xf>
    <xf numFmtId="170" fontId="5" fillId="0" borderId="23" xfId="4" applyNumberFormat="1" applyFont="1" applyFill="1" applyBorder="1" applyAlignment="1"/>
    <xf numFmtId="0" fontId="5" fillId="0" borderId="24" xfId="4" applyNumberFormat="1" applyFont="1" applyFill="1" applyBorder="1" applyAlignment="1">
      <alignment horizontal="center"/>
    </xf>
    <xf numFmtId="0" fontId="5" fillId="0" borderId="6" xfId="1" applyFont="1" applyFill="1" applyBorder="1" applyAlignment="1">
      <alignment horizontal="center" vertical="center" wrapText="1"/>
    </xf>
    <xf numFmtId="0" fontId="5" fillId="0" borderId="17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 vertical="center" wrapText="1"/>
    </xf>
    <xf numFmtId="170" fontId="9" fillId="0" borderId="6" xfId="4" applyNumberFormat="1" applyFont="1" applyFill="1" applyBorder="1" applyAlignment="1">
      <alignment horizontal="center" vertical="center" wrapText="1"/>
    </xf>
    <xf numFmtId="170" fontId="9" fillId="0" borderId="16" xfId="4" applyNumberFormat="1" applyFont="1" applyFill="1" applyBorder="1" applyAlignment="1">
      <alignment horizontal="center" vertical="center" wrapText="1"/>
    </xf>
    <xf numFmtId="169" fontId="9" fillId="0" borderId="5" xfId="4" applyNumberFormat="1" applyFont="1" applyFill="1" applyBorder="1" applyAlignment="1">
      <alignment horizontal="center" vertical="center" wrapText="1"/>
    </xf>
    <xf numFmtId="169" fontId="9" fillId="0" borderId="6" xfId="4" applyNumberFormat="1" applyFont="1" applyFill="1" applyBorder="1" applyAlignment="1">
      <alignment horizontal="center" vertical="center" wrapText="1"/>
    </xf>
    <xf numFmtId="0" fontId="5" fillId="0" borderId="0" xfId="1" applyFont="1" applyFill="1" applyBorder="1"/>
    <xf numFmtId="0" fontId="5" fillId="3" borderId="0" xfId="1" applyFont="1" applyFill="1"/>
    <xf numFmtId="0" fontId="16" fillId="3" borderId="0" xfId="1" applyFont="1" applyFill="1" applyBorder="1"/>
    <xf numFmtId="0" fontId="5" fillId="3" borderId="7" xfId="1" applyFont="1" applyFill="1" applyBorder="1"/>
    <xf numFmtId="0" fontId="5" fillId="3" borderId="10" xfId="1" applyFont="1" applyFill="1" applyBorder="1"/>
    <xf numFmtId="10" fontId="5" fillId="0" borderId="0" xfId="4" applyNumberFormat="1" applyFont="1"/>
    <xf numFmtId="0" fontId="5" fillId="3" borderId="1" xfId="1" applyFont="1" applyFill="1" applyBorder="1" applyAlignment="1">
      <alignment horizontal="center"/>
    </xf>
    <xf numFmtId="170" fontId="5" fillId="0" borderId="6" xfId="4" applyNumberFormat="1" applyFont="1" applyFill="1" applyBorder="1" applyAlignment="1">
      <alignment horizontal="center"/>
    </xf>
    <xf numFmtId="169" fontId="5" fillId="0" borderId="5" xfId="4" applyNumberFormat="1" applyFont="1" applyFill="1" applyBorder="1" applyAlignment="1">
      <alignment horizontal="center"/>
    </xf>
    <xf numFmtId="169" fontId="5" fillId="0" borderId="6" xfId="4" applyNumberFormat="1" applyFont="1" applyFill="1" applyBorder="1" applyAlignment="1">
      <alignment horizontal="center"/>
    </xf>
    <xf numFmtId="0" fontId="5" fillId="0" borderId="17" xfId="4" applyNumberFormat="1" applyFont="1" applyFill="1" applyBorder="1" applyAlignment="1"/>
    <xf numFmtId="169" fontId="5" fillId="0" borderId="17" xfId="4" applyNumberFormat="1" applyFont="1" applyFill="1" applyBorder="1" applyAlignment="1"/>
    <xf numFmtId="0" fontId="5" fillId="0" borderId="17" xfId="4" applyNumberFormat="1" applyFont="1" applyFill="1" applyBorder="1" applyAlignment="1">
      <alignment horizontal="center"/>
    </xf>
    <xf numFmtId="0" fontId="5" fillId="0" borderId="16" xfId="4" applyNumberFormat="1" applyFont="1" applyFill="1" applyBorder="1" applyAlignment="1">
      <alignment horizontal="center"/>
    </xf>
    <xf numFmtId="170" fontId="5" fillId="0" borderId="19" xfId="4" applyNumberFormat="1" applyFont="1" applyFill="1" applyBorder="1" applyAlignment="1"/>
    <xf numFmtId="169" fontId="5" fillId="0" borderId="14" xfId="4" applyNumberFormat="1" applyFont="1" applyFill="1" applyBorder="1" applyAlignment="1">
      <alignment horizontal="center"/>
    </xf>
    <xf numFmtId="0" fontId="5" fillId="0" borderId="18" xfId="4" applyNumberFormat="1" applyFont="1" applyFill="1" applyBorder="1" applyAlignment="1"/>
    <xf numFmtId="169" fontId="5" fillId="0" borderId="18" xfId="4" applyNumberFormat="1" applyFont="1" applyFill="1" applyBorder="1" applyAlignment="1"/>
    <xf numFmtId="0" fontId="5" fillId="0" borderId="18" xfId="4" applyNumberFormat="1" applyFont="1" applyFill="1" applyBorder="1" applyAlignment="1">
      <alignment horizontal="center"/>
    </xf>
    <xf numFmtId="170" fontId="5" fillId="0" borderId="21" xfId="4" applyNumberFormat="1" applyFont="1" applyFill="1" applyBorder="1" applyAlignment="1"/>
    <xf numFmtId="169" fontId="5" fillId="0" borderId="26" xfId="4" applyNumberFormat="1" applyFont="1" applyFill="1" applyBorder="1" applyAlignment="1">
      <alignment horizontal="center"/>
    </xf>
    <xf numFmtId="0" fontId="5" fillId="0" borderId="0" xfId="4" applyNumberFormat="1" applyFont="1" applyFill="1" applyBorder="1" applyAlignment="1"/>
    <xf numFmtId="169" fontId="5" fillId="0" borderId="0" xfId="4" applyNumberFormat="1" applyFont="1" applyFill="1" applyBorder="1" applyAlignment="1"/>
    <xf numFmtId="0" fontId="5" fillId="0" borderId="0" xfId="4" applyNumberFormat="1" applyFont="1" applyFill="1" applyBorder="1" applyAlignment="1">
      <alignment horizontal="center"/>
    </xf>
    <xf numFmtId="170" fontId="5" fillId="0" borderId="24" xfId="4" applyNumberFormat="1" applyFont="1" applyFill="1" applyBorder="1" applyAlignment="1"/>
    <xf numFmtId="169" fontId="5" fillId="0" borderId="25" xfId="4" applyNumberFormat="1" applyFont="1" applyFill="1" applyBorder="1" applyAlignment="1">
      <alignment horizontal="center"/>
    </xf>
    <xf numFmtId="0" fontId="5" fillId="0" borderId="23" xfId="4" applyNumberFormat="1" applyFont="1" applyFill="1" applyBorder="1" applyAlignment="1"/>
    <xf numFmtId="169" fontId="5" fillId="0" borderId="23" xfId="4" applyNumberFormat="1" applyFont="1" applyFill="1" applyBorder="1" applyAlignment="1"/>
    <xf numFmtId="0" fontId="5" fillId="0" borderId="23" xfId="4" applyNumberFormat="1" applyFont="1" applyFill="1" applyBorder="1" applyAlignment="1">
      <alignment horizontal="center"/>
    </xf>
    <xf numFmtId="0" fontId="5" fillId="0" borderId="0" xfId="1" applyFont="1" applyAlignment="1">
      <alignment horizontal="center" vertical="center"/>
    </xf>
    <xf numFmtId="0" fontId="9" fillId="0" borderId="17" xfId="1" applyFont="1" applyFill="1" applyBorder="1" applyAlignment="1">
      <alignment horizontal="center" vertical="center" wrapText="1"/>
    </xf>
    <xf numFmtId="169" fontId="9" fillId="0" borderId="17" xfId="4" applyNumberFormat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/>
    </xf>
    <xf numFmtId="0" fontId="9" fillId="8" borderId="5" xfId="1" applyFont="1" applyFill="1" applyBorder="1" applyAlignment="1">
      <alignment horizontal="center"/>
    </xf>
    <xf numFmtId="0" fontId="5" fillId="0" borderId="10" xfId="1" applyFont="1" applyFill="1" applyBorder="1"/>
    <xf numFmtId="0" fontId="20" fillId="3" borderId="3" xfId="1" applyFont="1" applyFill="1" applyBorder="1"/>
    <xf numFmtId="169" fontId="5" fillId="0" borderId="19" xfId="4" applyNumberFormat="1" applyFont="1" applyFill="1" applyBorder="1" applyAlignment="1">
      <alignment horizontal="center"/>
    </xf>
    <xf numFmtId="169" fontId="5" fillId="0" borderId="14" xfId="1" applyNumberFormat="1" applyFont="1" applyBorder="1"/>
    <xf numFmtId="164" fontId="5" fillId="0" borderId="18" xfId="4" applyNumberFormat="1" applyFont="1" applyFill="1" applyBorder="1" applyAlignment="1">
      <alignment horizontal="center"/>
    </xf>
    <xf numFmtId="172" fontId="5" fillId="0" borderId="18" xfId="4" applyNumberFormat="1" applyFont="1" applyFill="1" applyBorder="1" applyAlignment="1">
      <alignment horizontal="center"/>
    </xf>
    <xf numFmtId="1" fontId="5" fillId="0" borderId="18" xfId="4" applyNumberFormat="1" applyFont="1" applyFill="1" applyBorder="1" applyAlignment="1">
      <alignment horizontal="center"/>
    </xf>
    <xf numFmtId="1" fontId="5" fillId="0" borderId="19" xfId="4" applyNumberFormat="1" applyFont="1" applyFill="1" applyBorder="1" applyAlignment="1">
      <alignment horizontal="center"/>
    </xf>
    <xf numFmtId="0" fontId="20" fillId="3" borderId="7" xfId="1" applyFont="1" applyFill="1" applyBorder="1"/>
    <xf numFmtId="169" fontId="5" fillId="0" borderId="21" xfId="4" applyNumberFormat="1" applyFont="1" applyFill="1" applyBorder="1" applyAlignment="1">
      <alignment horizontal="center"/>
    </xf>
    <xf numFmtId="169" fontId="5" fillId="0" borderId="26" xfId="1" applyNumberFormat="1" applyFont="1" applyBorder="1"/>
    <xf numFmtId="164" fontId="5" fillId="0" borderId="0" xfId="4" applyNumberFormat="1" applyFont="1" applyFill="1" applyBorder="1" applyAlignment="1">
      <alignment horizontal="center"/>
    </xf>
    <xf numFmtId="172" fontId="5" fillId="0" borderId="0" xfId="4" applyNumberFormat="1" applyFont="1" applyFill="1" applyBorder="1" applyAlignment="1">
      <alignment horizontal="center"/>
    </xf>
    <xf numFmtId="1" fontId="5" fillId="0" borderId="0" xfId="4" applyNumberFormat="1" applyFont="1" applyFill="1" applyBorder="1" applyAlignment="1">
      <alignment horizontal="center"/>
    </xf>
    <xf numFmtId="1" fontId="5" fillId="0" borderId="21" xfId="4" applyNumberFormat="1" applyFont="1" applyFill="1" applyBorder="1" applyAlignment="1">
      <alignment horizontal="center"/>
    </xf>
    <xf numFmtId="169" fontId="5" fillId="0" borderId="26" xfId="1" applyNumberFormat="1" applyFont="1" applyFill="1" applyBorder="1"/>
    <xf numFmtId="169" fontId="5" fillId="0" borderId="24" xfId="4" applyNumberFormat="1" applyFont="1" applyFill="1" applyBorder="1" applyAlignment="1">
      <alignment horizontal="center"/>
    </xf>
    <xf numFmtId="169" fontId="5" fillId="0" borderId="25" xfId="1" applyNumberFormat="1" applyFont="1" applyFill="1" applyBorder="1"/>
    <xf numFmtId="164" fontId="5" fillId="0" borderId="23" xfId="4" applyNumberFormat="1" applyFont="1" applyFill="1" applyBorder="1" applyAlignment="1">
      <alignment horizontal="center"/>
    </xf>
    <xf numFmtId="172" fontId="5" fillId="0" borderId="23" xfId="4" applyNumberFormat="1" applyFont="1" applyFill="1" applyBorder="1" applyAlignment="1">
      <alignment horizontal="center"/>
    </xf>
    <xf numFmtId="1" fontId="5" fillId="0" borderId="23" xfId="4" applyNumberFormat="1" applyFont="1" applyFill="1" applyBorder="1" applyAlignment="1">
      <alignment horizontal="center"/>
    </xf>
    <xf numFmtId="1" fontId="5" fillId="0" borderId="24" xfId="4" applyNumberFormat="1" applyFont="1" applyFill="1" applyBorder="1" applyAlignment="1">
      <alignment horizontal="center"/>
    </xf>
    <xf numFmtId="169" fontId="9" fillId="0" borderId="16" xfId="4" applyNumberFormat="1" applyFont="1" applyFill="1" applyBorder="1" applyAlignment="1">
      <alignment horizontal="center" vertical="center" wrapText="1"/>
    </xf>
    <xf numFmtId="0" fontId="20" fillId="3" borderId="4" xfId="1" applyFont="1" applyFill="1" applyBorder="1"/>
    <xf numFmtId="0" fontId="20" fillId="3" borderId="8" xfId="1" applyFont="1" applyFill="1" applyBorder="1"/>
    <xf numFmtId="0" fontId="5" fillId="3" borderId="9" xfId="1" applyFont="1" applyFill="1" applyBorder="1" applyAlignment="1">
      <alignment horizontal="center"/>
    </xf>
    <xf numFmtId="169" fontId="9" fillId="0" borderId="22" xfId="4" applyNumberFormat="1" applyFont="1" applyFill="1" applyBorder="1" applyAlignment="1">
      <alignment horizontal="center" vertical="center" wrapText="1"/>
    </xf>
    <xf numFmtId="169" fontId="9" fillId="0" borderId="23" xfId="4" applyNumberFormat="1" applyFont="1" applyFill="1" applyBorder="1" applyAlignment="1">
      <alignment horizontal="center" vertical="center" wrapText="1"/>
    </xf>
    <xf numFmtId="169" fontId="9" fillId="0" borderId="25" xfId="4" applyNumberFormat="1" applyFont="1" applyFill="1" applyBorder="1" applyAlignment="1">
      <alignment horizontal="center" vertical="center" wrapText="1"/>
    </xf>
    <xf numFmtId="170" fontId="9" fillId="0" borderId="22" xfId="4" applyNumberFormat="1" applyFont="1" applyFill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 wrapText="1"/>
    </xf>
    <xf numFmtId="169" fontId="9" fillId="0" borderId="24" xfId="4" applyNumberFormat="1" applyFont="1" applyFill="1" applyBorder="1" applyAlignment="1">
      <alignment horizontal="center" vertical="center" wrapText="1"/>
    </xf>
    <xf numFmtId="0" fontId="5" fillId="0" borderId="1" xfId="1" applyFont="1" applyBorder="1"/>
    <xf numFmtId="0" fontId="5" fillId="0" borderId="2" xfId="1" applyFont="1" applyBorder="1"/>
    <xf numFmtId="0" fontId="5" fillId="0" borderId="4" xfId="1" applyFont="1" applyBorder="1"/>
    <xf numFmtId="0" fontId="5" fillId="0" borderId="0" xfId="1" applyFont="1" applyBorder="1"/>
    <xf numFmtId="173" fontId="5" fillId="0" borderId="15" xfId="4" applyNumberFormat="1" applyFont="1" applyFill="1" applyBorder="1" applyAlignment="1"/>
    <xf numFmtId="169" fontId="5" fillId="0" borderId="19" xfId="4" applyNumberFormat="1" applyFont="1" applyFill="1" applyBorder="1" applyAlignment="1"/>
    <xf numFmtId="169" fontId="5" fillId="3" borderId="0" xfId="4" applyNumberFormat="1" applyFont="1" applyFill="1" applyBorder="1" applyAlignment="1">
      <alignment horizontal="center"/>
    </xf>
    <xf numFmtId="173" fontId="5" fillId="0" borderId="14" xfId="4" applyNumberFormat="1" applyFont="1" applyFill="1" applyBorder="1" applyAlignment="1"/>
    <xf numFmtId="164" fontId="5" fillId="3" borderId="0" xfId="4" applyNumberFormat="1" applyFont="1" applyFill="1" applyBorder="1" applyAlignment="1">
      <alignment horizontal="center"/>
    </xf>
    <xf numFmtId="172" fontId="5" fillId="0" borderId="19" xfId="4" applyNumberFormat="1" applyFont="1" applyFill="1" applyBorder="1" applyAlignment="1"/>
    <xf numFmtId="172" fontId="5" fillId="0" borderId="15" xfId="4" applyNumberFormat="1" applyFont="1" applyFill="1" applyBorder="1" applyAlignment="1"/>
    <xf numFmtId="0" fontId="5" fillId="0" borderId="8" xfId="1" applyFont="1" applyBorder="1"/>
    <xf numFmtId="174" fontId="5" fillId="0" borderId="22" xfId="4" applyNumberFormat="1" applyFont="1" applyFill="1" applyBorder="1" applyAlignment="1"/>
    <xf numFmtId="174" fontId="5" fillId="0" borderId="25" xfId="4" applyNumberFormat="1" applyFont="1" applyFill="1" applyBorder="1" applyAlignment="1"/>
    <xf numFmtId="0" fontId="5" fillId="0" borderId="24" xfId="4" applyNumberFormat="1" applyFont="1" applyFill="1" applyBorder="1" applyAlignment="1"/>
    <xf numFmtId="2" fontId="5" fillId="0" borderId="20" xfId="4" applyNumberFormat="1" applyFont="1" applyFill="1" applyBorder="1" applyAlignment="1"/>
    <xf numFmtId="169" fontId="5" fillId="0" borderId="21" xfId="4" applyNumberFormat="1" applyFont="1" applyFill="1" applyBorder="1" applyAlignment="1"/>
    <xf numFmtId="172" fontId="9" fillId="0" borderId="6" xfId="4" applyNumberFormat="1" applyFont="1" applyFill="1" applyBorder="1" applyAlignment="1">
      <alignment horizontal="center" vertical="center" wrapText="1"/>
    </xf>
    <xf numFmtId="0" fontId="5" fillId="0" borderId="10" xfId="1" applyFont="1" applyBorder="1"/>
    <xf numFmtId="0" fontId="20" fillId="0" borderId="0" xfId="1" applyFont="1" applyFill="1"/>
    <xf numFmtId="0" fontId="5" fillId="3" borderId="16" xfId="1" applyFont="1" applyFill="1" applyBorder="1" applyAlignment="1">
      <alignment horizontal="center" wrapText="1"/>
    </xf>
    <xf numFmtId="170" fontId="5" fillId="0" borderId="0" xfId="4" applyNumberFormat="1" applyFont="1"/>
    <xf numFmtId="2" fontId="5" fillId="0" borderId="14" xfId="4" applyNumberFormat="1" applyFont="1" applyBorder="1"/>
    <xf numFmtId="2" fontId="5" fillId="7" borderId="15" xfId="4" applyNumberFormat="1" applyFont="1" applyFill="1" applyBorder="1" applyAlignment="1">
      <alignment horizontal="center"/>
    </xf>
    <xf numFmtId="2" fontId="5" fillId="0" borderId="18" xfId="4" applyNumberFormat="1" applyFont="1" applyFill="1" applyBorder="1" applyAlignment="1"/>
    <xf numFmtId="2" fontId="5" fillId="0" borderId="26" xfId="4" applyNumberFormat="1" applyFont="1" applyBorder="1"/>
    <xf numFmtId="2" fontId="5" fillId="7" borderId="20" xfId="4" applyNumberFormat="1" applyFont="1" applyFill="1" applyBorder="1" applyAlignment="1">
      <alignment horizontal="center"/>
    </xf>
    <xf numFmtId="2" fontId="5" fillId="0" borderId="0" xfId="4" applyNumberFormat="1" applyFont="1" applyFill="1" applyBorder="1" applyAlignment="1"/>
    <xf numFmtId="2" fontId="5" fillId="0" borderId="20" xfId="4" applyNumberFormat="1" applyFont="1" applyFill="1" applyBorder="1" applyAlignment="1">
      <alignment horizontal="center"/>
    </xf>
    <xf numFmtId="2" fontId="5" fillId="3" borderId="7" xfId="1" applyNumberFormat="1" applyFont="1" applyFill="1" applyBorder="1" applyAlignment="1">
      <alignment horizontal="center"/>
    </xf>
    <xf numFmtId="0" fontId="5" fillId="3" borderId="24" xfId="1" applyFont="1" applyFill="1" applyBorder="1" applyAlignment="1">
      <alignment horizontal="center"/>
    </xf>
    <xf numFmtId="0" fontId="1" fillId="3" borderId="3" xfId="1" applyFill="1" applyBorder="1"/>
    <xf numFmtId="0" fontId="21" fillId="3" borderId="0" xfId="1" applyFont="1" applyFill="1" applyBorder="1" applyAlignment="1">
      <alignment horizontal="right"/>
    </xf>
    <xf numFmtId="0" fontId="22" fillId="3" borderId="0" xfId="1" applyFont="1" applyFill="1" applyBorder="1" applyAlignment="1">
      <alignment horizontal="center"/>
    </xf>
    <xf numFmtId="0" fontId="4" fillId="3" borderId="7" xfId="1" applyFont="1" applyFill="1" applyBorder="1"/>
    <xf numFmtId="0" fontId="22" fillId="3" borderId="4" xfId="1" applyFont="1" applyFill="1" applyBorder="1"/>
    <xf numFmtId="0" fontId="22" fillId="3" borderId="15" xfId="1" applyFont="1" applyFill="1" applyBorder="1" applyAlignment="1">
      <alignment horizontal="center"/>
    </xf>
    <xf numFmtId="0" fontId="22" fillId="3" borderId="14" xfId="1" applyFont="1" applyFill="1" applyBorder="1" applyAlignment="1">
      <alignment horizontal="center"/>
    </xf>
    <xf numFmtId="0" fontId="22" fillId="3" borderId="20" xfId="1" applyFont="1" applyFill="1" applyBorder="1" applyAlignment="1">
      <alignment horizontal="center"/>
    </xf>
    <xf numFmtId="0" fontId="22" fillId="3" borderId="26" xfId="1" applyFont="1" applyFill="1" applyBorder="1" applyAlignment="1">
      <alignment horizontal="center"/>
    </xf>
    <xf numFmtId="0" fontId="22" fillId="3" borderId="0" xfId="1" applyFont="1" applyFill="1" applyBorder="1"/>
    <xf numFmtId="0" fontId="22" fillId="3" borderId="6" xfId="1" applyFont="1" applyFill="1" applyBorder="1" applyAlignment="1">
      <alignment horizontal="center"/>
    </xf>
    <xf numFmtId="0" fontId="22" fillId="3" borderId="5" xfId="1" applyFont="1" applyFill="1" applyBorder="1" applyAlignment="1">
      <alignment horizontal="center"/>
    </xf>
    <xf numFmtId="1" fontId="22" fillId="3" borderId="15" xfId="1" applyNumberFormat="1" applyFont="1" applyFill="1" applyBorder="1" applyAlignment="1">
      <alignment horizontal="center"/>
    </xf>
    <xf numFmtId="0" fontId="22" fillId="2" borderId="14" xfId="1" applyFont="1" applyFill="1" applyBorder="1"/>
    <xf numFmtId="1" fontId="22" fillId="3" borderId="20" xfId="1" applyNumberFormat="1" applyFont="1" applyFill="1" applyBorder="1" applyAlignment="1">
      <alignment horizontal="center"/>
    </xf>
    <xf numFmtId="0" fontId="22" fillId="2" borderId="26" xfId="1" applyFont="1" applyFill="1" applyBorder="1"/>
    <xf numFmtId="0" fontId="22" fillId="3" borderId="20" xfId="1" applyNumberFormat="1" applyFont="1" applyFill="1" applyBorder="1" applyAlignment="1">
      <alignment horizontal="center"/>
    </xf>
    <xf numFmtId="176" fontId="22" fillId="3" borderId="20" xfId="1" applyNumberFormat="1" applyFont="1" applyFill="1" applyBorder="1" applyAlignment="1">
      <alignment horizontal="center"/>
    </xf>
    <xf numFmtId="0" fontId="22" fillId="3" borderId="22" xfId="1" applyFont="1" applyFill="1" applyBorder="1" applyAlignment="1">
      <alignment horizontal="center"/>
    </xf>
    <xf numFmtId="0" fontId="22" fillId="2" borderId="25" xfId="1" applyFont="1" applyFill="1" applyBorder="1"/>
    <xf numFmtId="0" fontId="4" fillId="3" borderId="4" xfId="1" applyFont="1" applyFill="1" applyBorder="1"/>
    <xf numFmtId="0" fontId="4" fillId="3" borderId="0" xfId="1" applyFont="1" applyFill="1" applyBorder="1"/>
    <xf numFmtId="0" fontId="13" fillId="0" borderId="0" xfId="11"/>
    <xf numFmtId="0" fontId="13" fillId="3" borderId="0" xfId="11" applyFill="1"/>
    <xf numFmtId="0" fontId="13" fillId="3" borderId="1" xfId="11" quotePrefix="1" applyFill="1" applyBorder="1"/>
    <xf numFmtId="0" fontId="13" fillId="3" borderId="2" xfId="11" quotePrefix="1" applyFill="1" applyBorder="1"/>
    <xf numFmtId="0" fontId="13" fillId="3" borderId="3" xfId="11" applyFill="1" applyBorder="1"/>
    <xf numFmtId="0" fontId="13" fillId="3" borderId="4" xfId="11" applyFill="1" applyBorder="1"/>
    <xf numFmtId="0" fontId="13" fillId="3" borderId="0" xfId="11" applyFill="1" applyBorder="1"/>
    <xf numFmtId="0" fontId="13" fillId="3" borderId="7" xfId="11" applyFill="1" applyBorder="1"/>
    <xf numFmtId="14" fontId="13" fillId="3" borderId="0" xfId="11" applyNumberFormat="1" applyFill="1"/>
    <xf numFmtId="177" fontId="13" fillId="3" borderId="0" xfId="11" applyNumberFormat="1" applyFill="1"/>
    <xf numFmtId="0" fontId="13" fillId="3" borderId="8" xfId="11" applyFill="1" applyBorder="1"/>
    <xf numFmtId="0" fontId="13" fillId="3" borderId="9" xfId="11" applyFill="1" applyBorder="1"/>
    <xf numFmtId="0" fontId="13" fillId="3" borderId="10" xfId="11" applyFill="1" applyBorder="1"/>
    <xf numFmtId="169" fontId="24" fillId="3" borderId="0" xfId="12" applyNumberFormat="1" applyFont="1" applyFill="1"/>
    <xf numFmtId="0" fontId="24" fillId="3" borderId="0" xfId="11" applyFont="1" applyFill="1" applyAlignment="1">
      <alignment horizontal="left"/>
    </xf>
    <xf numFmtId="0" fontId="13" fillId="2" borderId="1" xfId="11" applyFill="1" applyBorder="1"/>
    <xf numFmtId="0" fontId="13" fillId="2" borderId="2" xfId="11" applyFill="1" applyBorder="1"/>
    <xf numFmtId="169" fontId="24" fillId="2" borderId="2" xfId="12" applyNumberFormat="1" applyFont="1" applyFill="1" applyBorder="1"/>
    <xf numFmtId="0" fontId="24" fillId="2" borderId="2" xfId="11" applyFont="1" applyFill="1" applyBorder="1" applyAlignment="1">
      <alignment horizontal="left"/>
    </xf>
    <xf numFmtId="0" fontId="13" fillId="2" borderId="3" xfId="11" applyFill="1" applyBorder="1"/>
    <xf numFmtId="0" fontId="13" fillId="2" borderId="4" xfId="11" applyFill="1" applyBorder="1"/>
    <xf numFmtId="170" fontId="5" fillId="0" borderId="14" xfId="12" applyNumberFormat="1" applyFont="1" applyFill="1" applyBorder="1" applyAlignment="1">
      <alignment horizontal="center"/>
    </xf>
    <xf numFmtId="170" fontId="5" fillId="0" borderId="15" xfId="12" applyNumberFormat="1" applyFont="1" applyFill="1" applyBorder="1" applyAlignment="1"/>
    <xf numFmtId="170" fontId="5" fillId="0" borderId="18" xfId="12" applyNumberFormat="1" applyFont="1" applyFill="1" applyBorder="1" applyAlignment="1"/>
    <xf numFmtId="170" fontId="5" fillId="0" borderId="19" xfId="12" applyNumberFormat="1" applyFont="1" applyFill="1" applyBorder="1" applyAlignment="1"/>
    <xf numFmtId="0" fontId="13" fillId="2" borderId="0" xfId="11" applyFill="1" applyBorder="1" applyAlignment="1"/>
    <xf numFmtId="0" fontId="13" fillId="0" borderId="15" xfId="11" applyBorder="1" applyAlignment="1"/>
    <xf numFmtId="169" fontId="5" fillId="0" borderId="18" xfId="12" applyNumberFormat="1" applyFont="1" applyFill="1" applyBorder="1" applyAlignment="1"/>
    <xf numFmtId="178" fontId="5" fillId="0" borderId="18" xfId="12" applyNumberFormat="1" applyFont="1" applyFill="1" applyBorder="1" applyAlignment="1"/>
    <xf numFmtId="170" fontId="9" fillId="0" borderId="19" xfId="12" applyNumberFormat="1" applyFont="1" applyFill="1" applyBorder="1" applyAlignment="1"/>
    <xf numFmtId="0" fontId="13" fillId="2" borderId="7" xfId="11" applyFill="1" applyBorder="1"/>
    <xf numFmtId="170" fontId="5" fillId="0" borderId="26" xfId="12" applyNumberFormat="1" applyFont="1" applyFill="1" applyBorder="1" applyAlignment="1">
      <alignment horizontal="center"/>
    </xf>
    <xf numFmtId="170" fontId="5" fillId="0" borderId="20" xfId="12" applyNumberFormat="1" applyFont="1" applyFill="1" applyBorder="1" applyAlignment="1"/>
    <xf numFmtId="170" fontId="5" fillId="0" borderId="0" xfId="12" applyNumberFormat="1" applyFont="1" applyFill="1" applyBorder="1" applyAlignment="1"/>
    <xf numFmtId="170" fontId="5" fillId="0" borderId="21" xfId="12" applyNumberFormat="1" applyFont="1" applyFill="1" applyBorder="1" applyAlignment="1"/>
    <xf numFmtId="0" fontId="13" fillId="0" borderId="20" xfId="11" applyBorder="1" applyAlignment="1"/>
    <xf numFmtId="169" fontId="5" fillId="0" borderId="0" xfId="12" applyNumberFormat="1" applyFont="1" applyFill="1" applyBorder="1" applyAlignment="1"/>
    <xf numFmtId="178" fontId="5" fillId="0" borderId="0" xfId="12" applyNumberFormat="1" applyFont="1" applyFill="1" applyBorder="1" applyAlignment="1"/>
    <xf numFmtId="170" fontId="9" fillId="0" borderId="21" xfId="12" applyNumberFormat="1" applyFont="1" applyFill="1" applyBorder="1" applyAlignment="1"/>
    <xf numFmtId="170" fontId="5" fillId="0" borderId="25" xfId="12" applyNumberFormat="1" applyFont="1" applyFill="1" applyBorder="1" applyAlignment="1">
      <alignment horizontal="center"/>
    </xf>
    <xf numFmtId="170" fontId="5" fillId="0" borderId="22" xfId="12" applyNumberFormat="1" applyFont="1" applyFill="1" applyBorder="1" applyAlignment="1"/>
    <xf numFmtId="170" fontId="5" fillId="0" borderId="23" xfId="12" applyNumberFormat="1" applyFont="1" applyFill="1" applyBorder="1" applyAlignment="1"/>
    <xf numFmtId="170" fontId="5" fillId="0" borderId="24" xfId="12" applyNumberFormat="1" applyFont="1" applyFill="1" applyBorder="1" applyAlignment="1"/>
    <xf numFmtId="0" fontId="13" fillId="0" borderId="22" xfId="11" applyBorder="1" applyAlignment="1"/>
    <xf numFmtId="169" fontId="5" fillId="0" borderId="23" xfId="12" applyNumberFormat="1" applyFont="1" applyFill="1" applyBorder="1" applyAlignment="1"/>
    <xf numFmtId="178" fontId="5" fillId="0" borderId="23" xfId="12" applyNumberFormat="1" applyFont="1" applyFill="1" applyBorder="1" applyAlignment="1"/>
    <xf numFmtId="170" fontId="9" fillId="0" borderId="24" xfId="12" applyNumberFormat="1" applyFont="1" applyFill="1" applyBorder="1" applyAlignment="1"/>
    <xf numFmtId="170" fontId="9" fillId="0" borderId="5" xfId="12" applyNumberFormat="1" applyFont="1" applyFill="1" applyBorder="1" applyAlignment="1">
      <alignment horizontal="center" vertical="center" wrapText="1"/>
    </xf>
    <xf numFmtId="170" fontId="9" fillId="0" borderId="6" xfId="12" applyNumberFormat="1" applyFont="1" applyFill="1" applyBorder="1" applyAlignment="1">
      <alignment horizontal="center" vertical="center" wrapText="1"/>
    </xf>
    <xf numFmtId="170" fontId="9" fillId="0" borderId="17" xfId="12" applyNumberFormat="1" applyFont="1" applyFill="1" applyBorder="1" applyAlignment="1">
      <alignment horizontal="center" vertical="center" wrapText="1"/>
    </xf>
    <xf numFmtId="170" fontId="9" fillId="0" borderId="16" xfId="12" applyNumberFormat="1" applyFont="1" applyFill="1" applyBorder="1" applyAlignment="1">
      <alignment horizontal="center" vertical="center" wrapText="1"/>
    </xf>
    <xf numFmtId="0" fontId="13" fillId="2" borderId="0" xfId="11" applyFill="1" applyBorder="1"/>
    <xf numFmtId="0" fontId="13" fillId="2" borderId="8" xfId="11" applyFill="1" applyBorder="1"/>
    <xf numFmtId="0" fontId="13" fillId="2" borderId="9" xfId="11" applyFill="1" applyBorder="1"/>
    <xf numFmtId="170" fontId="13" fillId="2" borderId="9" xfId="11" applyNumberFormat="1" applyFill="1" applyBorder="1"/>
    <xf numFmtId="0" fontId="25" fillId="2" borderId="9" xfId="11" applyFont="1" applyFill="1" applyBorder="1"/>
    <xf numFmtId="0" fontId="24" fillId="2" borderId="9" xfId="11" applyFont="1" applyFill="1" applyBorder="1"/>
    <xf numFmtId="0" fontId="24" fillId="2" borderId="9" xfId="11" applyFont="1" applyFill="1" applyBorder="1" applyAlignment="1">
      <alignment horizontal="left"/>
    </xf>
    <xf numFmtId="0" fontId="25" fillId="2" borderId="9" xfId="11" applyFont="1" applyFill="1" applyBorder="1" applyAlignment="1">
      <alignment horizontal="center"/>
    </xf>
    <xf numFmtId="0" fontId="13" fillId="2" borderId="10" xfId="11" applyFill="1" applyBorder="1"/>
    <xf numFmtId="0" fontId="24" fillId="3" borderId="0" xfId="11" applyFont="1" applyFill="1"/>
    <xf numFmtId="0" fontId="13" fillId="3" borderId="1" xfId="11" applyFill="1" applyBorder="1"/>
    <xf numFmtId="0" fontId="13" fillId="3" borderId="2" xfId="11" applyFill="1" applyBorder="1"/>
    <xf numFmtId="170" fontId="5" fillId="0" borderId="14" xfId="12" applyNumberFormat="1" applyFont="1" applyFill="1" applyBorder="1" applyAlignment="1"/>
    <xf numFmtId="170" fontId="5" fillId="0" borderId="26" xfId="12" applyNumberFormat="1" applyFont="1" applyFill="1" applyBorder="1" applyAlignment="1"/>
    <xf numFmtId="0" fontId="13" fillId="3" borderId="4" xfId="11" quotePrefix="1" applyFill="1" applyBorder="1"/>
    <xf numFmtId="0" fontId="13" fillId="3" borderId="0" xfId="11" quotePrefix="1" applyFill="1" applyBorder="1"/>
    <xf numFmtId="0" fontId="13" fillId="3" borderId="8" xfId="11" quotePrefix="1" applyFill="1" applyBorder="1"/>
    <xf numFmtId="0" fontId="13" fillId="3" borderId="9" xfId="11" quotePrefix="1" applyFill="1" applyBorder="1"/>
    <xf numFmtId="0" fontId="5" fillId="0" borderId="0" xfId="12" applyNumberFormat="1" applyFont="1" applyFill="1" applyBorder="1" applyAlignment="1"/>
    <xf numFmtId="0" fontId="5" fillId="0" borderId="23" xfId="12" applyNumberFormat="1" applyFont="1" applyFill="1" applyBorder="1" applyAlignment="1"/>
    <xf numFmtId="10" fontId="0" fillId="3" borderId="0" xfId="12" applyNumberFormat="1" applyFont="1" applyFill="1"/>
    <xf numFmtId="170" fontId="0" fillId="3" borderId="0" xfId="12" applyNumberFormat="1" applyFont="1" applyFill="1"/>
    <xf numFmtId="0" fontId="5" fillId="3" borderId="4" xfId="11" applyFont="1" applyFill="1" applyBorder="1"/>
    <xf numFmtId="0" fontId="10" fillId="3" borderId="7" xfId="11" applyFont="1" applyFill="1" applyBorder="1"/>
    <xf numFmtId="0" fontId="5" fillId="9" borderId="0" xfId="11" applyFont="1" applyFill="1" applyAlignment="1">
      <alignment horizontal="left"/>
    </xf>
    <xf numFmtId="165" fontId="2" fillId="4" borderId="5" xfId="1" applyNumberFormat="1" applyFont="1" applyFill="1" applyBorder="1" applyAlignment="1" applyProtection="1">
      <alignment horizontal="center"/>
    </xf>
    <xf numFmtId="165" fontId="2" fillId="4" borderId="5" xfId="1" quotePrefix="1" applyNumberFormat="1" applyFont="1" applyFill="1" applyBorder="1" applyAlignment="1" applyProtection="1">
      <alignment horizontal="left"/>
    </xf>
    <xf numFmtId="165" fontId="2" fillId="4" borderId="5" xfId="1" quotePrefix="1" applyNumberFormat="1" applyFont="1" applyFill="1" applyBorder="1" applyAlignment="1" applyProtection="1">
      <alignment horizontal="center"/>
    </xf>
    <xf numFmtId="0" fontId="5" fillId="2" borderId="5" xfId="11" applyFont="1" applyFill="1" applyBorder="1"/>
    <xf numFmtId="172" fontId="5" fillId="0" borderId="5" xfId="12" applyNumberFormat="1" applyFont="1" applyFill="1" applyBorder="1" applyAlignment="1">
      <alignment horizontal="center"/>
    </xf>
    <xf numFmtId="0" fontId="9" fillId="0" borderId="16" xfId="1" applyFont="1" applyFill="1" applyBorder="1" applyAlignment="1">
      <alignment horizontal="center" vertical="center" wrapText="1"/>
    </xf>
    <xf numFmtId="0" fontId="1" fillId="0" borderId="0" xfId="1" applyAlignment="1">
      <alignment horizontal="center"/>
    </xf>
    <xf numFmtId="2" fontId="5" fillId="0" borderId="21" xfId="4" applyNumberFormat="1" applyFont="1" applyFill="1" applyBorder="1" applyAlignment="1">
      <alignment horizontal="center"/>
    </xf>
    <xf numFmtId="2" fontId="5" fillId="0" borderId="19" xfId="4" applyNumberFormat="1" applyFont="1" applyFill="1" applyBorder="1" applyAlignment="1">
      <alignment horizontal="center"/>
    </xf>
    <xf numFmtId="170" fontId="5" fillId="10" borderId="20" xfId="4" applyNumberFormat="1" applyFont="1" applyFill="1" applyBorder="1" applyAlignment="1">
      <alignment horizontal="center"/>
    </xf>
    <xf numFmtId="0" fontId="13" fillId="0" borderId="0" xfId="1" quotePrefix="1" applyFont="1"/>
    <xf numFmtId="169" fontId="9" fillId="0" borderId="16" xfId="4" applyNumberFormat="1" applyFont="1" applyFill="1" applyBorder="1" applyAlignment="1">
      <alignment horizontal="center" vertical="center" wrapText="1"/>
    </xf>
    <xf numFmtId="174" fontId="5" fillId="0" borderId="24" xfId="4" applyNumberFormat="1" applyFont="1" applyFill="1" applyBorder="1" applyAlignment="1"/>
    <xf numFmtId="173" fontId="5" fillId="0" borderId="19" xfId="4" applyNumberFormat="1" applyFont="1" applyFill="1" applyBorder="1" applyAlignment="1"/>
    <xf numFmtId="169" fontId="5" fillId="0" borderId="16" xfId="4" applyNumberFormat="1" applyFont="1" applyFill="1" applyBorder="1" applyAlignment="1">
      <alignment horizontal="center"/>
    </xf>
    <xf numFmtId="169" fontId="9" fillId="0" borderId="16" xfId="4" applyNumberFormat="1" applyFont="1" applyFill="1" applyBorder="1" applyAlignment="1">
      <alignment horizontal="center" vertical="center" wrapText="1"/>
    </xf>
    <xf numFmtId="0" fontId="1" fillId="11" borderId="0" xfId="1" applyFill="1"/>
    <xf numFmtId="0" fontId="5" fillId="11" borderId="0" xfId="1" applyFont="1" applyFill="1" applyBorder="1"/>
    <xf numFmtId="0" fontId="5" fillId="11" borderId="0" xfId="2" applyFill="1"/>
    <xf numFmtId="175" fontId="23" fillId="3" borderId="0" xfId="1" applyNumberFormat="1" applyFont="1" applyFill="1" applyBorder="1" applyAlignment="1">
      <alignment horizontal="center"/>
    </xf>
    <xf numFmtId="0" fontId="17" fillId="3" borderId="0" xfId="1" quotePrefix="1" applyFont="1" applyFill="1" applyBorder="1" applyAlignment="1">
      <alignment horizontal="center"/>
    </xf>
    <xf numFmtId="0" fontId="9" fillId="0" borderId="5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/>
    </xf>
    <xf numFmtId="169" fontId="5" fillId="0" borderId="25" xfId="1" applyNumberFormat="1" applyFont="1" applyBorder="1" applyAlignment="1">
      <alignment horizontal="center"/>
    </xf>
    <xf numFmtId="169" fontId="5" fillId="0" borderId="26" xfId="1" applyNumberFormat="1" applyFont="1" applyBorder="1" applyAlignment="1">
      <alignment horizontal="center"/>
    </xf>
    <xf numFmtId="169" fontId="5" fillId="0" borderId="14" xfId="1" applyNumberFormat="1" applyFont="1" applyBorder="1" applyAlignment="1">
      <alignment horizontal="center"/>
    </xf>
    <xf numFmtId="0" fontId="8" fillId="3" borderId="5" xfId="1" applyFont="1" applyFill="1" applyBorder="1" applyAlignment="1">
      <alignment vertical="center"/>
    </xf>
    <xf numFmtId="0" fontId="5" fillId="4" borderId="5" xfId="1" applyNumberFormat="1" applyFont="1" applyFill="1" applyBorder="1" applyAlignment="1" applyProtection="1">
      <alignment horizontal="center" vertical="center"/>
    </xf>
    <xf numFmtId="0" fontId="5" fillId="4" borderId="5" xfId="1" applyNumberFormat="1" applyFont="1" applyFill="1" applyBorder="1" applyAlignment="1" applyProtection="1">
      <alignment vertical="center"/>
    </xf>
    <xf numFmtId="170" fontId="5" fillId="0" borderId="5" xfId="10" applyNumberFormat="1" applyFont="1" applyFill="1" applyBorder="1" applyAlignment="1">
      <alignment horizontal="right"/>
    </xf>
    <xf numFmtId="0" fontId="5" fillId="3" borderId="0" xfId="1" applyNumberFormat="1" applyFont="1" applyFill="1" applyBorder="1" applyAlignment="1">
      <alignment horizontal="center"/>
    </xf>
    <xf numFmtId="170" fontId="5" fillId="3" borderId="0" xfId="10" applyNumberFormat="1" applyFont="1" applyFill="1" applyBorder="1" applyAlignment="1">
      <alignment horizontal="center"/>
    </xf>
    <xf numFmtId="0" fontId="5" fillId="3" borderId="0" xfId="1" applyNumberFormat="1" applyFont="1" applyFill="1" applyBorder="1" applyAlignment="1">
      <alignment horizontal="left"/>
    </xf>
    <xf numFmtId="0" fontId="5" fillId="3" borderId="0" xfId="1" applyNumberFormat="1" applyFont="1" applyFill="1" applyBorder="1" applyAlignment="1" applyProtection="1"/>
    <xf numFmtId="0" fontId="5" fillId="3" borderId="5" xfId="1" applyNumberFormat="1" applyFont="1" applyFill="1" applyBorder="1" applyAlignment="1">
      <alignment horizontal="right"/>
    </xf>
    <xf numFmtId="0" fontId="5" fillId="0" borderId="9" xfId="1" applyFont="1" applyBorder="1" applyAlignment="1">
      <alignment horizontal="left"/>
    </xf>
    <xf numFmtId="0" fontId="26" fillId="2" borderId="0" xfId="2" applyFont="1" applyFill="1"/>
    <xf numFmtId="0" fontId="26" fillId="3" borderId="10" xfId="1" applyFont="1" applyFill="1" applyBorder="1"/>
    <xf numFmtId="0" fontId="26" fillId="3" borderId="9" xfId="1" applyFont="1" applyFill="1" applyBorder="1"/>
    <xf numFmtId="0" fontId="26" fillId="3" borderId="9" xfId="2" applyFont="1" applyFill="1" applyBorder="1"/>
    <xf numFmtId="0" fontId="26" fillId="3" borderId="8" xfId="2" applyFont="1" applyFill="1" applyBorder="1"/>
    <xf numFmtId="0" fontId="26" fillId="3" borderId="7" xfId="1" applyFont="1" applyFill="1" applyBorder="1"/>
    <xf numFmtId="0" fontId="26" fillId="3" borderId="0" xfId="1" applyFont="1" applyFill="1" applyBorder="1"/>
    <xf numFmtId="0" fontId="26" fillId="2" borderId="5" xfId="1" applyNumberFormat="1" applyFont="1" applyFill="1" applyBorder="1" applyAlignment="1">
      <alignment horizontal="center" vertical="center"/>
    </xf>
    <xf numFmtId="0" fontId="26" fillId="4" borderId="6" xfId="1" applyNumberFormat="1" applyFont="1" applyFill="1" applyBorder="1" applyAlignment="1" applyProtection="1">
      <alignment horizontal="center" vertical="center"/>
    </xf>
    <xf numFmtId="0" fontId="26" fillId="3" borderId="0" xfId="2" applyFont="1" applyFill="1" applyBorder="1"/>
    <xf numFmtId="0" fontId="26" fillId="3" borderId="4" xfId="2" applyFont="1" applyFill="1" applyBorder="1"/>
    <xf numFmtId="0" fontId="26" fillId="4" borderId="5" xfId="1" applyNumberFormat="1" applyFont="1" applyFill="1" applyBorder="1" applyAlignment="1" applyProtection="1">
      <alignment horizontal="center"/>
    </xf>
    <xf numFmtId="164" fontId="26" fillId="4" borderId="5" xfId="1" applyNumberFormat="1" applyFont="1" applyFill="1" applyBorder="1" applyAlignment="1" applyProtection="1">
      <alignment horizontal="left"/>
    </xf>
    <xf numFmtId="0" fontId="26" fillId="4" borderId="6" xfId="1" applyNumberFormat="1" applyFont="1" applyFill="1" applyBorder="1" applyAlignment="1" applyProtection="1"/>
    <xf numFmtId="170" fontId="28" fillId="0" borderId="16" xfId="12" applyNumberFormat="1" applyFont="1" applyFill="1" applyBorder="1" applyAlignment="1">
      <alignment horizontal="center" vertical="center" wrapText="1"/>
    </xf>
    <xf numFmtId="170" fontId="28" fillId="0" borderId="17" xfId="12" applyNumberFormat="1" applyFont="1" applyFill="1" applyBorder="1" applyAlignment="1">
      <alignment horizontal="center" vertical="center" wrapText="1"/>
    </xf>
    <xf numFmtId="170" fontId="28" fillId="0" borderId="6" xfId="12" applyNumberFormat="1" applyFont="1" applyFill="1" applyBorder="1" applyAlignment="1">
      <alignment horizontal="center" vertical="center" wrapText="1"/>
    </xf>
    <xf numFmtId="0" fontId="26" fillId="2" borderId="5" xfId="1" applyNumberFormat="1" applyFont="1" applyFill="1" applyBorder="1" applyAlignment="1"/>
    <xf numFmtId="0" fontId="26" fillId="4" borderId="14" xfId="1" applyNumberFormat="1" applyFont="1" applyFill="1" applyBorder="1" applyAlignment="1" applyProtection="1"/>
    <xf numFmtId="170" fontId="26" fillId="0" borderId="25" xfId="12" applyNumberFormat="1" applyFont="1" applyFill="1" applyBorder="1" applyAlignment="1">
      <alignment horizontal="center"/>
    </xf>
    <xf numFmtId="170" fontId="26" fillId="0" borderId="0" xfId="12" applyNumberFormat="1" applyFont="1" applyFill="1" applyBorder="1" applyAlignment="1"/>
    <xf numFmtId="178" fontId="26" fillId="0" borderId="0" xfId="12" applyNumberFormat="1" applyFont="1" applyFill="1" applyBorder="1" applyAlignment="1"/>
    <xf numFmtId="169" fontId="26" fillId="0" borderId="0" xfId="12" applyNumberFormat="1" applyFont="1" applyFill="1" applyBorder="1" applyAlignment="1"/>
    <xf numFmtId="170" fontId="26" fillId="0" borderId="21" xfId="12" applyNumberFormat="1" applyFont="1" applyFill="1" applyBorder="1" applyAlignment="1"/>
    <xf numFmtId="170" fontId="26" fillId="0" borderId="20" xfId="12" applyNumberFormat="1" applyFont="1" applyFill="1" applyBorder="1" applyAlignment="1"/>
    <xf numFmtId="170" fontId="26" fillId="0" borderId="26" xfId="12" applyNumberFormat="1" applyFont="1" applyFill="1" applyBorder="1" applyAlignment="1">
      <alignment horizontal="center"/>
    </xf>
    <xf numFmtId="0" fontId="26" fillId="3" borderId="3" xfId="1" applyFont="1" applyFill="1" applyBorder="1"/>
    <xf numFmtId="0" fontId="26" fillId="3" borderId="2" xfId="1" applyFont="1" applyFill="1" applyBorder="1"/>
    <xf numFmtId="0" fontId="26" fillId="3" borderId="1" xfId="1" applyFont="1" applyFill="1" applyBorder="1"/>
    <xf numFmtId="0" fontId="26" fillId="2" borderId="0" xfId="1" applyFont="1" applyFill="1"/>
    <xf numFmtId="0" fontId="29" fillId="3" borderId="0" xfId="2" applyFont="1" applyFill="1" applyBorder="1" applyAlignment="1">
      <alignment horizontal="center"/>
    </xf>
    <xf numFmtId="0" fontId="7" fillId="6" borderId="30" xfId="1" applyFont="1" applyFill="1" applyBorder="1" applyAlignment="1">
      <alignment horizontal="centerContinuous"/>
    </xf>
    <xf numFmtId="0" fontId="7" fillId="6" borderId="31" xfId="1" applyFont="1" applyFill="1" applyBorder="1" applyAlignment="1">
      <alignment horizontal="centerContinuous"/>
    </xf>
    <xf numFmtId="0" fontId="7" fillId="6" borderId="32" xfId="1" applyFont="1" applyFill="1" applyBorder="1" applyAlignment="1">
      <alignment horizontal="centerContinuous"/>
    </xf>
    <xf numFmtId="0" fontId="2" fillId="4" borderId="6" xfId="1" quotePrefix="1" applyNumberFormat="1" applyFont="1" applyFill="1" applyBorder="1" applyAlignment="1" applyProtection="1">
      <alignment horizontal="center"/>
    </xf>
    <xf numFmtId="0" fontId="26" fillId="12" borderId="14" xfId="1" applyNumberFormat="1" applyFont="1" applyFill="1" applyBorder="1" applyAlignment="1" applyProtection="1"/>
    <xf numFmtId="170" fontId="28" fillId="0" borderId="25" xfId="12" applyNumberFormat="1" applyFont="1" applyFill="1" applyBorder="1" applyAlignment="1">
      <alignment horizontal="center" vertical="center" wrapText="1"/>
    </xf>
    <xf numFmtId="0" fontId="26" fillId="3" borderId="23" xfId="2" applyFont="1" applyFill="1" applyBorder="1"/>
    <xf numFmtId="0" fontId="27" fillId="3" borderId="5" xfId="1" applyNumberFormat="1" applyFont="1" applyFill="1" applyBorder="1" applyAlignment="1">
      <alignment horizontal="center" vertical="center" wrapText="1"/>
    </xf>
    <xf numFmtId="0" fontId="26" fillId="3" borderId="0" xfId="2" applyFont="1" applyFill="1" applyBorder="1" applyAlignment="1">
      <alignment horizontal="center" vertical="center" wrapText="1"/>
    </xf>
    <xf numFmtId="0" fontId="26" fillId="0" borderId="0" xfId="11" applyFont="1" applyBorder="1" applyAlignment="1"/>
    <xf numFmtId="0" fontId="26" fillId="3" borderId="26" xfId="2" applyFont="1" applyFill="1" applyBorder="1"/>
    <xf numFmtId="0" fontId="26" fillId="3" borderId="26" xfId="1" applyFont="1" applyFill="1" applyBorder="1"/>
    <xf numFmtId="0" fontId="7" fillId="6" borderId="30" xfId="1" applyFont="1" applyFill="1" applyBorder="1" applyAlignment="1">
      <alignment horizontal="center"/>
    </xf>
    <xf numFmtId="0" fontId="7" fillId="6" borderId="31" xfId="1" applyFont="1" applyFill="1" applyBorder="1" applyAlignment="1">
      <alignment horizontal="center"/>
    </xf>
    <xf numFmtId="0" fontId="7" fillId="6" borderId="32" xfId="1" applyFont="1" applyFill="1" applyBorder="1" applyAlignment="1">
      <alignment horizontal="center"/>
    </xf>
    <xf numFmtId="169" fontId="9" fillId="0" borderId="16" xfId="4" applyNumberFormat="1" applyFont="1" applyFill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</cellXfs>
  <cellStyles count="13">
    <cellStyle name="Migliaia (0)_AZIONI" xfId="5"/>
    <cellStyle name="Migliaia_AZIONI" xfId="6"/>
    <cellStyle name="Normal" xfId="0" builtinId="0"/>
    <cellStyle name="Normal 2" xfId="1"/>
    <cellStyle name="Normal 3" xfId="11"/>
    <cellStyle name="Normal_SwaptionATMVols" xfId="2"/>
    <cellStyle name="Normale_AZIONI" xfId="7"/>
    <cellStyle name="Percent 2" xfId="4"/>
    <cellStyle name="Percent 3" xfId="10"/>
    <cellStyle name="Percent 4" xfId="12"/>
    <cellStyle name="result" xfId="3"/>
    <cellStyle name="Valuta (0)_AZIONI" xfId="8"/>
    <cellStyle name="Valuta_AZIONI" xfId="9"/>
  </cellStyles>
  <dxfs count="39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16:43:51</v>
        <stp/>
        <stp>{20CD60BE-FB4A-4147-94B7-752E2BE50647}</stp>
        <tr r="S4" s="12"/>
      </tp>
      <tp t="s">
        <v>Updated at 16:55:18</v>
        <stp/>
        <stp>{7AD114D9-65BA-4B27-84A4-F2540A22CB25}</stp>
        <tr r="O4" s="22"/>
      </tp>
      <tp t="s">
        <v>Updated at 16:43:51</v>
        <stp/>
        <stp>{1D109630-77DB-48E3-8EBB-B5E97A470A26}</stp>
        <tr r="S4" s="26"/>
      </tp>
      <tp t="s">
        <v>Updated at 16:43:51</v>
        <stp/>
        <stp>{98BA50E0-4FCC-4CCB-B0FF-99315405456F}</stp>
        <tr r="K5" s="6"/>
      </tp>
      <tp t="s">
        <v>Updated at 16:43:51</v>
        <stp/>
        <stp>{63EE17C5-5164-4265-8B2A-9D3AB5D9E517}</stp>
        <tr r="N6" s="16"/>
      </tp>
      <tp t="s">
        <v>Updated at 16:43:51</v>
        <stp/>
        <stp>{DE3C21D4-3100-4228-98DD-787D85D2FFAD}</stp>
        <tr r="M6" s="8"/>
      </tp>
      <tp t="s">
        <v>Updated at 16:43:51</v>
        <stp/>
        <stp>{64E3B603-1E7A-4516-97F1-5930577A9342}</stp>
        <tr r="F4" s="55"/>
      </tp>
      <tp t="s">
        <v>Updated at 16:55:19</v>
        <stp/>
        <stp>{3477CD2F-DCB8-4FF6-8E23-CFBEDF82C21D}</stp>
        <tr r="O5" s="18"/>
      </tp>
      <tp t="s">
        <v>Updated at 16:53:04</v>
        <stp/>
        <stp>{B7A87004-32B6-4747-AEB8-854173B28110}</stp>
        <tr r="U27" s="15"/>
      </tp>
      <tp t="s">
        <v>Updated at 16:45:05</v>
        <stp/>
        <stp>{A2C3D1AE-88B1-487D-86ED-FB8BA9C27A9E}</stp>
        <tr r="O5" s="17"/>
      </tp>
      <tp t="s">
        <v>Updated at 16:55:08</v>
        <stp/>
        <stp>{458B5B54-9FC2-47B2-AFCD-B9AECC43F4BE}</stp>
        <tr r="S4" s="13"/>
      </tp>
      <tp t="s">
        <v>Updated at 16:43:51</v>
        <stp/>
        <stp>{700CA40D-399D-4AB5-96A8-8341A18F325C}</stp>
        <tr r="D3" s="60"/>
      </tp>
      <tp t="s">
        <v>Updated at 16:55:08</v>
        <stp/>
        <stp>{A0666A9F-7522-4E95-BE02-65F4EC4B96C9}</stp>
        <tr r="H4" s="20"/>
      </tp>
      <tp t="s">
        <v>Updated at 16:55:17</v>
        <stp/>
        <stp>{C34B0070-77EB-46D5-ACA9-71D6C26B93FC}</stp>
        <tr r="O4" s="24"/>
      </tp>
      <tp t="s">
        <v>Updated at 16:55:19</v>
        <stp/>
        <stp>{A640EEF8-DAFF-4983-8489-0C0E8CE5659E}</stp>
        <tr r="O4" s="23"/>
      </tp>
      <tp t="s">
        <v>Updated at 16:43:51</v>
        <stp/>
        <stp>{17F418BF-6672-443B-A354-33CE11A611CD}</stp>
        <tr r="M6" s="7"/>
      </tp>
      <tp t="s">
        <v>Updated at 16:49:03</v>
        <stp/>
        <stp>{36C392C3-462F-4568-85E0-2E3C08ABDB3D}</stp>
        <tr r="S4" s="11"/>
      </tp>
      <tp t="s">
        <v>Updated at 16:55:17</v>
        <stp/>
        <stp>{2876FB1C-4AD2-45B3-9854-A70716C33AE9}</stp>
        <tr r="S4" s="25"/>
      </tp>
      <tp t="s">
        <v>Updated at 16:43:51</v>
        <stp/>
        <stp>{9A4F7C83-D7BA-45E5-947B-D0893CE7C9A7}</stp>
        <tr r="J4" s="15"/>
      </tp>
      <tp t="s">
        <v>Updated at 16:43:51</v>
        <stp/>
        <stp>{B2847201-06E5-4104-95D9-1B03B3AC248B}</stp>
        <tr r="D3" s="62"/>
      </tp>
      <tp t="s">
        <v>Updated at 16:43:51</v>
        <stp/>
        <stp>{BBDFBB56-7D11-45A4-B688-7CB08DC54FCF}</stp>
        <tr r="D3" s="6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J32"/>
  <sheetViews>
    <sheetView tabSelected="1" topLeftCell="A4" workbookViewId="0">
      <selection activeCell="D21" sqref="D21"/>
    </sheetView>
  </sheetViews>
  <sheetFormatPr defaultRowHeight="12.75" x14ac:dyDescent="0.2"/>
  <cols>
    <col min="1" max="2" width="2.7109375" style="442" customWidth="1"/>
    <col min="3" max="3" width="14.85546875" style="442" bestFit="1" customWidth="1"/>
    <col min="4" max="4" width="21.42578125" style="442" bestFit="1" customWidth="1"/>
    <col min="5" max="7" width="2.7109375" style="442" customWidth="1"/>
    <col min="8" max="8" width="17.85546875" style="442" bestFit="1" customWidth="1"/>
    <col min="9" max="9" width="53.7109375" style="442" bestFit="1" customWidth="1"/>
    <col min="10" max="10" width="2.7109375" style="442" customWidth="1"/>
    <col min="11" max="16384" width="9.140625" style="442"/>
  </cols>
  <sheetData>
    <row r="1" spans="1:10" ht="13.5" thickBot="1" x14ac:dyDescent="0.25">
      <c r="A1" s="442" t="s">
        <v>280</v>
      </c>
      <c r="B1" s="442" t="str">
        <f>_xll.qlxlVersion(TRUE,Trigger)</f>
        <v>QuantLibXL 1.4.0 - MS VC++ 9.0 - Multithreaded Dynamic Runtime library - Release Configuration - Apr 29 2014 14:47:17</v>
      </c>
    </row>
    <row r="2" spans="1:10" ht="16.5" thickBot="1" x14ac:dyDescent="0.3">
      <c r="B2" s="505" t="s">
        <v>279</v>
      </c>
      <c r="C2" s="506"/>
      <c r="D2" s="506"/>
      <c r="E2" s="507"/>
      <c r="G2" s="493" t="s">
        <v>7</v>
      </c>
      <c r="H2" s="494"/>
      <c r="I2" s="494"/>
      <c r="J2" s="495"/>
    </row>
    <row r="3" spans="1:10" x14ac:dyDescent="0.2">
      <c r="B3" s="331"/>
      <c r="C3" s="349"/>
      <c r="D3" s="349"/>
      <c r="E3" s="348"/>
      <c r="G3" s="6"/>
      <c r="H3" s="8"/>
      <c r="I3" s="8"/>
      <c r="J3" s="4"/>
    </row>
    <row r="4" spans="1:10" x14ac:dyDescent="0.2">
      <c r="B4" s="331"/>
      <c r="C4" s="347" t="s">
        <v>0</v>
      </c>
      <c r="D4" s="346" t="s">
        <v>95</v>
      </c>
      <c r="E4" s="332"/>
      <c r="G4" s="6"/>
      <c r="H4" s="11" t="s">
        <v>6</v>
      </c>
      <c r="I4" s="426">
        <v>41765.696597222224</v>
      </c>
      <c r="J4" s="9"/>
    </row>
    <row r="5" spans="1:10" x14ac:dyDescent="0.2">
      <c r="B5" s="331"/>
      <c r="C5" s="343" t="s">
        <v>6</v>
      </c>
      <c r="D5" s="345"/>
      <c r="E5" s="332"/>
      <c r="G5" s="6"/>
      <c r="H5" s="11" t="s">
        <v>5</v>
      </c>
      <c r="I5" s="426" t="b">
        <v>1</v>
      </c>
      <c r="J5" s="9"/>
    </row>
    <row r="6" spans="1:10" x14ac:dyDescent="0.2">
      <c r="B6" s="331"/>
      <c r="C6" s="343" t="s">
        <v>278</v>
      </c>
      <c r="D6" s="344" t="s">
        <v>277</v>
      </c>
      <c r="E6" s="332"/>
      <c r="G6" s="6"/>
      <c r="H6" s="11" t="s">
        <v>4</v>
      </c>
      <c r="I6" s="426" t="b">
        <v>0</v>
      </c>
      <c r="J6" s="9"/>
    </row>
    <row r="7" spans="1:10" x14ac:dyDescent="0.2">
      <c r="B7" s="331"/>
      <c r="C7" s="343" t="s">
        <v>276</v>
      </c>
      <c r="D7" s="342">
        <f>_xll.ohTrigger(Deposits!P3,FRA!X5,Futures3M!Z4,FuturesHWConvAdj!Q3,Swaps1M!Y3,Swap3M!AC3,SwapsIMMDated!Y3,Swap6M!AC3,BasisSwap1MxM!AC3,BasisSwap3M6M!AC3,BasisSwapxM12M!AC3,OIS!Y3)</f>
        <v>472</v>
      </c>
      <c r="E7" s="332"/>
      <c r="G7" s="6"/>
      <c r="H7" s="11" t="s">
        <v>3</v>
      </c>
      <c r="I7" s="426" t="b">
        <v>0</v>
      </c>
      <c r="J7" s="9"/>
    </row>
    <row r="8" spans="1:10" x14ac:dyDescent="0.2">
      <c r="B8" s="331"/>
      <c r="C8" s="343" t="s">
        <v>311</v>
      </c>
      <c r="D8" s="342">
        <f>_xll.ohTrigger(U6:U12)</f>
        <v>2</v>
      </c>
      <c r="E8" s="332"/>
      <c r="G8" s="6"/>
      <c r="H8" s="11" t="s">
        <v>2</v>
      </c>
      <c r="I8" s="427"/>
      <c r="J8" s="9"/>
    </row>
    <row r="9" spans="1:10" x14ac:dyDescent="0.2">
      <c r="B9" s="331"/>
      <c r="C9" s="341" t="s">
        <v>275</v>
      </c>
      <c r="D9" s="340" t="s">
        <v>274</v>
      </c>
      <c r="E9" s="332"/>
      <c r="G9" s="6"/>
      <c r="H9" s="11" t="s">
        <v>1</v>
      </c>
      <c r="I9" s="428" t="b">
        <v>1</v>
      </c>
      <c r="J9" s="9"/>
    </row>
    <row r="10" spans="1:10" x14ac:dyDescent="0.2">
      <c r="B10" s="331"/>
      <c r="C10" s="337"/>
      <c r="D10" s="300"/>
      <c r="E10" s="332"/>
      <c r="G10" s="6"/>
      <c r="H10" s="11" t="s">
        <v>0</v>
      </c>
      <c r="I10" s="7" t="s">
        <v>95</v>
      </c>
      <c r="J10" s="9"/>
    </row>
    <row r="11" spans="1:10" x14ac:dyDescent="0.2">
      <c r="B11" s="331"/>
      <c r="C11" s="339" t="s">
        <v>227</v>
      </c>
      <c r="D11" s="338" t="s">
        <v>273</v>
      </c>
      <c r="E11" s="332"/>
      <c r="G11" s="6"/>
      <c r="H11" s="11" t="s">
        <v>0</v>
      </c>
      <c r="I11" s="7" t="s">
        <v>104</v>
      </c>
      <c r="J11" s="9"/>
    </row>
    <row r="12" spans="1:10" x14ac:dyDescent="0.2">
      <c r="B12" s="331"/>
      <c r="C12" s="336" t="s">
        <v>216</v>
      </c>
      <c r="D12" s="335" t="str">
        <f>""</f>
        <v/>
      </c>
      <c r="E12" s="332"/>
      <c r="G12" s="6"/>
      <c r="H12" s="11" t="s">
        <v>94</v>
      </c>
      <c r="I12" s="426" t="str">
        <f>Currency&amp;"ON"</f>
        <v>USDON</v>
      </c>
      <c r="J12" s="9"/>
    </row>
    <row r="13" spans="1:10" x14ac:dyDescent="0.2">
      <c r="B13" s="331"/>
      <c r="C13" s="336" t="s">
        <v>203</v>
      </c>
      <c r="D13" s="335" t="s">
        <v>215</v>
      </c>
      <c r="E13" s="332"/>
      <c r="G13" s="6"/>
      <c r="H13" s="11" t="s">
        <v>93</v>
      </c>
      <c r="I13" s="426" t="str">
        <f>Currency&amp;"YCSTD"</f>
        <v>USDYCSTD</v>
      </c>
      <c r="J13" s="9"/>
    </row>
    <row r="14" spans="1:10" x14ac:dyDescent="0.2">
      <c r="B14" s="331"/>
      <c r="C14" s="336" t="s">
        <v>214</v>
      </c>
      <c r="D14" s="335" t="s">
        <v>214</v>
      </c>
      <c r="E14" s="332"/>
      <c r="G14" s="424"/>
      <c r="H14" s="429" t="s">
        <v>306</v>
      </c>
      <c r="I14" s="430">
        <f>_xll.qlSettingsEvaluationDate(Trigger)</f>
        <v>41765</v>
      </c>
      <c r="J14" s="423"/>
    </row>
    <row r="15" spans="1:10" ht="13.5" thickBot="1" x14ac:dyDescent="0.25">
      <c r="B15" s="331"/>
      <c r="C15" s="336" t="s">
        <v>212</v>
      </c>
      <c r="D15" s="335" t="s">
        <v>211</v>
      </c>
      <c r="E15" s="332"/>
      <c r="G15" s="3"/>
      <c r="H15" s="2"/>
      <c r="I15" s="2"/>
      <c r="J15" s="1"/>
    </row>
    <row r="16" spans="1:10" ht="13.5" thickBot="1" x14ac:dyDescent="0.25">
      <c r="B16" s="331"/>
      <c r="C16" s="336" t="s">
        <v>210</v>
      </c>
      <c r="D16" s="335" t="s">
        <v>209</v>
      </c>
      <c r="E16" s="332"/>
      <c r="G16" s="444"/>
      <c r="H16" s="444"/>
      <c r="I16" s="444"/>
      <c r="J16" s="444"/>
    </row>
    <row r="17" spans="2:10" ht="16.5" thickBot="1" x14ac:dyDescent="0.3">
      <c r="B17" s="331"/>
      <c r="C17" s="336" t="s">
        <v>208</v>
      </c>
      <c r="D17" s="335" t="s">
        <v>272</v>
      </c>
      <c r="E17" s="332"/>
      <c r="G17" s="493" t="s">
        <v>117</v>
      </c>
      <c r="H17" s="494"/>
      <c r="I17" s="494"/>
      <c r="J17" s="495"/>
    </row>
    <row r="18" spans="2:10" x14ac:dyDescent="0.2">
      <c r="B18" s="331"/>
      <c r="C18" s="334" t="s">
        <v>271</v>
      </c>
      <c r="D18" s="333" t="s">
        <v>270</v>
      </c>
      <c r="E18" s="332"/>
      <c r="G18" s="6"/>
      <c r="H18" s="8"/>
      <c r="I18" s="8"/>
      <c r="J18" s="4"/>
    </row>
    <row r="19" spans="2:10" x14ac:dyDescent="0.2">
      <c r="B19" s="331"/>
      <c r="C19" s="330"/>
      <c r="D19" s="330"/>
      <c r="E19" s="332"/>
      <c r="G19" s="6"/>
      <c r="H19" s="11" t="s">
        <v>116</v>
      </c>
      <c r="I19" s="15" t="s">
        <v>115</v>
      </c>
      <c r="J19" s="9"/>
    </row>
    <row r="20" spans="2:10" x14ac:dyDescent="0.2">
      <c r="B20" s="331"/>
      <c r="C20" s="329" t="s">
        <v>269</v>
      </c>
      <c r="D20" s="445">
        <v>41765.704259259262</v>
      </c>
      <c r="E20" s="23"/>
      <c r="G20" s="6"/>
      <c r="H20" s="11" t="s">
        <v>114</v>
      </c>
      <c r="I20" s="75">
        <v>1E-4</v>
      </c>
      <c r="J20" s="9"/>
    </row>
    <row r="21" spans="2:10" x14ac:dyDescent="0.2">
      <c r="B21" s="331"/>
      <c r="C21" s="329" t="s">
        <v>268</v>
      </c>
      <c r="D21" s="446" t="b">
        <v>1</v>
      </c>
      <c r="E21" s="23"/>
      <c r="G21" s="6"/>
      <c r="H21" s="11" t="s">
        <v>113</v>
      </c>
      <c r="I21" s="74">
        <v>-0.01</v>
      </c>
      <c r="J21" s="9"/>
    </row>
    <row r="22" spans="2:10" ht="13.5" thickBot="1" x14ac:dyDescent="0.25">
      <c r="B22" s="328"/>
      <c r="C22" s="21"/>
      <c r="D22" s="21"/>
      <c r="E22" s="20"/>
      <c r="G22" s="6"/>
      <c r="H22" s="11" t="s">
        <v>25</v>
      </c>
      <c r="I22" s="10" t="s">
        <v>24</v>
      </c>
      <c r="J22" s="9"/>
    </row>
    <row r="23" spans="2:10" x14ac:dyDescent="0.2">
      <c r="C23" s="443"/>
      <c r="D23" s="443"/>
      <c r="E23" s="443"/>
      <c r="G23" s="6"/>
      <c r="H23" s="11" t="s">
        <v>87</v>
      </c>
      <c r="I23" s="10" t="s">
        <v>92</v>
      </c>
      <c r="J23" s="9"/>
    </row>
    <row r="24" spans="2:10" ht="11.25" customHeight="1" thickBot="1" x14ac:dyDescent="0.25">
      <c r="C24" s="443"/>
      <c r="D24" s="443"/>
      <c r="E24" s="443"/>
      <c r="G24" s="3"/>
      <c r="H24" s="2"/>
      <c r="I24" s="2"/>
      <c r="J24" s="1"/>
    </row>
    <row r="25" spans="2:10" ht="13.5" thickBot="1" x14ac:dyDescent="0.25">
      <c r="C25" s="443"/>
      <c r="D25" s="443"/>
      <c r="E25" s="443"/>
    </row>
    <row r="26" spans="2:10" ht="16.5" thickBot="1" x14ac:dyDescent="0.3">
      <c r="G26" s="493" t="s">
        <v>314</v>
      </c>
      <c r="H26" s="494"/>
      <c r="I26" s="494"/>
      <c r="J26" s="495"/>
    </row>
    <row r="27" spans="2:10" x14ac:dyDescent="0.2">
      <c r="G27" s="6"/>
      <c r="H27" s="8"/>
      <c r="I27" s="8"/>
      <c r="J27" s="4"/>
    </row>
    <row r="28" spans="2:10" x14ac:dyDescent="0.2">
      <c r="G28" s="6"/>
      <c r="H28" s="11" t="s">
        <v>315</v>
      </c>
      <c r="I28" s="496" t="s">
        <v>312</v>
      </c>
      <c r="J28" s="9"/>
    </row>
    <row r="29" spans="2:10" x14ac:dyDescent="0.2">
      <c r="G29" s="6"/>
      <c r="H29" s="11" t="s">
        <v>316</v>
      </c>
      <c r="I29" s="496" t="s">
        <v>90</v>
      </c>
      <c r="J29" s="9"/>
    </row>
    <row r="30" spans="2:10" x14ac:dyDescent="0.2">
      <c r="G30" s="6"/>
      <c r="H30" s="11" t="s">
        <v>317</v>
      </c>
      <c r="I30" s="496" t="s">
        <v>313</v>
      </c>
      <c r="J30" s="9"/>
    </row>
    <row r="31" spans="2:10" x14ac:dyDescent="0.2">
      <c r="G31" s="6"/>
      <c r="H31" s="11" t="s">
        <v>318</v>
      </c>
      <c r="I31" s="17" t="str">
        <f>I28&amp;"("&amp;I29&amp;","&amp;I30&amp;")"</f>
        <v>JoinHolidays(UnitedKingdom::Exchange,UnitedStates::Settlement)</v>
      </c>
      <c r="J31" s="9"/>
    </row>
    <row r="32" spans="2:10" ht="13.5" thickBot="1" x14ac:dyDescent="0.25">
      <c r="G32" s="3"/>
      <c r="H32" s="2"/>
      <c r="I32" s="2"/>
      <c r="J32" s="1"/>
    </row>
  </sheetData>
  <mergeCells count="1">
    <mergeCell ref="B2:E2"/>
  </mergeCells>
  <conditionalFormatting sqref="D21">
    <cfRule type="cellIs" dxfId="38" priority="1" stopIfTrue="1" operator="equal">
      <formula>TRUE</formula>
    </cfRule>
  </conditionalFormatting>
  <dataValidations count="5">
    <dataValidation type="list" allowBlank="1" showInputMessage="1" showErrorMessage="1" sqref="D9:D10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4 I10:I11">
      <formula1>"EUR,USD,GBP,JPY,CHF"</formula1>
    </dataValidation>
    <dataValidation type="list" allowBlank="1" showInputMessage="1" showErrorMessage="1" sqref="I22">
      <formula1>"ibor,Libor"</formula1>
    </dataValidation>
    <dataValidation type="list" allowBlank="1" showInputMessage="1" showErrorMessage="1" sqref="I28">
      <formula1>"JoinBusinessDays,JoinHolidays"</formula1>
    </dataValidation>
    <dataValidation type="list" allowBlank="1" showInputMessage="1" showErrorMessage="1" sqref="I29:I30">
      <formula1>"TARGET,UnitedKingdom::Exchange,UnitedKingdom::Metals,UnitedKingdom::Settlement,UnitedStates::GovernmentBond,UnitedStates::NERC,UnitedStates::NYSE,UnitedStates::Settlement,Switzerland,Japan,Italy::Exchange,NullCalendar"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Z15"/>
  <sheetViews>
    <sheetView workbookViewId="0">
      <selection activeCell="E10" sqref="E10"/>
    </sheetView>
  </sheetViews>
  <sheetFormatPr defaultRowHeight="11.25" outlineLevelCol="1" x14ac:dyDescent="0.2"/>
  <cols>
    <col min="1" max="2" width="2.140625" style="491" customWidth="1"/>
    <col min="3" max="3" width="6.5703125" style="491" bestFit="1" customWidth="1"/>
    <col min="4" max="4" width="12" style="491" bestFit="1" customWidth="1"/>
    <col min="5" max="5" width="17.28515625" style="491" bestFit="1" customWidth="1"/>
    <col min="6" max="6" width="33.85546875" style="491" bestFit="1" customWidth="1"/>
    <col min="7" max="9" width="17.85546875" style="491" hidden="1" customWidth="1" outlineLevel="1"/>
    <col min="10" max="10" width="2.140625" style="491" customWidth="1" collapsed="1"/>
    <col min="11" max="11" width="10" style="491" bestFit="1" customWidth="1"/>
    <col min="12" max="12" width="15.140625" style="491" bestFit="1" customWidth="1"/>
    <col min="13" max="15" width="7" style="491" bestFit="1" customWidth="1"/>
    <col min="16" max="16" width="2.140625" style="491" customWidth="1"/>
    <col min="17" max="17" width="11" style="491" bestFit="1" customWidth="1"/>
    <col min="18" max="18" width="9" style="491" bestFit="1" customWidth="1"/>
    <col min="19" max="19" width="8" style="491" bestFit="1" customWidth="1"/>
    <col min="20" max="20" width="8.140625" style="491" customWidth="1"/>
    <col min="21" max="21" width="8" style="491" bestFit="1" customWidth="1"/>
    <col min="22" max="22" width="2.140625" style="491" customWidth="1"/>
    <col min="23" max="24" width="10.28515625" style="491" bestFit="1" customWidth="1"/>
    <col min="25" max="26" width="2.7109375" style="491" customWidth="1"/>
    <col min="27" max="16384" width="9.140625" style="491"/>
  </cols>
  <sheetData>
    <row r="1" spans="2:26" s="462" customFormat="1" ht="12" thickBot="1" x14ac:dyDescent="0.25">
      <c r="K1" s="491"/>
      <c r="L1" s="491"/>
      <c r="M1" s="491"/>
      <c r="N1" s="491"/>
      <c r="O1" s="491"/>
      <c r="P1" s="491"/>
      <c r="Q1" s="491"/>
      <c r="R1" s="491"/>
      <c r="S1" s="491"/>
      <c r="T1" s="491"/>
      <c r="U1" s="491"/>
      <c r="V1" s="491"/>
      <c r="W1" s="491"/>
      <c r="X1" s="491"/>
      <c r="Y1" s="491"/>
      <c r="Z1" s="491"/>
    </row>
    <row r="2" spans="2:26" s="462" customFormat="1" x14ac:dyDescent="0.2">
      <c r="B2" s="463"/>
      <c r="C2" s="464"/>
      <c r="D2" s="464"/>
      <c r="E2" s="465"/>
      <c r="F2" s="465"/>
      <c r="G2" s="464"/>
      <c r="H2" s="465"/>
      <c r="I2" s="465"/>
      <c r="J2" s="465"/>
      <c r="K2" s="465"/>
      <c r="L2" s="465"/>
      <c r="M2" s="465"/>
      <c r="N2" s="465"/>
      <c r="O2" s="465"/>
      <c r="P2" s="465"/>
      <c r="Q2" s="465"/>
      <c r="R2" s="465"/>
      <c r="S2" s="465"/>
      <c r="T2" s="465"/>
      <c r="U2" s="465"/>
      <c r="V2" s="466"/>
    </row>
    <row r="3" spans="2:26" s="462" customFormat="1" x14ac:dyDescent="0.2">
      <c r="B3" s="467"/>
      <c r="C3" s="468"/>
      <c r="D3" s="469" t="s">
        <v>25</v>
      </c>
      <c r="E3" s="470" t="s">
        <v>24</v>
      </c>
      <c r="F3" s="471"/>
      <c r="G3" s="468"/>
      <c r="H3" s="471"/>
      <c r="I3" s="471"/>
      <c r="J3" s="471"/>
      <c r="K3" s="471"/>
      <c r="L3" s="471"/>
      <c r="M3" s="471"/>
      <c r="N3" s="471"/>
      <c r="O3" s="471"/>
      <c r="P3" s="471"/>
      <c r="Q3" s="471"/>
      <c r="R3" s="471"/>
      <c r="S3" s="471"/>
      <c r="T3" s="471"/>
      <c r="U3" s="471"/>
      <c r="V3" s="472"/>
    </row>
    <row r="4" spans="2:26" s="462" customFormat="1" x14ac:dyDescent="0.2">
      <c r="B4" s="467"/>
      <c r="C4" s="468"/>
      <c r="D4" s="468"/>
      <c r="E4" s="473" t="str">
        <f>IF(Serialize,_xll.ohObjectSave(D6:F12,SerializationPath&amp;#REF!,FileOverwrite,,Serialize),"---")</f>
        <v>---</v>
      </c>
      <c r="F4" s="471"/>
      <c r="G4" s="468"/>
      <c r="H4" s="471"/>
      <c r="I4" s="471"/>
      <c r="J4" s="471"/>
      <c r="K4" s="492" t="s">
        <v>219</v>
      </c>
      <c r="L4" s="471"/>
      <c r="M4" s="471"/>
      <c r="N4" s="471"/>
      <c r="O4" s="471"/>
      <c r="P4" s="471"/>
      <c r="Q4" s="471"/>
      <c r="R4" s="471"/>
      <c r="S4" s="471"/>
      <c r="T4" s="471"/>
      <c r="U4" s="471"/>
      <c r="V4" s="472"/>
    </row>
    <row r="5" spans="2:26" s="462" customFormat="1" ht="36" x14ac:dyDescent="0.2">
      <c r="B5" s="467"/>
      <c r="C5" s="500" t="s">
        <v>23</v>
      </c>
      <c r="D5" s="500" t="s">
        <v>320</v>
      </c>
      <c r="E5" s="500" t="s">
        <v>319</v>
      </c>
      <c r="F5" s="500" t="s">
        <v>321</v>
      </c>
      <c r="G5" s="500" t="str">
        <f>"Error Message "&amp;D5</f>
        <v>Error Message Relinkable Handle</v>
      </c>
      <c r="H5" s="500" t="str">
        <f t="shared" ref="H5:I5" si="0">"Error Message "&amp;E5</f>
        <v>Error Message Index</v>
      </c>
      <c r="I5" s="500" t="str">
        <f t="shared" si="0"/>
        <v>Error Message LastFixing_Quote</v>
      </c>
      <c r="J5" s="501"/>
      <c r="K5" s="476" t="str">
        <f>_xll.RData(K6:K12,L5:M5,"RTFEED:IDN",,,L6)</f>
        <v>Updated at 16:43:51</v>
      </c>
      <c r="L5" s="477" t="s">
        <v>289</v>
      </c>
      <c r="M5" s="477" t="s">
        <v>218</v>
      </c>
      <c r="N5" s="477" t="s">
        <v>288</v>
      </c>
      <c r="O5" s="478" t="s">
        <v>287</v>
      </c>
      <c r="P5" s="503"/>
      <c r="Q5" s="477" t="s">
        <v>286</v>
      </c>
      <c r="R5" s="477" t="s">
        <v>285</v>
      </c>
      <c r="S5" s="477" t="s">
        <v>284</v>
      </c>
      <c r="T5" s="478" t="s">
        <v>283</v>
      </c>
      <c r="U5" s="498"/>
      <c r="V5" s="472"/>
    </row>
    <row r="6" spans="2:26" s="462" customFormat="1" x14ac:dyDescent="0.2">
      <c r="B6" s="467"/>
      <c r="C6" s="479" t="s">
        <v>189</v>
      </c>
      <c r="D6" s="475" t="str">
        <f>_xll.qlRelinkableHandleYieldTermStructure(UPPER(Currency)&amp;C6,,Permanent,Trigger,ObjectOverwrite)</f>
        <v>USDON#0000</v>
      </c>
      <c r="E6" s="497" t="str">
        <f>_xll.qlOvernightIndex(PROPER(Currency)&amp;"FedFunds","FedFunds",0,"USD",OverNightIndexCalendar,"act/360",D6,Permanent,Trigger,ObjectOverwrite)</f>
        <v>UsdFedFunds#0000</v>
      </c>
      <c r="F6" s="480" t="str">
        <f>_xll.qlLastFixingQuote(PROPER(Currency)&amp;"FedFunds"&amp;$F$5,E6,Permanent,Trigger,ObjectOverwrite)</f>
        <v>UsdFedFundsLastFixing_Quote#0000</v>
      </c>
      <c r="G6" s="474" t="str">
        <f>_xll.ohRangeRetrieveError(D6)</f>
        <v/>
      </c>
      <c r="H6" s="474" t="str">
        <f>_xll.ohRangeRetrieveError(E6)</f>
        <v/>
      </c>
      <c r="I6" s="474" t="str">
        <f>_xll.ohRangeRetrieveError(F6)</f>
        <v/>
      </c>
      <c r="J6" s="471"/>
      <c r="K6" s="485" t="str">
        <f t="shared" ref="K6:K12" si="1">Currency&amp;C6&amp;$K$4&amp;"="</f>
        <v>USDONFSR=</v>
      </c>
      <c r="L6" s="483">
        <v>41765</v>
      </c>
      <c r="M6" s="484">
        <v>9.0499999999999997E-2</v>
      </c>
      <c r="N6" s="484" t="b">
        <f t="shared" ref="N6:N12" si="2">IF(AND(ISNUMBER($M6),$M6&lt;&gt;0%),TRUE,FALSE)</f>
        <v>1</v>
      </c>
      <c r="O6" s="502" t="b">
        <f>IF($N6,_xll.qlIndexAddFixings($E6,$L6,$M6/100,TRUE,ISERROR($Q6)),NA())</f>
        <v>1</v>
      </c>
      <c r="P6" s="503"/>
      <c r="Q6" s="482">
        <f>_xll.qlIndexFixing($E6,$L6,TRUE,$N6)</f>
        <v>1.4999999999698588E-3</v>
      </c>
      <c r="R6" s="482">
        <f>IF($O6,_xll.qlIndexFixing($E6,$L6,FALSE,$N6),"-")</f>
        <v>9.0499999999999999E-4</v>
      </c>
      <c r="S6" s="482">
        <f t="shared" ref="S6" si="3">Q6-R6</f>
        <v>5.9499999996985879E-4</v>
      </c>
      <c r="T6" s="486">
        <f>_xll.qlIndexFixing($E6,$L6,TRUE,$R6)</f>
        <v>1.4999999999698588E-3</v>
      </c>
      <c r="U6" s="481">
        <f>IF(ISERROR(S6),0,ABS(S6))</f>
        <v>5.9499999996985879E-4</v>
      </c>
      <c r="V6" s="472"/>
    </row>
    <row r="7" spans="2:26" s="462" customFormat="1" x14ac:dyDescent="0.2">
      <c r="B7" s="467"/>
      <c r="C7" s="479" t="s">
        <v>22</v>
      </c>
      <c r="D7" s="475"/>
      <c r="E7" s="480" t="str">
        <f>_xll.qlLibor(PROPER(Currency)&amp;FamilyName&amp;C7,Currency,C7,D7,Permanent,Trigger,ObjectOverwrite)</f>
        <v>UsdLiborSW#0000</v>
      </c>
      <c r="F7" s="480" t="str">
        <f>_xll.qlLastFixingQuote(PROPER(Currency)&amp;FamilyName&amp;C7&amp;$F$5,E7,Permanent,Trigger,ObjectOverwrite)</f>
        <v>UsdLiborSWLastFixing_Quote#0000</v>
      </c>
      <c r="G7" s="474" t="str">
        <f>_xll.ohRangeRetrieveError(D7)</f>
        <v/>
      </c>
      <c r="H7" s="474" t="str">
        <f>_xll.ohRangeRetrieveError(E7)</f>
        <v/>
      </c>
      <c r="I7" s="474" t="str">
        <f>_xll.ohRangeRetrieveError(F7)</f>
        <v/>
      </c>
      <c r="J7" s="471"/>
      <c r="K7" s="485" t="str">
        <f t="shared" si="1"/>
        <v>USDSWFSR=</v>
      </c>
      <c r="L7" s="483">
        <v>41765</v>
      </c>
      <c r="M7" s="484">
        <v>0.1225</v>
      </c>
      <c r="N7" s="484" t="b">
        <f t="shared" si="2"/>
        <v>1</v>
      </c>
      <c r="O7" s="502" t="b">
        <f>IF($N7,_xll.qlIndexAddFixings($E7,$L7,$M7/100,TRUE,ISERROR($Q7)),NA())</f>
        <v>1</v>
      </c>
      <c r="P7" s="503"/>
      <c r="Q7" s="482" t="e">
        <f>_xll.qlIndexFixing($E7,$L7,TRUE,$N7)</f>
        <v>#NUM!</v>
      </c>
      <c r="R7" s="482">
        <f>IF($O7,_xll.qlIndexFixing($E7,$L7,FALSE,$N7),"-")</f>
        <v>1.225E-3</v>
      </c>
      <c r="S7" s="482" t="e">
        <f t="shared" ref="S7:S12" si="4">Q7-R7</f>
        <v>#NUM!</v>
      </c>
      <c r="T7" s="486" t="e">
        <f>_xll.qlIndexFixing($E7,$L7,TRUE,$R7)</f>
        <v>#NUM!</v>
      </c>
      <c r="U7" s="487">
        <f t="shared" ref="U7:U12" si="5">IF(ISERROR(S7),0,ABS(S7))</f>
        <v>0</v>
      </c>
      <c r="V7" s="472"/>
    </row>
    <row r="8" spans="2:26" s="462" customFormat="1" x14ac:dyDescent="0.2">
      <c r="B8" s="467"/>
      <c r="C8" s="479" t="s">
        <v>19</v>
      </c>
      <c r="D8" s="475" t="str">
        <f>_xll.qlRelinkableHandleYieldTermStructure(UPPER(Currency)&amp;C8,,Permanent,Trigger,ObjectOverwrite)</f>
        <v>USD1M#0000</v>
      </c>
      <c r="E8" s="480" t="str">
        <f>_xll.qlLibor(PROPER(Currency)&amp;FamilyName&amp;C8,Currency,C8,D8,Permanent,Trigger,ObjectOverwrite)</f>
        <v>UsdLibor1M#0000</v>
      </c>
      <c r="F8" s="480" t="str">
        <f>_xll.qlLastFixingQuote(PROPER(Currency)&amp;FamilyName&amp;C8&amp;$F$5,E8,Permanent,Trigger,ObjectOverwrite)</f>
        <v>UsdLibor1MLastFixing_Quote#0000</v>
      </c>
      <c r="G8" s="474" t="str">
        <f>_xll.ohRangeRetrieveError(D8)</f>
        <v/>
      </c>
      <c r="H8" s="474" t="str">
        <f>_xll.ohRangeRetrieveError(E8)</f>
        <v/>
      </c>
      <c r="I8" s="474" t="str">
        <f>_xll.ohRangeRetrieveError(F8)</f>
        <v/>
      </c>
      <c r="J8" s="471"/>
      <c r="K8" s="485" t="str">
        <f t="shared" si="1"/>
        <v>USD1MFSR=</v>
      </c>
      <c r="L8" s="483">
        <v>41765</v>
      </c>
      <c r="M8" s="484">
        <v>0.15049999999999999</v>
      </c>
      <c r="N8" s="484" t="b">
        <f t="shared" si="2"/>
        <v>1</v>
      </c>
      <c r="O8" s="502" t="b">
        <f>IF($N8,_xll.qlIndexAddFixings($E8,$L8,$M8/100,TRUE,ISERROR($Q8)),NA())</f>
        <v>1</v>
      </c>
      <c r="P8" s="503"/>
      <c r="Q8" s="482">
        <f>_xll.qlIndexFixing($E8,$L8,TRUE,$N8)</f>
        <v>1.4341930540448522E-3</v>
      </c>
      <c r="R8" s="482">
        <f>IF($O8,_xll.qlIndexFixing($E8,$L8,FALSE,$N8),"-")</f>
        <v>1.505E-3</v>
      </c>
      <c r="S8" s="482">
        <f t="shared" si="4"/>
        <v>-7.0806945955147844E-5</v>
      </c>
      <c r="T8" s="486">
        <f>_xll.qlIndexFixing($E8,$L8,TRUE,$R8)</f>
        <v>1.4341930540448522E-3</v>
      </c>
      <c r="U8" s="487">
        <f t="shared" si="5"/>
        <v>7.0806945955147844E-5</v>
      </c>
      <c r="V8" s="472"/>
    </row>
    <row r="9" spans="2:26" s="462" customFormat="1" x14ac:dyDescent="0.2">
      <c r="B9" s="467"/>
      <c r="C9" s="479" t="s">
        <v>18</v>
      </c>
      <c r="D9" s="475"/>
      <c r="E9" s="480" t="str">
        <f>_xll.qlLibor(PROPER(Currency)&amp;FamilyName&amp;C9,Currency,C9,D9,Permanent,Trigger,ObjectOverwrite)</f>
        <v>UsdLibor2M#0000</v>
      </c>
      <c r="F9" s="480" t="str">
        <f>_xll.qlLastFixingQuote(PROPER(Currency)&amp;FamilyName&amp;C9&amp;$F$5,E9,Permanent,Trigger,ObjectOverwrite)</f>
        <v>UsdLibor2MLastFixing_Quote#0000</v>
      </c>
      <c r="G9" s="474" t="str">
        <f>_xll.ohRangeRetrieveError(D9)</f>
        <v/>
      </c>
      <c r="H9" s="474" t="str">
        <f>_xll.ohRangeRetrieveError(E9)</f>
        <v/>
      </c>
      <c r="I9" s="474" t="str">
        <f>_xll.ohRangeRetrieveError(F9)</f>
        <v/>
      </c>
      <c r="J9" s="471"/>
      <c r="K9" s="485" t="str">
        <f t="shared" si="1"/>
        <v>USD2MFSR=</v>
      </c>
      <c r="L9" s="483">
        <v>41765</v>
      </c>
      <c r="M9" s="484">
        <v>0.18925</v>
      </c>
      <c r="N9" s="484" t="b">
        <f t="shared" si="2"/>
        <v>1</v>
      </c>
      <c r="O9" s="502" t="b">
        <f>IF($N9,_xll.qlIndexAddFixings($E9,$L9,$M9/100,TRUE,ISERROR($Q9)),NA())</f>
        <v>1</v>
      </c>
      <c r="P9" s="503"/>
      <c r="Q9" s="482" t="e">
        <f>_xll.qlIndexFixing($E9,$L9,TRUE,$N9)</f>
        <v>#NUM!</v>
      </c>
      <c r="R9" s="482">
        <f>IF($O9,_xll.qlIndexFixing($E9,$L9,FALSE,$N9),"-")</f>
        <v>1.8925000000000001E-3</v>
      </c>
      <c r="S9" s="482" t="e">
        <f t="shared" si="4"/>
        <v>#NUM!</v>
      </c>
      <c r="T9" s="486" t="e">
        <f>_xll.qlIndexFixing($E9,$L9,TRUE,$R9)</f>
        <v>#NUM!</v>
      </c>
      <c r="U9" s="487">
        <f t="shared" si="5"/>
        <v>0</v>
      </c>
      <c r="V9" s="472"/>
    </row>
    <row r="10" spans="2:26" s="462" customFormat="1" x14ac:dyDescent="0.2">
      <c r="B10" s="467"/>
      <c r="C10" s="479" t="s">
        <v>17</v>
      </c>
      <c r="D10" s="475" t="str">
        <f>_xll.qlRelinkableHandleYieldTermStructure(UPPER(Currency)&amp;C10,,Permanent,Trigger,ObjectOverwrite)</f>
        <v>USD3M#0000</v>
      </c>
      <c r="E10" s="480" t="str">
        <f>_xll.qlLibor(PROPER(Currency)&amp;FamilyName&amp;C10,Currency,C10,D10,Permanent,Trigger,ObjectOverwrite)</f>
        <v>UsdLibor3M#0000</v>
      </c>
      <c r="F10" s="480" t="str">
        <f>_xll.qlLastFixingQuote(PROPER(Currency)&amp;FamilyName&amp;C10&amp;$F$5,E10,Permanent,Trigger,ObjectOverwrite)</f>
        <v>UsdLibor3MLastFixing_Quote#0000</v>
      </c>
      <c r="G10" s="474" t="str">
        <f>_xll.ohRangeRetrieveError(D10)</f>
        <v/>
      </c>
      <c r="H10" s="474" t="str">
        <f>_xll.ohRangeRetrieveError(E10)</f>
        <v/>
      </c>
      <c r="I10" s="474" t="str">
        <f>_xll.ohRangeRetrieveError(F10)</f>
        <v/>
      </c>
      <c r="J10" s="471"/>
      <c r="K10" s="485" t="str">
        <f t="shared" si="1"/>
        <v>USD3MFSR=</v>
      </c>
      <c r="L10" s="483">
        <v>41765</v>
      </c>
      <c r="M10" s="484">
        <v>0.22484999999999999</v>
      </c>
      <c r="N10" s="484" t="b">
        <f t="shared" si="2"/>
        <v>1</v>
      </c>
      <c r="O10" s="502" t="b">
        <f>IF($N10,_xll.qlIndexAddFixings($E10,$L10,$M10/100,TRUE,ISERROR($Q10)),NA())</f>
        <v>1</v>
      </c>
      <c r="P10" s="503"/>
      <c r="Q10" s="482">
        <f>_xll.qlIndexFixing($E10,$L10,TRUE,$N10)</f>
        <v>2.2290000000001623E-3</v>
      </c>
      <c r="R10" s="482">
        <f>IF($O10,_xll.qlIndexFixing($E10,$L10,FALSE,$N10),"-")</f>
        <v>2.2485000000000001E-3</v>
      </c>
      <c r="S10" s="482">
        <f t="shared" si="4"/>
        <v>-1.9499999999837789E-5</v>
      </c>
      <c r="T10" s="486">
        <f>_xll.qlIndexFixing($E10,$L10,TRUE,$R10)</f>
        <v>2.2290000000001623E-3</v>
      </c>
      <c r="U10" s="487">
        <f t="shared" si="5"/>
        <v>1.9499999999837789E-5</v>
      </c>
      <c r="V10" s="472"/>
    </row>
    <row r="11" spans="2:26" s="462" customFormat="1" x14ac:dyDescent="0.2">
      <c r="B11" s="467"/>
      <c r="C11" s="479" t="s">
        <v>14</v>
      </c>
      <c r="D11" s="475" t="str">
        <f>_xll.qlRelinkableHandleYieldTermStructure(UPPER(Currency)&amp;C11,,Permanent,Trigger,ObjectOverwrite)</f>
        <v>USD6M#0000</v>
      </c>
      <c r="E11" s="480" t="str">
        <f>_xll.qlLibor(PROPER(Currency)&amp;FamilyName&amp;C11,Currency,C11,D11,Permanent,Trigger,ObjectOverwrite)</f>
        <v>UsdLibor6M#0000</v>
      </c>
      <c r="F11" s="480" t="str">
        <f>_xll.qlLastFixingQuote(PROPER(Currency)&amp;FamilyName&amp;C11&amp;$F$5,E11,Permanent,Trigger,ObjectOverwrite)</f>
        <v>UsdLibor6MLastFixing_Quote#0000</v>
      </c>
      <c r="G11" s="474" t="str">
        <f>_xll.ohRangeRetrieveError(D11)</f>
        <v/>
      </c>
      <c r="H11" s="474" t="str">
        <f>_xll.ohRangeRetrieveError(E11)</f>
        <v/>
      </c>
      <c r="I11" s="474" t="str">
        <f>_xll.ohRangeRetrieveError(F11)</f>
        <v/>
      </c>
      <c r="J11" s="471"/>
      <c r="K11" s="485" t="str">
        <f t="shared" si="1"/>
        <v>USD6MFSR=</v>
      </c>
      <c r="L11" s="483">
        <v>41765</v>
      </c>
      <c r="M11" s="484">
        <v>0.32290000000000002</v>
      </c>
      <c r="N11" s="484" t="b">
        <f t="shared" si="2"/>
        <v>1</v>
      </c>
      <c r="O11" s="502" t="b">
        <f>IF($N11,_xll.qlIndexAddFixings($E11,$L11,$M11/100,TRUE,ISERROR($Q11)),NA())</f>
        <v>1</v>
      </c>
      <c r="P11" s="503"/>
      <c r="Q11" s="482">
        <f>_xll.qlIndexFixing($E11,$L11,TRUE,$N11)</f>
        <v>3.2220000000001436E-3</v>
      </c>
      <c r="R11" s="482">
        <f>IF($O11,_xll.qlIndexFixing($E11,$L11,FALSE,$N11),"-")</f>
        <v>3.2290000000000001E-3</v>
      </c>
      <c r="S11" s="482">
        <f t="shared" si="4"/>
        <v>-6.9999999998565134E-6</v>
      </c>
      <c r="T11" s="486">
        <f>_xll.qlIndexFixing($E11,$L11,TRUE,$R11)</f>
        <v>3.2220000000001436E-3</v>
      </c>
      <c r="U11" s="487">
        <f t="shared" si="5"/>
        <v>6.9999999998565134E-6</v>
      </c>
      <c r="V11" s="472"/>
    </row>
    <row r="12" spans="2:26" s="462" customFormat="1" x14ac:dyDescent="0.2">
      <c r="B12" s="467"/>
      <c r="C12" s="479" t="s">
        <v>8</v>
      </c>
      <c r="D12" s="475" t="str">
        <f>_xll.qlRelinkableHandleYieldTermStructure(UPPER(Currency)&amp;C12,,Permanent,Trigger,ObjectOverwrite)</f>
        <v>USD1Y#0000</v>
      </c>
      <c r="E12" s="480" t="str">
        <f>_xll.qlLibor(PROPER(Currency)&amp;FamilyName&amp;C12,Currency,C12,D12,Permanent,Trigger,ObjectOverwrite)</f>
        <v>UsdLibor1Y#0000</v>
      </c>
      <c r="F12" s="480" t="str">
        <f>_xll.qlLastFixingQuote(PROPER(Currency)&amp;FamilyName&amp;C12&amp;$F$5,E12,Permanent,Trigger,ObjectOverwrite)</f>
        <v>UsdLibor1YLastFixing_Quote#0000</v>
      </c>
      <c r="G12" s="474" t="str">
        <f>_xll.ohRangeRetrieveError(D12)</f>
        <v/>
      </c>
      <c r="H12" s="474" t="str">
        <f>_xll.ohRangeRetrieveError(E12)</f>
        <v/>
      </c>
      <c r="I12" s="474" t="str">
        <f>_xll.ohRangeRetrieveError(F12)</f>
        <v/>
      </c>
      <c r="J12" s="471"/>
      <c r="K12" s="485" t="str">
        <f t="shared" si="1"/>
        <v>USD1YFSR=</v>
      </c>
      <c r="L12" s="483">
        <v>41765</v>
      </c>
      <c r="M12" s="484">
        <v>0.54359999999999997</v>
      </c>
      <c r="N12" s="484" t="b">
        <f t="shared" si="2"/>
        <v>1</v>
      </c>
      <c r="O12" s="502" t="b">
        <f>IF($N12,_xll.qlIndexAddFixings($E12,$L12,$M12/100,TRUE,ISERROR($Q12)),NA())</f>
        <v>1</v>
      </c>
      <c r="P12" s="504"/>
      <c r="Q12" s="482">
        <f>_xll.qlIndexFixing($E12,$L12,TRUE,$N12)</f>
        <v>5.4719999999252086E-3</v>
      </c>
      <c r="R12" s="482">
        <f>IF($O12,_xll.qlIndexFixing($E12,$L12,FALSE,$N12),"-")</f>
        <v>5.4359999999999999E-3</v>
      </c>
      <c r="S12" s="482">
        <f t="shared" si="4"/>
        <v>3.5999999925208706E-5</v>
      </c>
      <c r="T12" s="486">
        <f>_xll.qlIndexFixing($E12,$L12,TRUE,$R12)</f>
        <v>5.4719999999252086E-3</v>
      </c>
      <c r="U12" s="487">
        <f t="shared" si="5"/>
        <v>3.5999999925208706E-5</v>
      </c>
      <c r="V12" s="472"/>
    </row>
    <row r="13" spans="2:26" s="462" customFormat="1" x14ac:dyDescent="0.2">
      <c r="B13" s="467"/>
      <c r="C13" s="479" t="s">
        <v>310</v>
      </c>
      <c r="D13" s="475" t="str">
        <f>_xll.qlRelinkableHandleYieldTermStructure(UPPER(Currency)&amp;C13,,Permanent,Trigger,ObjectOverwrite)</f>
        <v>USDSTD#0000</v>
      </c>
      <c r="E13" s="480"/>
      <c r="F13" s="474"/>
      <c r="G13" s="474" t="str">
        <f>_xll.ohRangeRetrieveError(D13)</f>
        <v/>
      </c>
      <c r="H13" s="474" t="str">
        <f>_xll.ohRangeRetrieveError(E13)</f>
        <v/>
      </c>
      <c r="I13" s="474" t="str">
        <f>_xll.ohRangeRetrieveError(F13)</f>
        <v/>
      </c>
      <c r="J13" s="471"/>
      <c r="K13" s="499"/>
      <c r="L13" s="499"/>
      <c r="M13" s="499"/>
      <c r="N13" s="499"/>
      <c r="O13" s="499"/>
      <c r="P13" s="471"/>
      <c r="Q13" s="499"/>
      <c r="R13" s="499"/>
      <c r="S13" s="499"/>
      <c r="T13" s="499"/>
      <c r="U13" s="499"/>
      <c r="V13" s="472"/>
    </row>
    <row r="14" spans="2:26" s="462" customFormat="1" ht="12" thickBot="1" x14ac:dyDescent="0.25">
      <c r="B14" s="488"/>
      <c r="C14" s="489"/>
      <c r="D14" s="489"/>
      <c r="E14" s="489"/>
      <c r="F14" s="489"/>
      <c r="G14" s="489"/>
      <c r="H14" s="489"/>
      <c r="I14" s="489"/>
      <c r="J14" s="489"/>
      <c r="K14" s="489"/>
      <c r="L14" s="489"/>
      <c r="M14" s="489"/>
      <c r="N14" s="489"/>
      <c r="O14" s="489"/>
      <c r="P14" s="489"/>
      <c r="Q14" s="489"/>
      <c r="R14" s="489"/>
      <c r="S14" s="489"/>
      <c r="T14" s="489"/>
      <c r="U14" s="489"/>
      <c r="V14" s="490"/>
    </row>
    <row r="15" spans="2:26" s="462" customFormat="1" x14ac:dyDescent="0.2">
      <c r="E15" s="491"/>
      <c r="F15" s="491"/>
      <c r="H15" s="491"/>
      <c r="I15" s="491"/>
      <c r="J15" s="491"/>
      <c r="M15" s="491"/>
    </row>
  </sheetData>
  <conditionalFormatting sqref="S6:S12">
    <cfRule type="cellIs" dxfId="37" priority="1" stopIfTrue="1" operator="greaterThan">
      <formula>0</formula>
    </cfRule>
    <cfRule type="cellIs" dxfId="36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Y71"/>
  <sheetViews>
    <sheetView workbookViewId="0">
      <selection activeCell="E17" sqref="E17"/>
    </sheetView>
  </sheetViews>
  <sheetFormatPr defaultRowHeight="11.25" x14ac:dyDescent="0.2"/>
  <cols>
    <col min="1" max="2" width="2.7109375" style="14" customWidth="1"/>
    <col min="3" max="3" width="3.85546875" style="14" bestFit="1" customWidth="1"/>
    <col min="4" max="4" width="8.42578125" style="14" bestFit="1" customWidth="1"/>
    <col min="5" max="5" width="22.7109375" style="14" bestFit="1" customWidth="1"/>
    <col min="6" max="6" width="26.140625" style="14" bestFit="1" customWidth="1"/>
    <col min="7" max="7" width="55" style="14" customWidth="1"/>
    <col min="8" max="11" width="2.7109375" style="14" customWidth="1"/>
    <col min="12" max="13" width="9.140625" style="14"/>
    <col min="14" max="14" width="22.28515625" style="14" bestFit="1" customWidth="1"/>
    <col min="15" max="17" width="9.140625" style="14"/>
    <col min="18" max="18" width="2.7109375" style="14" customWidth="1"/>
    <col min="19" max="19" width="28.5703125" style="14" bestFit="1" customWidth="1"/>
    <col min="20" max="24" width="9.140625" style="14"/>
    <col min="25" max="25" width="2.7109375" style="14" customWidth="1"/>
    <col min="26" max="16384" width="9.140625" style="14"/>
  </cols>
  <sheetData>
    <row r="1" spans="1:25" s="19" customFormat="1" ht="12" thickBot="1" x14ac:dyDescent="0.25">
      <c r="A1" s="19" t="s">
        <v>96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s="19" customFormat="1" x14ac:dyDescent="0.2">
      <c r="B2" s="39"/>
      <c r="C2" s="37"/>
      <c r="D2" s="37"/>
      <c r="E2" s="38"/>
      <c r="F2" s="37"/>
      <c r="G2" s="37"/>
      <c r="H2" s="36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s="19" customFormat="1" x14ac:dyDescent="0.2">
      <c r="B3" s="29"/>
      <c r="C3" s="34"/>
      <c r="D3" s="34"/>
      <c r="E3" s="35" t="s">
        <v>25</v>
      </c>
      <c r="F3" s="31" t="s">
        <v>88</v>
      </c>
      <c r="G3" s="34"/>
      <c r="H3" s="30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 s="19" customFormat="1" ht="12" thickBot="1" x14ac:dyDescent="0.25">
      <c r="B4" s="29"/>
      <c r="C4" s="34"/>
      <c r="D4" s="34"/>
      <c r="E4" s="35" t="s">
        <v>87</v>
      </c>
      <c r="F4" s="31" t="s">
        <v>86</v>
      </c>
      <c r="G4" s="34"/>
      <c r="H4" s="30"/>
      <c r="J4" s="425" t="s">
        <v>307</v>
      </c>
      <c r="K4" s="351"/>
      <c r="L4" s="351"/>
      <c r="M4" s="356"/>
      <c r="N4" s="364"/>
      <c r="O4" s="410"/>
      <c r="P4" s="410"/>
      <c r="Q4" s="351"/>
      <c r="R4" s="356"/>
      <c r="S4" s="351"/>
      <c r="T4" s="351"/>
      <c r="U4" s="351"/>
      <c r="V4" s="351"/>
      <c r="W4" s="351"/>
      <c r="X4" s="351"/>
      <c r="Y4" s="351"/>
    </row>
    <row r="5" spans="1:25" s="19" customFormat="1" ht="19.5" x14ac:dyDescent="0.4">
      <c r="B5" s="29"/>
      <c r="C5" s="34"/>
      <c r="D5" s="34"/>
      <c r="E5" s="34"/>
      <c r="F5" s="34"/>
      <c r="G5" s="34"/>
      <c r="H5" s="30"/>
      <c r="J5" s="351"/>
      <c r="K5" s="409"/>
      <c r="L5" s="403"/>
      <c r="M5" s="408" t="str">
        <f>VLOOKUP(Currency,Traits,2,FALSE)</f>
        <v>SFIX</v>
      </c>
      <c r="N5" s="407"/>
      <c r="O5" s="406"/>
      <c r="P5" s="406"/>
      <c r="Q5" s="403"/>
      <c r="R5" s="403"/>
      <c r="S5" s="405" t="str">
        <f>VLOOKUP(Currency,Traits,3,FALSE)</f>
        <v>LiborSwapIsdaFixAm</v>
      </c>
      <c r="T5" s="403"/>
      <c r="U5" s="403"/>
      <c r="V5" s="404">
        <f>MAX(X7:X22)</f>
        <v>0</v>
      </c>
      <c r="W5" s="403"/>
      <c r="X5" s="403"/>
      <c r="Y5" s="402"/>
    </row>
    <row r="6" spans="1:25" s="19" customFormat="1" ht="33.75" x14ac:dyDescent="0.2">
      <c r="B6" s="29"/>
      <c r="C6" s="34"/>
      <c r="D6" s="33" t="s">
        <v>85</v>
      </c>
      <c r="E6" s="32" t="str">
        <f>PROPER(Currency)&amp;FamilyName&amp;FixingType&amp;".xml"</f>
        <v>UsdLiborSwapIsdaFixAm.xml</v>
      </c>
      <c r="F6" s="31" t="str">
        <f>IF(Serialize,_xll.ohObjectSave(F7:F66,SerializationPath&amp;FileName,FileOverwrite,,Serialize),"---")</f>
        <v>---</v>
      </c>
      <c r="G6" s="24" t="str">
        <f>_xll.ohRangeRetrieveError(F6)</f>
        <v/>
      </c>
      <c r="H6" s="30"/>
      <c r="J6" s="351"/>
      <c r="K6" s="380"/>
      <c r="L6" s="400" t="s">
        <v>23</v>
      </c>
      <c r="M6" s="399" t="str">
        <f>_xll.RData(M7:M21,N6:O6,"RTFEED:IDN",,,N7)</f>
        <v>Updated at 16:43:51</v>
      </c>
      <c r="N6" s="399" t="s">
        <v>289</v>
      </c>
      <c r="O6" s="399" t="s">
        <v>295</v>
      </c>
      <c r="P6" s="399" t="s">
        <v>288</v>
      </c>
      <c r="Q6" s="398" t="s">
        <v>287</v>
      </c>
      <c r="R6" s="401"/>
      <c r="S6" s="400" t="s">
        <v>230</v>
      </c>
      <c r="T6" s="399" t="s">
        <v>286</v>
      </c>
      <c r="U6" s="399" t="s">
        <v>285</v>
      </c>
      <c r="V6" s="399" t="s">
        <v>284</v>
      </c>
      <c r="W6" s="398" t="s">
        <v>283</v>
      </c>
      <c r="X6" s="397"/>
      <c r="Y6" s="370"/>
    </row>
    <row r="7" spans="1:25" s="19" customFormat="1" x14ac:dyDescent="0.2">
      <c r="B7" s="29"/>
      <c r="C7" s="28" t="s">
        <v>8</v>
      </c>
      <c r="D7" s="27" t="s">
        <v>17</v>
      </c>
      <c r="E7" s="26" t="str">
        <f t="shared" ref="E7:E38" si="0">PROPER(Currency)&amp;FamilyName&amp;FixingType&amp;$C7</f>
        <v>UsdLiborSwapIsdaFixAm1Y</v>
      </c>
      <c r="F7" s="25" t="str">
        <f>_xll.qlLiborSwap($E7,Currency,FixingType,$C7,Currency&amp;$D7,Discounting,Permanent,Trigger,ObjectOverwrite)</f>
        <v>UsdLiborSwapIsdaFixAm1Y#0000</v>
      </c>
      <c r="G7" s="24" t="str">
        <f>_xll.ohRangeRetrieveError(F7)</f>
        <v/>
      </c>
      <c r="H7" s="23"/>
      <c r="J7" s="351"/>
      <c r="K7" s="380"/>
      <c r="L7" s="396" t="s">
        <v>8</v>
      </c>
      <c r="M7" s="391" t="str">
        <f t="shared" ref="M7:M21" si="1">Currency&amp;$M$5&amp;$L7&amp;"="</f>
        <v>USDSFIX1Y=</v>
      </c>
      <c r="N7" s="395">
        <v>41765</v>
      </c>
      <c r="O7" s="394">
        <v>0</v>
      </c>
      <c r="P7" s="394" t="b">
        <f t="shared" ref="P7:P21" si="2">IF(AND(ISNUMBER($O7),$O7&lt;&gt;0%),TRUE,FALSE)</f>
        <v>0</v>
      </c>
      <c r="Q7" s="393" t="e">
        <f>IF($P7,_xll.qlIndexAddFixings($S7,$N7,$O7/100,TRUE,ISERROR($T7)),NA())</f>
        <v>#N/A</v>
      </c>
      <c r="R7" s="375"/>
      <c r="S7" s="392" t="str">
        <f t="shared" ref="S7:S21" si="3">PROPER(Currency)&amp;$S$5&amp;$L7</f>
        <v>UsdLiborSwapIsdaFixAm1Y</v>
      </c>
      <c r="T7" s="391">
        <f>_xll.qlIndexFixing($S7,$N7,TRUE,$P7)</f>
        <v>2.6056870855977366E-3</v>
      </c>
      <c r="U7" s="391" t="e">
        <f>IF($Q7,_xll.qlIndexFixing($S7,$N7,FALSE,$P7),"-")</f>
        <v>#N/A</v>
      </c>
      <c r="V7" s="391" t="e">
        <f t="shared" ref="V7:V21" si="4">T7-U7</f>
        <v>#N/A</v>
      </c>
      <c r="W7" s="390" t="e">
        <f>_xll.qlIndexFixing($S7,$N7,TRUE,$U7)</f>
        <v>#NUM!</v>
      </c>
      <c r="X7" s="414">
        <f t="shared" ref="X7:X21" si="5">IF(ISERROR(V7),0,ABS(V7))</f>
        <v>0</v>
      </c>
      <c r="Y7" s="370"/>
    </row>
    <row r="8" spans="1:25" s="19" customFormat="1" x14ac:dyDescent="0.2">
      <c r="B8" s="29"/>
      <c r="C8" s="28" t="s">
        <v>84</v>
      </c>
      <c r="D8" s="27" t="s">
        <v>17</v>
      </c>
      <c r="E8" s="26" t="str">
        <f t="shared" si="0"/>
        <v>UsdLiborSwapIsdaFixAm2Y</v>
      </c>
      <c r="F8" s="25" t="str">
        <f>_xll.qlLiborSwap($E8,Currency,FixingType,$C8,Currency&amp;$D8,Discounting,Permanent,Trigger,ObjectOverwrite)</f>
        <v>UsdLiborSwapIsdaFixAm2Y#0000</v>
      </c>
      <c r="G8" s="24" t="str">
        <f>_xll.ohRangeRetrieveError(F8)</f>
        <v/>
      </c>
      <c r="H8" s="23"/>
      <c r="J8" s="351"/>
      <c r="K8" s="380"/>
      <c r="L8" s="388" t="s">
        <v>84</v>
      </c>
      <c r="M8" s="383" t="str">
        <f t="shared" si="1"/>
        <v>USDSFIX2Y=</v>
      </c>
      <c r="N8" s="387">
        <v>41765</v>
      </c>
      <c r="O8" s="386">
        <v>0</v>
      </c>
      <c r="P8" s="386" t="b">
        <f t="shared" si="2"/>
        <v>0</v>
      </c>
      <c r="Q8" s="385" t="e">
        <f>IF($P8,_xll.qlIndexAddFixings($S8,$N8,$O8/100,TRUE,ISERROR($T8)),NA())</f>
        <v>#N/A</v>
      </c>
      <c r="R8" s="375"/>
      <c r="S8" s="384" t="str">
        <f t="shared" si="3"/>
        <v>UsdLiborSwapIsdaFixAm2Y</v>
      </c>
      <c r="T8" s="383">
        <f>_xll.qlIndexFixing($S8,$N8,TRUE,$P8)</f>
        <v>5.5027394312747151E-3</v>
      </c>
      <c r="U8" s="383" t="e">
        <f>IF($Q8,_xll.qlIndexFixing($S8,$N8,FALSE,$P8),"-")</f>
        <v>#N/A</v>
      </c>
      <c r="V8" s="383" t="e">
        <f t="shared" si="4"/>
        <v>#N/A</v>
      </c>
      <c r="W8" s="382" t="e">
        <f>_xll.qlIndexFixing($S8,$N8,TRUE,$U8)</f>
        <v>#NUM!</v>
      </c>
      <c r="X8" s="414">
        <f t="shared" si="5"/>
        <v>0</v>
      </c>
      <c r="Y8" s="370"/>
    </row>
    <row r="9" spans="1:25" s="19" customFormat="1" x14ac:dyDescent="0.2">
      <c r="B9" s="29"/>
      <c r="C9" s="28" t="s">
        <v>83</v>
      </c>
      <c r="D9" s="27" t="s">
        <v>17</v>
      </c>
      <c r="E9" s="26" t="str">
        <f t="shared" si="0"/>
        <v>UsdLiborSwapIsdaFixAm3Y</v>
      </c>
      <c r="F9" s="25" t="str">
        <f>_xll.qlLiborSwap($E9,Currency,FixingType,$C9,Currency&amp;$D9,Discounting,Permanent,Trigger,ObjectOverwrite)</f>
        <v>UsdLiborSwapIsdaFixAm3Y#0000</v>
      </c>
      <c r="G9" s="24" t="str">
        <f>_xll.ohRangeRetrieveError(F9)</f>
        <v/>
      </c>
      <c r="H9" s="23"/>
      <c r="J9" s="351"/>
      <c r="K9" s="380"/>
      <c r="L9" s="388" t="s">
        <v>83</v>
      </c>
      <c r="M9" s="383" t="str">
        <f t="shared" si="1"/>
        <v>USDSFIX3Y=</v>
      </c>
      <c r="N9" s="387">
        <v>41765</v>
      </c>
      <c r="O9" s="386">
        <v>0</v>
      </c>
      <c r="P9" s="386" t="b">
        <f t="shared" si="2"/>
        <v>0</v>
      </c>
      <c r="Q9" s="385" t="e">
        <f>IF($P9,_xll.qlIndexAddFixings($S9,$N9,$O9/100,TRUE,ISERROR($T9)),NA())</f>
        <v>#N/A</v>
      </c>
      <c r="R9" s="375"/>
      <c r="S9" s="384" t="str">
        <f t="shared" si="3"/>
        <v>UsdLiborSwapIsdaFixAm3Y</v>
      </c>
      <c r="T9" s="383">
        <f>_xll.qlIndexFixing($S9,$N9,TRUE,$P9)</f>
        <v>1.010338793776836E-2</v>
      </c>
      <c r="U9" s="383" t="e">
        <f>IF($Q9,_xll.qlIndexFixing($S9,$N9,FALSE,$P9),"-")</f>
        <v>#N/A</v>
      </c>
      <c r="V9" s="383" t="e">
        <f t="shared" si="4"/>
        <v>#N/A</v>
      </c>
      <c r="W9" s="382" t="e">
        <f>_xll.qlIndexFixing($S9,$N9,TRUE,$U9)</f>
        <v>#NUM!</v>
      </c>
      <c r="X9" s="414">
        <f t="shared" si="5"/>
        <v>0</v>
      </c>
      <c r="Y9" s="370"/>
    </row>
    <row r="10" spans="1:25" s="19" customFormat="1" x14ac:dyDescent="0.2">
      <c r="B10" s="29"/>
      <c r="C10" s="28" t="s">
        <v>82</v>
      </c>
      <c r="D10" s="27" t="s">
        <v>17</v>
      </c>
      <c r="E10" s="26" t="str">
        <f t="shared" si="0"/>
        <v>UsdLiborSwapIsdaFixAm4Y</v>
      </c>
      <c r="F10" s="25" t="str">
        <f>_xll.qlLiborSwap($E10,Currency,FixingType,$C10,Currency&amp;$D10,Discounting,Permanent,Trigger,ObjectOverwrite)</f>
        <v>UsdLiborSwapIsdaFixAm4Y#0000</v>
      </c>
      <c r="G10" s="24" t="str">
        <f>_xll.ohRangeRetrieveError(F10)</f>
        <v/>
      </c>
      <c r="H10" s="23"/>
      <c r="J10" s="351"/>
      <c r="K10" s="380"/>
      <c r="L10" s="388" t="s">
        <v>82</v>
      </c>
      <c r="M10" s="383" t="str">
        <f t="shared" si="1"/>
        <v>USDSFIX4Y=</v>
      </c>
      <c r="N10" s="387">
        <v>41765</v>
      </c>
      <c r="O10" s="386">
        <v>0</v>
      </c>
      <c r="P10" s="386" t="b">
        <f t="shared" si="2"/>
        <v>0</v>
      </c>
      <c r="Q10" s="385" t="e">
        <f>IF($P10,_xll.qlIndexAddFixings($S10,$N10,$O10/100,TRUE,ISERROR($T10)),NA())</f>
        <v>#N/A</v>
      </c>
      <c r="R10" s="375"/>
      <c r="S10" s="384" t="str">
        <f t="shared" si="3"/>
        <v>UsdLiborSwapIsdaFixAm4Y</v>
      </c>
      <c r="T10" s="383">
        <f>_xll.qlIndexFixing($S10,$N10,TRUE,$P10)</f>
        <v>1.4287700352503652E-2</v>
      </c>
      <c r="U10" s="383" t="e">
        <f>IF($Q10,_xll.qlIndexFixing($S10,$N10,FALSE,$P10),"-")</f>
        <v>#N/A</v>
      </c>
      <c r="V10" s="383" t="e">
        <f t="shared" si="4"/>
        <v>#N/A</v>
      </c>
      <c r="W10" s="382" t="e">
        <f>_xll.qlIndexFixing($S10,$N10,TRUE,$U10)</f>
        <v>#NUM!</v>
      </c>
      <c r="X10" s="414">
        <f t="shared" si="5"/>
        <v>0</v>
      </c>
      <c r="Y10" s="370"/>
    </row>
    <row r="11" spans="1:25" s="19" customFormat="1" x14ac:dyDescent="0.2">
      <c r="B11" s="29"/>
      <c r="C11" s="28" t="s">
        <v>81</v>
      </c>
      <c r="D11" s="27" t="s">
        <v>17</v>
      </c>
      <c r="E11" s="26" t="str">
        <f t="shared" si="0"/>
        <v>UsdLiborSwapIsdaFixAm5Y</v>
      </c>
      <c r="F11" s="25" t="str">
        <f>_xll.qlLiborSwap($E11,Currency,FixingType,$C11,Currency&amp;$D11,Discounting,Permanent,Trigger,ObjectOverwrite)</f>
        <v>UsdLiborSwapIsdaFixAm5Y#0000</v>
      </c>
      <c r="G11" s="24" t="str">
        <f>_xll.ohRangeRetrieveError(F11)</f>
        <v/>
      </c>
      <c r="H11" s="23"/>
      <c r="J11" s="351"/>
      <c r="K11" s="380"/>
      <c r="L11" s="388" t="s">
        <v>81</v>
      </c>
      <c r="M11" s="383" t="str">
        <f t="shared" si="1"/>
        <v>USDSFIX5Y=</v>
      </c>
      <c r="N11" s="387">
        <v>41765</v>
      </c>
      <c r="O11" s="386">
        <v>0</v>
      </c>
      <c r="P11" s="386" t="b">
        <f t="shared" si="2"/>
        <v>0</v>
      </c>
      <c r="Q11" s="385" t="e">
        <f>IF($P11,_xll.qlIndexAddFixings($S11,$N11,$O11/100,TRUE,ISERROR($T11)),NA())</f>
        <v>#N/A</v>
      </c>
      <c r="R11" s="375"/>
      <c r="S11" s="384" t="str">
        <f t="shared" si="3"/>
        <v>UsdLiborSwapIsdaFixAm5Y</v>
      </c>
      <c r="T11" s="383">
        <f>_xll.qlIndexFixing($S11,$N11,TRUE,$P11)</f>
        <v>1.7739609795869613E-2</v>
      </c>
      <c r="U11" s="383" t="e">
        <f>IF($Q11,_xll.qlIndexFixing($S11,$N11,FALSE,$P11),"-")</f>
        <v>#N/A</v>
      </c>
      <c r="V11" s="383" t="e">
        <f t="shared" si="4"/>
        <v>#N/A</v>
      </c>
      <c r="W11" s="382" t="e">
        <f>_xll.qlIndexFixing($S11,$N11,TRUE,$U11)</f>
        <v>#NUM!</v>
      </c>
      <c r="X11" s="414">
        <f t="shared" si="5"/>
        <v>0</v>
      </c>
      <c r="Y11" s="370"/>
    </row>
    <row r="12" spans="1:25" s="19" customFormat="1" x14ac:dyDescent="0.2">
      <c r="B12" s="29"/>
      <c r="C12" s="28" t="s">
        <v>80</v>
      </c>
      <c r="D12" s="27" t="s">
        <v>17</v>
      </c>
      <c r="E12" s="26" t="str">
        <f t="shared" si="0"/>
        <v>UsdLiborSwapIsdaFixAm6Y</v>
      </c>
      <c r="F12" s="25" t="str">
        <f>_xll.qlLiborSwap($E12,Currency,FixingType,$C12,Currency&amp;$D12,Discounting,Permanent,Trigger,ObjectOverwrite)</f>
        <v>UsdLiborSwapIsdaFixAm6Y#0000</v>
      </c>
      <c r="G12" s="24" t="str">
        <f>_xll.ohRangeRetrieveError(F12)</f>
        <v/>
      </c>
      <c r="H12" s="23"/>
      <c r="J12" s="351"/>
      <c r="K12" s="380"/>
      <c r="L12" s="388" t="s">
        <v>80</v>
      </c>
      <c r="M12" s="383" t="str">
        <f t="shared" si="1"/>
        <v>USDSFIX6Y=</v>
      </c>
      <c r="N12" s="387">
        <v>41765</v>
      </c>
      <c r="O12" s="386">
        <v>0</v>
      </c>
      <c r="P12" s="386" t="b">
        <f t="shared" si="2"/>
        <v>0</v>
      </c>
      <c r="Q12" s="385" t="e">
        <f>IF($P12,_xll.qlIndexAddFixings($S12,$N12,$O12/100,TRUE,ISERROR($T12)),NA())</f>
        <v>#N/A</v>
      </c>
      <c r="R12" s="375"/>
      <c r="S12" s="384" t="str">
        <f t="shared" si="3"/>
        <v>UsdLiborSwapIsdaFixAm6Y</v>
      </c>
      <c r="T12" s="383">
        <f>_xll.qlIndexFixing($S12,$N12,TRUE,$P12)</f>
        <v>2.0551951901512905E-2</v>
      </c>
      <c r="U12" s="383" t="e">
        <f>IF($Q12,_xll.qlIndexFixing($S12,$N12,FALSE,$P12),"-")</f>
        <v>#N/A</v>
      </c>
      <c r="V12" s="383" t="e">
        <f t="shared" si="4"/>
        <v>#N/A</v>
      </c>
      <c r="W12" s="382" t="e">
        <f>_xll.qlIndexFixing($S12,$N12,TRUE,$U12)</f>
        <v>#NUM!</v>
      </c>
      <c r="X12" s="414">
        <f t="shared" si="5"/>
        <v>0</v>
      </c>
      <c r="Y12" s="370"/>
    </row>
    <row r="13" spans="1:25" s="19" customFormat="1" x14ac:dyDescent="0.2">
      <c r="B13" s="29"/>
      <c r="C13" s="28" t="s">
        <v>79</v>
      </c>
      <c r="D13" s="27" t="s">
        <v>17</v>
      </c>
      <c r="E13" s="26" t="str">
        <f t="shared" si="0"/>
        <v>UsdLiborSwapIsdaFixAm7Y</v>
      </c>
      <c r="F13" s="25" t="str">
        <f>_xll.qlLiborSwap($E13,Currency,FixingType,$C13,Currency&amp;$D13,Discounting,Permanent,Trigger,ObjectOverwrite)</f>
        <v>UsdLiborSwapIsdaFixAm7Y#0000</v>
      </c>
      <c r="G13" s="24" t="str">
        <f>_xll.ohRangeRetrieveError(F13)</f>
        <v/>
      </c>
      <c r="H13" s="23"/>
      <c r="J13" s="351"/>
      <c r="K13" s="380"/>
      <c r="L13" s="388" t="s">
        <v>79</v>
      </c>
      <c r="M13" s="383" t="str">
        <f t="shared" si="1"/>
        <v>USDSFIX7Y=</v>
      </c>
      <c r="N13" s="387">
        <v>41765</v>
      </c>
      <c r="O13" s="386">
        <v>0</v>
      </c>
      <c r="P13" s="386" t="b">
        <f t="shared" si="2"/>
        <v>0</v>
      </c>
      <c r="Q13" s="385" t="e">
        <f>IF($P13,_xll.qlIndexAddFixings($S13,$N13,$O13/100,TRUE,ISERROR($T13)),NA())</f>
        <v>#N/A</v>
      </c>
      <c r="R13" s="375"/>
      <c r="S13" s="384" t="str">
        <f t="shared" si="3"/>
        <v>UsdLiborSwapIsdaFixAm7Y</v>
      </c>
      <c r="T13" s="383">
        <f>_xll.qlIndexFixing($S13,$N13,TRUE,$P13)</f>
        <v>2.2729230885024949E-2</v>
      </c>
      <c r="U13" s="383" t="e">
        <f>IF($Q13,_xll.qlIndexFixing($S13,$N13,FALSE,$P13),"-")</f>
        <v>#N/A</v>
      </c>
      <c r="V13" s="383" t="e">
        <f t="shared" si="4"/>
        <v>#N/A</v>
      </c>
      <c r="W13" s="382" t="e">
        <f>_xll.qlIndexFixing($S13,$N13,TRUE,$U13)</f>
        <v>#NUM!</v>
      </c>
      <c r="X13" s="414">
        <f t="shared" si="5"/>
        <v>0</v>
      </c>
      <c r="Y13" s="370"/>
    </row>
    <row r="14" spans="1:25" s="19" customFormat="1" x14ac:dyDescent="0.2">
      <c r="B14" s="29"/>
      <c r="C14" s="28" t="s">
        <v>78</v>
      </c>
      <c r="D14" s="27" t="s">
        <v>17</v>
      </c>
      <c r="E14" s="26" t="str">
        <f t="shared" si="0"/>
        <v>UsdLiborSwapIsdaFixAm8Y</v>
      </c>
      <c r="F14" s="25" t="str">
        <f>_xll.qlLiborSwap($E14,Currency,FixingType,$C14,Currency&amp;$D14,Discounting,Permanent,Trigger,ObjectOverwrite)</f>
        <v>UsdLiborSwapIsdaFixAm8Y#0000</v>
      </c>
      <c r="G14" s="24" t="str">
        <f>_xll.ohRangeRetrieveError(F14)</f>
        <v/>
      </c>
      <c r="H14" s="23"/>
      <c r="J14" s="351"/>
      <c r="K14" s="380"/>
      <c r="L14" s="388" t="s">
        <v>78</v>
      </c>
      <c r="M14" s="383" t="str">
        <f t="shared" si="1"/>
        <v>USDSFIX8Y=</v>
      </c>
      <c r="N14" s="387">
        <v>41765</v>
      </c>
      <c r="O14" s="386">
        <v>0</v>
      </c>
      <c r="P14" s="386" t="b">
        <f t="shared" si="2"/>
        <v>0</v>
      </c>
      <c r="Q14" s="385" t="e">
        <f>IF($P14,_xll.qlIndexAddFixings($S14,$N14,$O14/100,TRUE,ISERROR($T14)),NA())</f>
        <v>#N/A</v>
      </c>
      <c r="R14" s="375"/>
      <c r="S14" s="384" t="str">
        <f t="shared" si="3"/>
        <v>UsdLiborSwapIsdaFixAm8Y</v>
      </c>
      <c r="T14" s="383">
        <f>_xll.qlIndexFixing($S14,$N14,TRUE,$P14)</f>
        <v>2.4493889167262833E-2</v>
      </c>
      <c r="U14" s="383" t="e">
        <f>IF($Q14,_xll.qlIndexFixing($S14,$N14,FALSE,$P14),"-")</f>
        <v>#N/A</v>
      </c>
      <c r="V14" s="383" t="e">
        <f t="shared" si="4"/>
        <v>#N/A</v>
      </c>
      <c r="W14" s="382" t="e">
        <f>_xll.qlIndexFixing($S14,$N14,TRUE,$U14)</f>
        <v>#NUM!</v>
      </c>
      <c r="X14" s="414">
        <f t="shared" si="5"/>
        <v>0</v>
      </c>
      <c r="Y14" s="370"/>
    </row>
    <row r="15" spans="1:25" s="19" customFormat="1" x14ac:dyDescent="0.2">
      <c r="B15" s="29"/>
      <c r="C15" s="28" t="s">
        <v>77</v>
      </c>
      <c r="D15" s="27" t="s">
        <v>17</v>
      </c>
      <c r="E15" s="26" t="str">
        <f t="shared" si="0"/>
        <v>UsdLiborSwapIsdaFixAm9Y</v>
      </c>
      <c r="F15" s="25" t="str">
        <f>_xll.qlLiborSwap($E15,Currency,FixingType,$C15,Currency&amp;$D15,Discounting,Permanent,Trigger,ObjectOverwrite)</f>
        <v>UsdLiborSwapIsdaFixAm9Y#0000</v>
      </c>
      <c r="G15" s="24" t="str">
        <f>_xll.ohRangeRetrieveError(F15)</f>
        <v/>
      </c>
      <c r="H15" s="23"/>
      <c r="J15" s="351"/>
      <c r="K15" s="380"/>
      <c r="L15" s="388" t="s">
        <v>77</v>
      </c>
      <c r="M15" s="383" t="str">
        <f t="shared" si="1"/>
        <v>USDSFIX9Y=</v>
      </c>
      <c r="N15" s="387">
        <v>41765</v>
      </c>
      <c r="O15" s="386">
        <v>0</v>
      </c>
      <c r="P15" s="386" t="b">
        <f t="shared" si="2"/>
        <v>0</v>
      </c>
      <c r="Q15" s="385" t="e">
        <f>IF($P15,_xll.qlIndexAddFixings($S15,$N15,$O15/100,TRUE,ISERROR($T15)),NA())</f>
        <v>#N/A</v>
      </c>
      <c r="R15" s="375"/>
      <c r="S15" s="384" t="str">
        <f t="shared" si="3"/>
        <v>UsdLiborSwapIsdaFixAm9Y</v>
      </c>
      <c r="T15" s="383">
        <f>_xll.qlIndexFixing($S15,$N15,TRUE,$P15)</f>
        <v>2.5946692149749786E-2</v>
      </c>
      <c r="U15" s="383" t="e">
        <f>IF($Q15,_xll.qlIndexFixing($S15,$N15,FALSE,$P15),"-")</f>
        <v>#N/A</v>
      </c>
      <c r="V15" s="383" t="e">
        <f t="shared" si="4"/>
        <v>#N/A</v>
      </c>
      <c r="W15" s="382" t="e">
        <f>_xll.qlIndexFixing($S15,$N15,TRUE,$U15)</f>
        <v>#NUM!</v>
      </c>
      <c r="X15" s="414">
        <f t="shared" si="5"/>
        <v>0</v>
      </c>
      <c r="Y15" s="370"/>
    </row>
    <row r="16" spans="1:25" s="19" customFormat="1" x14ac:dyDescent="0.2">
      <c r="B16" s="29"/>
      <c r="C16" s="28" t="s">
        <v>76</v>
      </c>
      <c r="D16" s="27" t="s">
        <v>17</v>
      </c>
      <c r="E16" s="26" t="str">
        <f t="shared" si="0"/>
        <v>UsdLiborSwapIsdaFixAm10Y</v>
      </c>
      <c r="F16" s="25" t="str">
        <f>_xll.qlLiborSwap($E16,Currency,FixingType,$C16,Currency&amp;$D16,Discounting,Permanent,Trigger,ObjectOverwrite)</f>
        <v>UsdLiborSwapIsdaFixAm10Y#0000</v>
      </c>
      <c r="G16" s="24" t="str">
        <f>_xll.ohRangeRetrieveError(F16)</f>
        <v/>
      </c>
      <c r="H16" s="23"/>
      <c r="J16" s="351"/>
      <c r="K16" s="380"/>
      <c r="L16" s="388" t="s">
        <v>76</v>
      </c>
      <c r="M16" s="383" t="str">
        <f t="shared" si="1"/>
        <v>USDSFIX10Y=</v>
      </c>
      <c r="N16" s="387">
        <v>41765</v>
      </c>
      <c r="O16" s="386">
        <v>0</v>
      </c>
      <c r="P16" s="386" t="b">
        <f t="shared" si="2"/>
        <v>0</v>
      </c>
      <c r="Q16" s="385" t="e">
        <f>IF($P16,_xll.qlIndexAddFixings($S16,$N16,$O16/100,TRUE,ISERROR($T16)),NA())</f>
        <v>#N/A</v>
      </c>
      <c r="R16" s="375"/>
      <c r="S16" s="384" t="str">
        <f t="shared" si="3"/>
        <v>UsdLiborSwapIsdaFixAm10Y</v>
      </c>
      <c r="T16" s="383">
        <f>_xll.qlIndexFixing($S16,$N16,TRUE,$P16)</f>
        <v>2.7174534537923459E-2</v>
      </c>
      <c r="U16" s="383" t="e">
        <f>IF($Q16,_xll.qlIndexFixing($S16,$N16,FALSE,$P16),"-")</f>
        <v>#N/A</v>
      </c>
      <c r="V16" s="383" t="e">
        <f t="shared" si="4"/>
        <v>#N/A</v>
      </c>
      <c r="W16" s="382" t="e">
        <f>_xll.qlIndexFixing($S16,$N16,TRUE,$U16)</f>
        <v>#NUM!</v>
      </c>
      <c r="X16" s="414">
        <f t="shared" si="5"/>
        <v>0</v>
      </c>
      <c r="Y16" s="370"/>
    </row>
    <row r="17" spans="2:25" s="19" customFormat="1" x14ac:dyDescent="0.2">
      <c r="B17" s="29"/>
      <c r="C17" s="28" t="s">
        <v>75</v>
      </c>
      <c r="D17" s="27" t="s">
        <v>17</v>
      </c>
      <c r="E17" s="26" t="str">
        <f t="shared" si="0"/>
        <v>UsdLiborSwapIsdaFixAm11Y</v>
      </c>
      <c r="F17" s="25" t="str">
        <f>_xll.qlLiborSwap($E17,Currency,FixingType,$C17,Currency&amp;$D17,Discounting,Permanent,Trigger,ObjectOverwrite)</f>
        <v>UsdLiborSwapIsdaFixAm11Y#0000</v>
      </c>
      <c r="G17" s="24" t="str">
        <f>_xll.ohRangeRetrieveError(F17)</f>
        <v/>
      </c>
      <c r="H17" s="23"/>
      <c r="J17" s="351"/>
      <c r="K17" s="380"/>
      <c r="L17" s="388" t="s">
        <v>74</v>
      </c>
      <c r="M17" s="383" t="str">
        <f t="shared" si="1"/>
        <v>USDSFIX12Y=</v>
      </c>
      <c r="N17" s="387" t="s">
        <v>213</v>
      </c>
      <c r="O17" s="386" t="s">
        <v>213</v>
      </c>
      <c r="P17" s="386" t="b">
        <f t="shared" si="2"/>
        <v>0</v>
      </c>
      <c r="Q17" s="385" t="e">
        <f>IF($P17,_xll.qlIndexAddFixings($S17,$N17,$O17/100,TRUE,ISERROR($T17)),NA())</f>
        <v>#N/A</v>
      </c>
      <c r="R17" s="375"/>
      <c r="S17" s="384" t="str">
        <f t="shared" si="3"/>
        <v>UsdLiborSwapIsdaFixAm12Y</v>
      </c>
      <c r="T17" s="383" t="e">
        <f>_xll.qlIndexFixing($S17,$N17,TRUE,$P17)</f>
        <v>#NUM!</v>
      </c>
      <c r="U17" s="383" t="e">
        <f>IF($Q17,_xll.qlIndexFixing($S17,$N17,FALSE,$P17),"-")</f>
        <v>#N/A</v>
      </c>
      <c r="V17" s="383" t="e">
        <f t="shared" si="4"/>
        <v>#NUM!</v>
      </c>
      <c r="W17" s="382" t="e">
        <f>_xll.qlIndexFixing($S17,$N17,TRUE,$U17)</f>
        <v>#NUM!</v>
      </c>
      <c r="X17" s="414">
        <f t="shared" si="5"/>
        <v>0</v>
      </c>
      <c r="Y17" s="370"/>
    </row>
    <row r="18" spans="2:25" s="19" customFormat="1" x14ac:dyDescent="0.2">
      <c r="B18" s="29"/>
      <c r="C18" s="28" t="s">
        <v>74</v>
      </c>
      <c r="D18" s="27" t="s">
        <v>17</v>
      </c>
      <c r="E18" s="26" t="str">
        <f t="shared" si="0"/>
        <v>UsdLiborSwapIsdaFixAm12Y</v>
      </c>
      <c r="F18" s="25" t="str">
        <f>_xll.qlLiborSwap($E18,Currency,FixingType,$C18,Currency&amp;$D18,Discounting,Permanent,Trigger,ObjectOverwrite)</f>
        <v>UsdLiborSwapIsdaFixAm12Y#0000</v>
      </c>
      <c r="G18" s="24" t="str">
        <f>_xll.ohRangeRetrieveError(F18)</f>
        <v/>
      </c>
      <c r="H18" s="23"/>
      <c r="J18" s="351"/>
      <c r="K18" s="380"/>
      <c r="L18" s="388" t="s">
        <v>71</v>
      </c>
      <c r="M18" s="383" t="str">
        <f t="shared" si="1"/>
        <v>USDSFIX15Y=</v>
      </c>
      <c r="N18" s="387">
        <v>41765</v>
      </c>
      <c r="O18" s="386">
        <v>0</v>
      </c>
      <c r="P18" s="386" t="b">
        <f t="shared" si="2"/>
        <v>0</v>
      </c>
      <c r="Q18" s="385" t="e">
        <f>IF($P18,_xll.qlIndexAddFixings($S18,$N18,$O18/100,TRUE,ISERROR($T18)),NA())</f>
        <v>#N/A</v>
      </c>
      <c r="R18" s="375"/>
      <c r="S18" s="384" t="str">
        <f t="shared" si="3"/>
        <v>UsdLiborSwapIsdaFixAm15Y</v>
      </c>
      <c r="T18" s="383">
        <f>_xll.qlIndexFixing($S18,$N18,TRUE,$P18)</f>
        <v>3.1056600692727348E-2</v>
      </c>
      <c r="U18" s="383" t="e">
        <f>IF($Q18,_xll.qlIndexFixing($S18,$N18,FALSE,$P18),"-")</f>
        <v>#N/A</v>
      </c>
      <c r="V18" s="383" t="e">
        <f t="shared" si="4"/>
        <v>#N/A</v>
      </c>
      <c r="W18" s="382" t="e">
        <f>_xll.qlIndexFixing($S18,$N18,TRUE,$U18)</f>
        <v>#NUM!</v>
      </c>
      <c r="X18" s="414">
        <f t="shared" si="5"/>
        <v>0</v>
      </c>
      <c r="Y18" s="370"/>
    </row>
    <row r="19" spans="2:25" s="19" customFormat="1" x14ac:dyDescent="0.2">
      <c r="B19" s="29"/>
      <c r="C19" s="28" t="s">
        <v>73</v>
      </c>
      <c r="D19" s="27" t="s">
        <v>17</v>
      </c>
      <c r="E19" s="26" t="str">
        <f t="shared" si="0"/>
        <v>UsdLiborSwapIsdaFixAm13Y</v>
      </c>
      <c r="F19" s="25" t="str">
        <f>_xll.qlLiborSwap($E19,Currency,FixingType,$C19,Currency&amp;$D19,Discounting,Permanent,Trigger,ObjectOverwrite)</f>
        <v>UsdLiborSwapIsdaFixAm13Y#0000</v>
      </c>
      <c r="G19" s="24" t="str">
        <f>_xll.ohRangeRetrieveError(F19)</f>
        <v/>
      </c>
      <c r="H19" s="23"/>
      <c r="J19" s="351"/>
      <c r="K19" s="380"/>
      <c r="L19" s="388" t="s">
        <v>66</v>
      </c>
      <c r="M19" s="383" t="str">
        <f t="shared" si="1"/>
        <v>USDSFIX20Y=</v>
      </c>
      <c r="N19" s="387">
        <v>41765</v>
      </c>
      <c r="O19" s="386">
        <v>0</v>
      </c>
      <c r="P19" s="386" t="b">
        <f t="shared" si="2"/>
        <v>0</v>
      </c>
      <c r="Q19" s="385" t="e">
        <f>IF($P19,_xll.qlIndexAddFixings($S19,$N19,$O19/100,TRUE,ISERROR($T19)),NA())</f>
        <v>#N/A</v>
      </c>
      <c r="R19" s="375"/>
      <c r="S19" s="384" t="str">
        <f t="shared" si="3"/>
        <v>UsdLiborSwapIsdaFixAm20Y</v>
      </c>
      <c r="T19" s="383">
        <f>_xll.qlIndexFixing($S19,$N19,TRUE,$P19)</f>
        <v>3.2705732349337692E-2</v>
      </c>
      <c r="U19" s="383" t="e">
        <f>IF($Q19,_xll.qlIndexFixing($S19,$N19,FALSE,$P19),"-")</f>
        <v>#N/A</v>
      </c>
      <c r="V19" s="383" t="e">
        <f t="shared" si="4"/>
        <v>#N/A</v>
      </c>
      <c r="W19" s="382" t="e">
        <f>_xll.qlIndexFixing($S19,$N19,TRUE,$U19)</f>
        <v>#NUM!</v>
      </c>
      <c r="X19" s="414">
        <f t="shared" si="5"/>
        <v>0</v>
      </c>
      <c r="Y19" s="370"/>
    </row>
    <row r="20" spans="2:25" s="19" customFormat="1" x14ac:dyDescent="0.2">
      <c r="B20" s="29"/>
      <c r="C20" s="28" t="s">
        <v>72</v>
      </c>
      <c r="D20" s="27" t="s">
        <v>17</v>
      </c>
      <c r="E20" s="26" t="str">
        <f t="shared" si="0"/>
        <v>UsdLiborSwapIsdaFixAm14Y</v>
      </c>
      <c r="F20" s="25" t="str">
        <f>_xll.qlLiborSwap($E20,Currency,FixingType,$C20,Currency&amp;$D20,Discounting,Permanent,Trigger,ObjectOverwrite)</f>
        <v>UsdLiborSwapIsdaFixAm14Y#0000</v>
      </c>
      <c r="G20" s="24" t="str">
        <f>_xll.ohRangeRetrieveError(F20)</f>
        <v/>
      </c>
      <c r="H20" s="23"/>
      <c r="J20" s="351"/>
      <c r="K20" s="380"/>
      <c r="L20" s="388" t="s">
        <v>61</v>
      </c>
      <c r="M20" s="383" t="str">
        <f t="shared" si="1"/>
        <v>USDSFIX25Y=</v>
      </c>
      <c r="N20" s="387">
        <v>40340</v>
      </c>
      <c r="O20" s="386">
        <v>0</v>
      </c>
      <c r="P20" s="386" t="b">
        <f t="shared" si="2"/>
        <v>0</v>
      </c>
      <c r="Q20" s="385" t="e">
        <f>IF($P20,_xll.qlIndexAddFixings($S20,$N20,$O20/100,TRUE,ISERROR($T20)),NA())</f>
        <v>#N/A</v>
      </c>
      <c r="R20" s="375"/>
      <c r="S20" s="384" t="str">
        <f t="shared" si="3"/>
        <v>UsdLiborSwapIsdaFixAm25Y</v>
      </c>
      <c r="T20" s="383" t="e">
        <f>_xll.qlIndexFixing($S20,$N20,TRUE,$P20)</f>
        <v>#NUM!</v>
      </c>
      <c r="U20" s="383" t="e">
        <f>IF($Q20,_xll.qlIndexFixing($S20,$N20,FALSE,$P20),"-")</f>
        <v>#N/A</v>
      </c>
      <c r="V20" s="383" t="e">
        <f t="shared" si="4"/>
        <v>#NUM!</v>
      </c>
      <c r="W20" s="382" t="e">
        <f>_xll.qlIndexFixing($S20,$N20,TRUE,$U20)</f>
        <v>#NUM!</v>
      </c>
      <c r="X20" s="414">
        <f t="shared" si="5"/>
        <v>0</v>
      </c>
      <c r="Y20" s="370"/>
    </row>
    <row r="21" spans="2:25" s="19" customFormat="1" x14ac:dyDescent="0.2">
      <c r="B21" s="29"/>
      <c r="C21" s="28" t="s">
        <v>71</v>
      </c>
      <c r="D21" s="27" t="s">
        <v>17</v>
      </c>
      <c r="E21" s="26" t="str">
        <f t="shared" si="0"/>
        <v>UsdLiborSwapIsdaFixAm15Y</v>
      </c>
      <c r="F21" s="25" t="str">
        <f>_xll.qlLiborSwap($E21,Currency,FixingType,$C21,Currency&amp;$D21,Discounting,Permanent,Trigger,ObjectOverwrite)</f>
        <v>UsdLiborSwapIsdaFixAm15Y#0000</v>
      </c>
      <c r="G21" s="24" t="str">
        <f>_xll.ohRangeRetrieveError(F21)</f>
        <v/>
      </c>
      <c r="H21" s="23"/>
      <c r="J21" s="351"/>
      <c r="K21" s="380"/>
      <c r="L21" s="379" t="s">
        <v>56</v>
      </c>
      <c r="M21" s="373" t="str">
        <f t="shared" si="1"/>
        <v>USDSFIX30Y=</v>
      </c>
      <c r="N21" s="378">
        <v>41765</v>
      </c>
      <c r="O21" s="377">
        <v>0</v>
      </c>
      <c r="P21" s="377" t="b">
        <f t="shared" si="2"/>
        <v>0</v>
      </c>
      <c r="Q21" s="376" t="e">
        <f>IF($P21,_xll.qlIndexAddFixings($S21,$N21,$O21/100,TRUE,ISERROR($T21)),NA())</f>
        <v>#N/A</v>
      </c>
      <c r="R21" s="375"/>
      <c r="S21" s="374" t="str">
        <f t="shared" si="3"/>
        <v>UsdLiborSwapIsdaFixAm30Y</v>
      </c>
      <c r="T21" s="373">
        <f>_xll.qlIndexFixing($S21,$N21,TRUE,$P21)</f>
        <v>3.3716043135256141E-2</v>
      </c>
      <c r="U21" s="373" t="e">
        <f>IF($Q21,_xll.qlIndexFixing($S21,$N21,FALSE,$P21),"-")</f>
        <v>#N/A</v>
      </c>
      <c r="V21" s="373" t="e">
        <f t="shared" si="4"/>
        <v>#N/A</v>
      </c>
      <c r="W21" s="372" t="e">
        <f>_xll.qlIndexFixing($S21,$N21,TRUE,$U21)</f>
        <v>#NUM!</v>
      </c>
      <c r="X21" s="413">
        <f t="shared" si="5"/>
        <v>0</v>
      </c>
      <c r="Y21" s="370"/>
    </row>
    <row r="22" spans="2:25" s="19" customFormat="1" ht="12" thickBot="1" x14ac:dyDescent="0.25">
      <c r="B22" s="29"/>
      <c r="C22" s="28" t="s">
        <v>70</v>
      </c>
      <c r="D22" s="27" t="s">
        <v>17</v>
      </c>
      <c r="E22" s="26" t="str">
        <f t="shared" si="0"/>
        <v>UsdLiborSwapIsdaFixAm16Y</v>
      </c>
      <c r="F22" s="25" t="str">
        <f>_xll.qlLiborSwap($E22,Currency,FixingType,$C22,Currency&amp;$D22,Discounting,Permanent,Trigger,ObjectOverwrite)</f>
        <v>UsdLiborSwapIsdaFixAm16Y#0000</v>
      </c>
      <c r="G22" s="24" t="str">
        <f>_xll.ohRangeRetrieveError(F22)</f>
        <v/>
      </c>
      <c r="H22" s="23"/>
      <c r="J22" s="351"/>
      <c r="K22" s="369"/>
      <c r="L22" s="367"/>
      <c r="M22" s="367"/>
      <c r="N22" s="367"/>
      <c r="O22" s="367"/>
      <c r="P22" s="367"/>
      <c r="Q22" s="367"/>
      <c r="R22" s="366"/>
      <c r="S22" s="366"/>
      <c r="T22" s="366"/>
      <c r="U22" s="366"/>
      <c r="V22" s="366"/>
      <c r="W22" s="366"/>
      <c r="X22" s="366"/>
      <c r="Y22" s="365"/>
    </row>
    <row r="23" spans="2:25" s="19" customFormat="1" ht="12" thickBot="1" x14ac:dyDescent="0.25">
      <c r="B23" s="29"/>
      <c r="C23" s="28" t="s">
        <v>69</v>
      </c>
      <c r="D23" s="27" t="s">
        <v>17</v>
      </c>
      <c r="E23" s="26" t="str">
        <f t="shared" si="0"/>
        <v>UsdLiborSwapIsdaFixAm17Y</v>
      </c>
      <c r="F23" s="25" t="str">
        <f>_xll.qlLiborSwap($E23,Currency,FixingType,$C23,Currency&amp;$D23,Discounting,Permanent,Trigger,ObjectOverwrite)</f>
        <v>UsdLiborSwapIsdaFixAm17Y#0000</v>
      </c>
      <c r="G23" s="24" t="str">
        <f>_xll.ohRangeRetrieveError(F23)</f>
        <v/>
      </c>
      <c r="H23" s="23"/>
      <c r="J23" s="351"/>
      <c r="K23" s="351"/>
      <c r="L23" s="351"/>
      <c r="M23" s="351"/>
      <c r="N23" s="364"/>
      <c r="O23" s="363"/>
      <c r="P23" s="363"/>
      <c r="Q23" s="351"/>
      <c r="R23" s="351"/>
      <c r="S23" s="351"/>
      <c r="T23" s="351"/>
      <c r="U23" s="351"/>
      <c r="V23" s="351"/>
      <c r="W23" s="351"/>
      <c r="X23" s="351"/>
      <c r="Y23" s="351"/>
    </row>
    <row r="24" spans="2:25" s="19" customFormat="1" x14ac:dyDescent="0.2">
      <c r="B24" s="29"/>
      <c r="C24" s="28" t="s">
        <v>68</v>
      </c>
      <c r="D24" s="27" t="s">
        <v>17</v>
      </c>
      <c r="E24" s="26" t="str">
        <f t="shared" si="0"/>
        <v>UsdLiborSwapIsdaFixAm18Y</v>
      </c>
      <c r="F24" s="25" t="str">
        <f>_xll.qlLiborSwap($E24,Currency,FixingType,$C24,Currency&amp;$D24,Discounting,Permanent,Trigger,ObjectOverwrite)</f>
        <v>UsdLiborSwapIsdaFixAm18Y#0000</v>
      </c>
      <c r="G24" s="24" t="str">
        <f>_xll.ohRangeRetrieveError(F24)</f>
        <v/>
      </c>
      <c r="H24" s="23"/>
      <c r="J24" s="351"/>
      <c r="K24" s="351"/>
      <c r="L24" s="362" t="s">
        <v>105</v>
      </c>
      <c r="M24" s="361" t="s">
        <v>291</v>
      </c>
      <c r="N24" s="360" t="s">
        <v>292</v>
      </c>
      <c r="O24" s="351"/>
      <c r="P24" s="351"/>
      <c r="Q24" s="351"/>
      <c r="R24" s="351"/>
      <c r="S24" s="351"/>
      <c r="T24" s="351"/>
      <c r="U24" s="351"/>
      <c r="V24" s="351"/>
      <c r="W24" s="351"/>
      <c r="X24" s="351"/>
      <c r="Y24" s="351"/>
    </row>
    <row r="25" spans="2:25" s="19" customFormat="1" x14ac:dyDescent="0.2">
      <c r="B25" s="29"/>
      <c r="C25" s="28" t="s">
        <v>67</v>
      </c>
      <c r="D25" s="27" t="s">
        <v>17</v>
      </c>
      <c r="E25" s="26" t="str">
        <f t="shared" si="0"/>
        <v>UsdLiborSwapIsdaFixAm19Y</v>
      </c>
      <c r="F25" s="25" t="str">
        <f>_xll.qlLiborSwap($E25,Currency,FixingType,$C25,Currency&amp;$D25,Discounting,Permanent,Trigger,ObjectOverwrite)</f>
        <v>UsdLiborSwapIsdaFixAm19Y#0000</v>
      </c>
      <c r="G25" s="24" t="str">
        <f>_xll.ohRangeRetrieveError(F25)</f>
        <v/>
      </c>
      <c r="H25" s="23"/>
      <c r="J25" s="351"/>
      <c r="K25" s="351"/>
      <c r="L25" s="357" t="s">
        <v>104</v>
      </c>
      <c r="M25" s="356" t="s">
        <v>294</v>
      </c>
      <c r="N25" s="355" t="s">
        <v>293</v>
      </c>
      <c r="O25" s="351"/>
      <c r="P25" s="351"/>
      <c r="Q25" s="351"/>
      <c r="R25" s="351"/>
      <c r="S25" s="351"/>
      <c r="T25" s="351"/>
      <c r="U25" s="351"/>
      <c r="V25" s="351"/>
      <c r="W25" s="351"/>
      <c r="X25" s="351"/>
      <c r="Y25" s="351"/>
    </row>
    <row r="26" spans="2:25" s="19" customFormat="1" x14ac:dyDescent="0.2">
      <c r="B26" s="29"/>
      <c r="C26" s="28" t="s">
        <v>66</v>
      </c>
      <c r="D26" s="27" t="s">
        <v>17</v>
      </c>
      <c r="E26" s="26" t="str">
        <f t="shared" si="0"/>
        <v>UsdLiborSwapIsdaFixAm20Y</v>
      </c>
      <c r="F26" s="25" t="str">
        <f>_xll.qlLiborSwap($E26,Currency,FixingType,$C26,Currency&amp;$D26,Discounting,Permanent,Trigger,ObjectOverwrite)</f>
        <v>UsdLiborSwapIsdaFixAm20Y#0000</v>
      </c>
      <c r="G26" s="24" t="str">
        <f>_xll.ohRangeRetrieveError(F26)</f>
        <v/>
      </c>
      <c r="H26" s="23"/>
      <c r="J26" s="351"/>
      <c r="K26" s="351"/>
      <c r="L26" s="357" t="s">
        <v>282</v>
      </c>
      <c r="M26" s="356" t="s">
        <v>291</v>
      </c>
      <c r="N26" s="355" t="s">
        <v>290</v>
      </c>
      <c r="O26" s="351"/>
      <c r="P26" s="351"/>
      <c r="Q26" s="351"/>
      <c r="R26" s="351"/>
      <c r="S26" s="351"/>
      <c r="T26" s="351"/>
      <c r="U26" s="351"/>
      <c r="V26" s="351"/>
      <c r="W26" s="351"/>
      <c r="X26" s="351"/>
      <c r="Y26" s="351"/>
    </row>
    <row r="27" spans="2:25" s="19" customFormat="1" x14ac:dyDescent="0.2">
      <c r="B27" s="29"/>
      <c r="C27" s="28" t="s">
        <v>65</v>
      </c>
      <c r="D27" s="27" t="s">
        <v>17</v>
      </c>
      <c r="E27" s="26" t="str">
        <f t="shared" si="0"/>
        <v>UsdLiborSwapIsdaFixAm21Y</v>
      </c>
      <c r="F27" s="25" t="str">
        <f>_xll.qlLiborSwap($E27,Currency,FixingType,$C27,Currency&amp;$D27,Discounting,Permanent,Trigger,ObjectOverwrite)</f>
        <v>UsdLiborSwapIsdaFixAm21Y#0000</v>
      </c>
      <c r="G27" s="24" t="str">
        <f>_xll.ohRangeRetrieveError(F27)</f>
        <v/>
      </c>
      <c r="H27" s="23"/>
      <c r="J27" s="351"/>
      <c r="K27" s="351"/>
      <c r="L27" s="357" t="s">
        <v>281</v>
      </c>
      <c r="M27" s="356" t="s">
        <v>291</v>
      </c>
      <c r="N27" s="355" t="s">
        <v>292</v>
      </c>
      <c r="O27" s="351"/>
      <c r="P27" s="351"/>
      <c r="Q27" s="351"/>
      <c r="R27" s="351"/>
      <c r="S27" s="351"/>
      <c r="T27" s="351"/>
      <c r="U27" s="351"/>
      <c r="V27" s="351"/>
      <c r="W27" s="351"/>
      <c r="X27" s="351"/>
      <c r="Y27" s="351"/>
    </row>
    <row r="28" spans="2:25" s="19" customFormat="1" x14ac:dyDescent="0.2">
      <c r="B28" s="29"/>
      <c r="C28" s="28" t="s">
        <v>64</v>
      </c>
      <c r="D28" s="27" t="s">
        <v>17</v>
      </c>
      <c r="E28" s="26" t="str">
        <f t="shared" si="0"/>
        <v>UsdLiborSwapIsdaFixAm22Y</v>
      </c>
      <c r="F28" s="25" t="str">
        <f>_xll.qlLiborSwap($E28,Currency,FixingType,$C28,Currency&amp;$D28,Discounting,Permanent,Trigger,ObjectOverwrite)</f>
        <v>UsdLiborSwapIsdaFixAm22Y#0000</v>
      </c>
      <c r="G28" s="24" t="str">
        <f>_xll.ohRangeRetrieveError(F28)</f>
        <v/>
      </c>
      <c r="H28" s="23"/>
      <c r="J28" s="351"/>
      <c r="K28" s="351"/>
      <c r="L28" s="357" t="s">
        <v>101</v>
      </c>
      <c r="M28" s="356" t="s">
        <v>291</v>
      </c>
      <c r="N28" s="355" t="s">
        <v>292</v>
      </c>
      <c r="O28" s="351"/>
      <c r="P28" s="351"/>
      <c r="Q28" s="351"/>
      <c r="R28" s="351"/>
      <c r="S28" s="351"/>
      <c r="T28" s="351"/>
      <c r="U28" s="351"/>
      <c r="V28" s="351"/>
      <c r="W28" s="351"/>
      <c r="X28" s="351"/>
      <c r="Y28" s="351"/>
    </row>
    <row r="29" spans="2:25" s="19" customFormat="1" x14ac:dyDescent="0.2">
      <c r="B29" s="29"/>
      <c r="C29" s="28" t="s">
        <v>63</v>
      </c>
      <c r="D29" s="27" t="s">
        <v>17</v>
      </c>
      <c r="E29" s="26" t="str">
        <f t="shared" si="0"/>
        <v>UsdLiborSwapIsdaFixAm23Y</v>
      </c>
      <c r="F29" s="25" t="str">
        <f>_xll.qlLiborSwap($E29,Currency,FixingType,$C29,Currency&amp;$D29,Discounting,Permanent,Trigger,ObjectOverwrite)</f>
        <v>UsdLiborSwapIsdaFixAm23Y#0000</v>
      </c>
      <c r="G29" s="24" t="str">
        <f>_xll.ohRangeRetrieveError(F29)</f>
        <v/>
      </c>
      <c r="H29" s="23"/>
      <c r="J29" s="351"/>
      <c r="K29" s="351"/>
      <c r="L29" s="357" t="s">
        <v>100</v>
      </c>
      <c r="M29" s="356" t="s">
        <v>291</v>
      </c>
      <c r="N29" s="355" t="s">
        <v>290</v>
      </c>
      <c r="O29" s="351"/>
      <c r="P29" s="351"/>
      <c r="Q29" s="351"/>
      <c r="R29" s="351"/>
      <c r="S29" s="351"/>
      <c r="T29" s="351"/>
      <c r="U29" s="351"/>
      <c r="V29" s="351"/>
      <c r="W29" s="351"/>
      <c r="X29" s="351"/>
      <c r="Y29" s="351"/>
    </row>
    <row r="30" spans="2:25" s="19" customFormat="1" ht="12" thickBot="1" x14ac:dyDescent="0.25">
      <c r="B30" s="29"/>
      <c r="C30" s="28" t="s">
        <v>62</v>
      </c>
      <c r="D30" s="27" t="s">
        <v>17</v>
      </c>
      <c r="E30" s="26" t="str">
        <f t="shared" si="0"/>
        <v>UsdLiborSwapIsdaFixAm24Y</v>
      </c>
      <c r="F30" s="25" t="str">
        <f>_xll.qlLiborSwap($E30,Currency,FixingType,$C30,Currency&amp;$D30,Discounting,Permanent,Trigger,ObjectOverwrite)</f>
        <v>UsdLiborSwapIsdaFixAm24Y#0000</v>
      </c>
      <c r="G30" s="24" t="str">
        <f>_xll.ohRangeRetrieveError(F30)</f>
        <v/>
      </c>
      <c r="H30" s="23"/>
      <c r="J30" s="351"/>
      <c r="K30" s="351"/>
      <c r="L30" s="354" t="s">
        <v>95</v>
      </c>
      <c r="M30" s="412" t="s">
        <v>291</v>
      </c>
      <c r="N30" s="411" t="s">
        <v>290</v>
      </c>
      <c r="O30" s="351"/>
      <c r="P30" s="351"/>
      <c r="Q30" s="351"/>
      <c r="R30" s="351"/>
      <c r="S30" s="351"/>
      <c r="T30" s="351"/>
      <c r="U30" s="351"/>
      <c r="V30" s="351"/>
      <c r="W30" s="351"/>
      <c r="X30" s="351"/>
      <c r="Y30" s="351"/>
    </row>
    <row r="31" spans="2:25" s="19" customFormat="1" x14ac:dyDescent="0.2">
      <c r="B31" s="29"/>
      <c r="C31" s="28" t="s">
        <v>61</v>
      </c>
      <c r="D31" s="27" t="s">
        <v>17</v>
      </c>
      <c r="E31" s="26" t="str">
        <f t="shared" si="0"/>
        <v>UsdLiborSwapIsdaFixAm25Y</v>
      </c>
      <c r="F31" s="25" t="str">
        <f>_xll.qlLiborSwap($E31,Currency,FixingType,$C31,Currency&amp;$D31,Discounting,Permanent,Trigger,ObjectOverwrite)</f>
        <v>UsdLiborSwapIsdaFixAm25Y#0000</v>
      </c>
      <c r="G31" s="24" t="str">
        <f>_xll.ohRangeRetrieveError(F31)</f>
        <v/>
      </c>
      <c r="H31" s="23"/>
    </row>
    <row r="32" spans="2:25" s="19" customFormat="1" x14ac:dyDescent="0.2">
      <c r="B32" s="29"/>
      <c r="C32" s="28" t="s">
        <v>60</v>
      </c>
      <c r="D32" s="27" t="s">
        <v>17</v>
      </c>
      <c r="E32" s="26" t="str">
        <f t="shared" si="0"/>
        <v>UsdLiborSwapIsdaFixAm26Y</v>
      </c>
      <c r="F32" s="25" t="str">
        <f>_xll.qlLiborSwap($E32,Currency,FixingType,$C32,Currency&amp;$D32,Discounting,Permanent,Trigger,ObjectOverwrite)</f>
        <v>UsdLiborSwapIsdaFixAm26Y#0000</v>
      </c>
      <c r="G32" s="24" t="str">
        <f>_xll.ohRangeRetrieveError(F32)</f>
        <v/>
      </c>
      <c r="H32" s="23"/>
    </row>
    <row r="33" spans="2:8" s="19" customFormat="1" x14ac:dyDescent="0.2">
      <c r="B33" s="29"/>
      <c r="C33" s="28" t="s">
        <v>59</v>
      </c>
      <c r="D33" s="27" t="s">
        <v>17</v>
      </c>
      <c r="E33" s="26" t="str">
        <f t="shared" si="0"/>
        <v>UsdLiborSwapIsdaFixAm27Y</v>
      </c>
      <c r="F33" s="25" t="str">
        <f>_xll.qlLiborSwap($E33,Currency,FixingType,$C33,Currency&amp;$D33,Discounting,Permanent,Trigger,ObjectOverwrite)</f>
        <v>UsdLiborSwapIsdaFixAm27Y#0000</v>
      </c>
      <c r="G33" s="24" t="str">
        <f>_xll.ohRangeRetrieveError(F33)</f>
        <v/>
      </c>
      <c r="H33" s="23"/>
    </row>
    <row r="34" spans="2:8" s="19" customFormat="1" x14ac:dyDescent="0.2">
      <c r="B34" s="29"/>
      <c r="C34" s="28" t="s">
        <v>58</v>
      </c>
      <c r="D34" s="27" t="s">
        <v>17</v>
      </c>
      <c r="E34" s="26" t="str">
        <f t="shared" si="0"/>
        <v>UsdLiborSwapIsdaFixAm28Y</v>
      </c>
      <c r="F34" s="25" t="str">
        <f>_xll.qlLiborSwap($E34,Currency,FixingType,$C34,Currency&amp;$D34,Discounting,Permanent,Trigger,ObjectOverwrite)</f>
        <v>UsdLiborSwapIsdaFixAm28Y#0000</v>
      </c>
      <c r="G34" s="24" t="str">
        <f>_xll.ohRangeRetrieveError(F34)</f>
        <v/>
      </c>
      <c r="H34" s="23"/>
    </row>
    <row r="35" spans="2:8" s="19" customFormat="1" x14ac:dyDescent="0.2">
      <c r="B35" s="29"/>
      <c r="C35" s="28" t="s">
        <v>57</v>
      </c>
      <c r="D35" s="27" t="s">
        <v>17</v>
      </c>
      <c r="E35" s="26" t="str">
        <f t="shared" si="0"/>
        <v>UsdLiborSwapIsdaFixAm29Y</v>
      </c>
      <c r="F35" s="25" t="str">
        <f>_xll.qlLiborSwap($E35,Currency,FixingType,$C35,Currency&amp;$D35,Discounting,Permanent,Trigger,ObjectOverwrite)</f>
        <v>UsdLiborSwapIsdaFixAm29Y#0000</v>
      </c>
      <c r="G35" s="24" t="str">
        <f>_xll.ohRangeRetrieveError(F35)</f>
        <v/>
      </c>
      <c r="H35" s="23"/>
    </row>
    <row r="36" spans="2:8" s="19" customFormat="1" x14ac:dyDescent="0.2">
      <c r="B36" s="29"/>
      <c r="C36" s="28" t="s">
        <v>56</v>
      </c>
      <c r="D36" s="27" t="s">
        <v>17</v>
      </c>
      <c r="E36" s="26" t="str">
        <f t="shared" si="0"/>
        <v>UsdLiborSwapIsdaFixAm30Y</v>
      </c>
      <c r="F36" s="25" t="str">
        <f>_xll.qlLiborSwap($E36,Currency,FixingType,$C36,Currency&amp;$D36,Discounting,Permanent,Trigger,ObjectOverwrite)</f>
        <v>UsdLiborSwapIsdaFixAm30Y#0000</v>
      </c>
      <c r="G36" s="24" t="str">
        <f>_xll.ohRangeRetrieveError(F36)</f>
        <v/>
      </c>
      <c r="H36" s="23"/>
    </row>
    <row r="37" spans="2:8" s="19" customFormat="1" x14ac:dyDescent="0.2">
      <c r="B37" s="29"/>
      <c r="C37" s="28" t="s">
        <v>55</v>
      </c>
      <c r="D37" s="27" t="s">
        <v>17</v>
      </c>
      <c r="E37" s="26" t="str">
        <f t="shared" si="0"/>
        <v>UsdLiborSwapIsdaFixAm31Y</v>
      </c>
      <c r="F37" s="25" t="str">
        <f>_xll.qlLiborSwap($E37,Currency,FixingType,$C37,Currency&amp;$D37,Discounting,Permanent,Trigger,ObjectOverwrite)</f>
        <v>UsdLiborSwapIsdaFixAm31Y#0000</v>
      </c>
      <c r="G37" s="24" t="str">
        <f>_xll.ohRangeRetrieveError(F37)</f>
        <v/>
      </c>
      <c r="H37" s="23"/>
    </row>
    <row r="38" spans="2:8" s="19" customFormat="1" x14ac:dyDescent="0.2">
      <c r="B38" s="29"/>
      <c r="C38" s="28" t="s">
        <v>54</v>
      </c>
      <c r="D38" s="27" t="s">
        <v>17</v>
      </c>
      <c r="E38" s="26" t="str">
        <f t="shared" si="0"/>
        <v>UsdLiborSwapIsdaFixAm32Y</v>
      </c>
      <c r="F38" s="25" t="str">
        <f>_xll.qlLiborSwap($E38,Currency,FixingType,$C38,Currency&amp;$D38,Discounting,Permanent,Trigger,ObjectOverwrite)</f>
        <v>UsdLiborSwapIsdaFixAm32Y#0000</v>
      </c>
      <c r="G38" s="24" t="str">
        <f>_xll.ohRangeRetrieveError(F38)</f>
        <v/>
      </c>
      <c r="H38" s="23"/>
    </row>
    <row r="39" spans="2:8" s="19" customFormat="1" x14ac:dyDescent="0.2">
      <c r="B39" s="29"/>
      <c r="C39" s="28" t="s">
        <v>53</v>
      </c>
      <c r="D39" s="27" t="s">
        <v>17</v>
      </c>
      <c r="E39" s="26" t="str">
        <f t="shared" ref="E39:E66" si="6">PROPER(Currency)&amp;FamilyName&amp;FixingType&amp;$C39</f>
        <v>UsdLiborSwapIsdaFixAm33Y</v>
      </c>
      <c r="F39" s="25" t="str">
        <f>_xll.qlLiborSwap($E39,Currency,FixingType,$C39,Currency&amp;$D39,Discounting,Permanent,Trigger,ObjectOverwrite)</f>
        <v>UsdLiborSwapIsdaFixAm33Y#0000</v>
      </c>
      <c r="G39" s="24" t="str">
        <f>_xll.ohRangeRetrieveError(F39)</f>
        <v/>
      </c>
      <c r="H39" s="23"/>
    </row>
    <row r="40" spans="2:8" s="19" customFormat="1" x14ac:dyDescent="0.2">
      <c r="B40" s="29"/>
      <c r="C40" s="28" t="s">
        <v>52</v>
      </c>
      <c r="D40" s="27" t="s">
        <v>17</v>
      </c>
      <c r="E40" s="26" t="str">
        <f t="shared" si="6"/>
        <v>UsdLiborSwapIsdaFixAm34Y</v>
      </c>
      <c r="F40" s="25" t="str">
        <f>_xll.qlLiborSwap($E40,Currency,FixingType,$C40,Currency&amp;$D40,Discounting,Permanent,Trigger,ObjectOverwrite)</f>
        <v>UsdLiborSwapIsdaFixAm34Y#0000</v>
      </c>
      <c r="G40" s="24" t="str">
        <f>_xll.ohRangeRetrieveError(F40)</f>
        <v/>
      </c>
      <c r="H40" s="23"/>
    </row>
    <row r="41" spans="2:8" s="19" customFormat="1" x14ac:dyDescent="0.2">
      <c r="B41" s="29"/>
      <c r="C41" s="28" t="s">
        <v>51</v>
      </c>
      <c r="D41" s="27" t="s">
        <v>17</v>
      </c>
      <c r="E41" s="26" t="str">
        <f t="shared" si="6"/>
        <v>UsdLiborSwapIsdaFixAm35Y</v>
      </c>
      <c r="F41" s="25" t="str">
        <f>_xll.qlLiborSwap($E41,Currency,FixingType,$C41,Currency&amp;$D41,Discounting,Permanent,Trigger,ObjectOverwrite)</f>
        <v>UsdLiborSwapIsdaFixAm35Y#0000</v>
      </c>
      <c r="G41" s="24" t="str">
        <f>_xll.ohRangeRetrieveError(F41)</f>
        <v/>
      </c>
      <c r="H41" s="23"/>
    </row>
    <row r="42" spans="2:8" s="19" customFormat="1" x14ac:dyDescent="0.2">
      <c r="B42" s="29"/>
      <c r="C42" s="28" t="s">
        <v>50</v>
      </c>
      <c r="D42" s="27" t="s">
        <v>17</v>
      </c>
      <c r="E42" s="26" t="str">
        <f t="shared" si="6"/>
        <v>UsdLiborSwapIsdaFixAm36Y</v>
      </c>
      <c r="F42" s="25" t="str">
        <f>_xll.qlLiborSwap($E42,Currency,FixingType,$C42,Currency&amp;$D42,Discounting,Permanent,Trigger,ObjectOverwrite)</f>
        <v>UsdLiborSwapIsdaFixAm36Y#0000</v>
      </c>
      <c r="G42" s="24" t="str">
        <f>_xll.ohRangeRetrieveError(F42)</f>
        <v/>
      </c>
      <c r="H42" s="23"/>
    </row>
    <row r="43" spans="2:8" s="19" customFormat="1" x14ac:dyDescent="0.2">
      <c r="B43" s="29"/>
      <c r="C43" s="28" t="s">
        <v>49</v>
      </c>
      <c r="D43" s="27" t="s">
        <v>17</v>
      </c>
      <c r="E43" s="26" t="str">
        <f t="shared" si="6"/>
        <v>UsdLiborSwapIsdaFixAm37Y</v>
      </c>
      <c r="F43" s="25" t="str">
        <f>_xll.qlLiborSwap($E43,Currency,FixingType,$C43,Currency&amp;$D43,Discounting,Permanent,Trigger,ObjectOverwrite)</f>
        <v>UsdLiborSwapIsdaFixAm37Y#0000</v>
      </c>
      <c r="G43" s="24" t="str">
        <f>_xll.ohRangeRetrieveError(F43)</f>
        <v/>
      </c>
      <c r="H43" s="23"/>
    </row>
    <row r="44" spans="2:8" s="19" customFormat="1" x14ac:dyDescent="0.2">
      <c r="B44" s="29"/>
      <c r="C44" s="28" t="s">
        <v>48</v>
      </c>
      <c r="D44" s="27" t="s">
        <v>17</v>
      </c>
      <c r="E44" s="26" t="str">
        <f t="shared" si="6"/>
        <v>UsdLiborSwapIsdaFixAm38Y</v>
      </c>
      <c r="F44" s="25" t="str">
        <f>_xll.qlLiborSwap($E44,Currency,FixingType,$C44,Currency&amp;$D44,Discounting,Permanent,Trigger,ObjectOverwrite)</f>
        <v>UsdLiborSwapIsdaFixAm38Y#0000</v>
      </c>
      <c r="G44" s="24" t="str">
        <f>_xll.ohRangeRetrieveError(F44)</f>
        <v/>
      </c>
      <c r="H44" s="23"/>
    </row>
    <row r="45" spans="2:8" s="19" customFormat="1" x14ac:dyDescent="0.2">
      <c r="B45" s="29"/>
      <c r="C45" s="28" t="s">
        <v>47</v>
      </c>
      <c r="D45" s="27" t="s">
        <v>17</v>
      </c>
      <c r="E45" s="26" t="str">
        <f t="shared" si="6"/>
        <v>UsdLiborSwapIsdaFixAm39Y</v>
      </c>
      <c r="F45" s="25" t="str">
        <f>_xll.qlLiborSwap($E45,Currency,FixingType,$C45,Currency&amp;$D45,Discounting,Permanent,Trigger,ObjectOverwrite)</f>
        <v>UsdLiborSwapIsdaFixAm39Y#0000</v>
      </c>
      <c r="G45" s="24" t="str">
        <f>_xll.ohRangeRetrieveError(F45)</f>
        <v/>
      </c>
      <c r="H45" s="23"/>
    </row>
    <row r="46" spans="2:8" s="19" customFormat="1" x14ac:dyDescent="0.2">
      <c r="B46" s="29"/>
      <c r="C46" s="28" t="s">
        <v>46</v>
      </c>
      <c r="D46" s="27" t="s">
        <v>17</v>
      </c>
      <c r="E46" s="26" t="str">
        <f t="shared" si="6"/>
        <v>UsdLiborSwapIsdaFixAm40Y</v>
      </c>
      <c r="F46" s="25" t="str">
        <f>_xll.qlLiborSwap($E46,Currency,FixingType,$C46,Currency&amp;$D46,Discounting,Permanent,Trigger,ObjectOverwrite)</f>
        <v>UsdLiborSwapIsdaFixAm40Y#0000</v>
      </c>
      <c r="G46" s="24" t="str">
        <f>_xll.ohRangeRetrieveError(F46)</f>
        <v/>
      </c>
      <c r="H46" s="23"/>
    </row>
    <row r="47" spans="2:8" s="19" customFormat="1" x14ac:dyDescent="0.2">
      <c r="B47" s="29"/>
      <c r="C47" s="28" t="s">
        <v>45</v>
      </c>
      <c r="D47" s="27" t="s">
        <v>17</v>
      </c>
      <c r="E47" s="26" t="str">
        <f t="shared" si="6"/>
        <v>UsdLiborSwapIsdaFixAm41Y</v>
      </c>
      <c r="F47" s="25" t="str">
        <f>_xll.qlLiborSwap($E47,Currency,FixingType,$C47,Currency&amp;$D47,Discounting,Permanent,Trigger,ObjectOverwrite)</f>
        <v>UsdLiborSwapIsdaFixAm41Y#0000</v>
      </c>
      <c r="G47" s="24" t="str">
        <f>_xll.ohRangeRetrieveError(F47)</f>
        <v/>
      </c>
      <c r="H47" s="23"/>
    </row>
    <row r="48" spans="2:8" s="19" customFormat="1" x14ac:dyDescent="0.2">
      <c r="B48" s="29"/>
      <c r="C48" s="28" t="s">
        <v>44</v>
      </c>
      <c r="D48" s="27" t="s">
        <v>17</v>
      </c>
      <c r="E48" s="26" t="str">
        <f t="shared" si="6"/>
        <v>UsdLiborSwapIsdaFixAm42Y</v>
      </c>
      <c r="F48" s="25" t="str">
        <f>_xll.qlLiborSwap($E48,Currency,FixingType,$C48,Currency&amp;$D48,Discounting,Permanent,Trigger,ObjectOverwrite)</f>
        <v>UsdLiborSwapIsdaFixAm42Y#0000</v>
      </c>
      <c r="G48" s="24" t="str">
        <f>_xll.ohRangeRetrieveError(F48)</f>
        <v/>
      </c>
      <c r="H48" s="23"/>
    </row>
    <row r="49" spans="2:8" s="19" customFormat="1" x14ac:dyDescent="0.2">
      <c r="B49" s="29"/>
      <c r="C49" s="28" t="s">
        <v>43</v>
      </c>
      <c r="D49" s="27" t="s">
        <v>17</v>
      </c>
      <c r="E49" s="26" t="str">
        <f t="shared" si="6"/>
        <v>UsdLiborSwapIsdaFixAm43Y</v>
      </c>
      <c r="F49" s="25" t="str">
        <f>_xll.qlLiborSwap($E49,Currency,FixingType,$C49,Currency&amp;$D49,Discounting,Permanent,Trigger,ObjectOverwrite)</f>
        <v>UsdLiborSwapIsdaFixAm43Y#0000</v>
      </c>
      <c r="G49" s="24" t="str">
        <f>_xll.ohRangeRetrieveError(F49)</f>
        <v/>
      </c>
      <c r="H49" s="23"/>
    </row>
    <row r="50" spans="2:8" s="19" customFormat="1" x14ac:dyDescent="0.2">
      <c r="B50" s="29"/>
      <c r="C50" s="28" t="s">
        <v>42</v>
      </c>
      <c r="D50" s="27" t="s">
        <v>17</v>
      </c>
      <c r="E50" s="26" t="str">
        <f t="shared" si="6"/>
        <v>UsdLiborSwapIsdaFixAm44Y</v>
      </c>
      <c r="F50" s="25" t="str">
        <f>_xll.qlLiborSwap($E50,Currency,FixingType,$C50,Currency&amp;$D50,Discounting,Permanent,Trigger,ObjectOverwrite)</f>
        <v>UsdLiborSwapIsdaFixAm44Y#0000</v>
      </c>
      <c r="G50" s="24" t="str">
        <f>_xll.ohRangeRetrieveError(F50)</f>
        <v/>
      </c>
      <c r="H50" s="23"/>
    </row>
    <row r="51" spans="2:8" s="19" customFormat="1" x14ac:dyDescent="0.2">
      <c r="B51" s="29"/>
      <c r="C51" s="28" t="s">
        <v>41</v>
      </c>
      <c r="D51" s="27" t="s">
        <v>17</v>
      </c>
      <c r="E51" s="26" t="str">
        <f t="shared" si="6"/>
        <v>UsdLiborSwapIsdaFixAm45Y</v>
      </c>
      <c r="F51" s="25" t="str">
        <f>_xll.qlLiborSwap($E51,Currency,FixingType,$C51,Currency&amp;$D51,Discounting,Permanent,Trigger,ObjectOverwrite)</f>
        <v>UsdLiborSwapIsdaFixAm45Y#0000</v>
      </c>
      <c r="G51" s="24" t="str">
        <f>_xll.ohRangeRetrieveError(F51)</f>
        <v/>
      </c>
      <c r="H51" s="23"/>
    </row>
    <row r="52" spans="2:8" s="19" customFormat="1" x14ac:dyDescent="0.2">
      <c r="B52" s="29"/>
      <c r="C52" s="28" t="s">
        <v>40</v>
      </c>
      <c r="D52" s="27" t="s">
        <v>17</v>
      </c>
      <c r="E52" s="26" t="str">
        <f t="shared" si="6"/>
        <v>UsdLiborSwapIsdaFixAm46Y</v>
      </c>
      <c r="F52" s="25" t="str">
        <f>_xll.qlLiborSwap($E52,Currency,FixingType,$C52,Currency&amp;$D52,Discounting,Permanent,Trigger,ObjectOverwrite)</f>
        <v>UsdLiborSwapIsdaFixAm46Y#0000</v>
      </c>
      <c r="G52" s="24" t="str">
        <f>_xll.ohRangeRetrieveError(F52)</f>
        <v/>
      </c>
      <c r="H52" s="23"/>
    </row>
    <row r="53" spans="2:8" s="19" customFormat="1" x14ac:dyDescent="0.2">
      <c r="B53" s="29"/>
      <c r="C53" s="28" t="s">
        <v>39</v>
      </c>
      <c r="D53" s="27" t="s">
        <v>17</v>
      </c>
      <c r="E53" s="26" t="str">
        <f t="shared" si="6"/>
        <v>UsdLiborSwapIsdaFixAm47Y</v>
      </c>
      <c r="F53" s="25" t="str">
        <f>_xll.qlLiborSwap($E53,Currency,FixingType,$C53,Currency&amp;$D53,Discounting,Permanent,Trigger,ObjectOverwrite)</f>
        <v>UsdLiborSwapIsdaFixAm47Y#0000</v>
      </c>
      <c r="G53" s="24" t="str">
        <f>_xll.ohRangeRetrieveError(F53)</f>
        <v/>
      </c>
      <c r="H53" s="23"/>
    </row>
    <row r="54" spans="2:8" s="19" customFormat="1" x14ac:dyDescent="0.2">
      <c r="B54" s="29"/>
      <c r="C54" s="28" t="s">
        <v>38</v>
      </c>
      <c r="D54" s="27" t="s">
        <v>17</v>
      </c>
      <c r="E54" s="26" t="str">
        <f t="shared" si="6"/>
        <v>UsdLiborSwapIsdaFixAm48Y</v>
      </c>
      <c r="F54" s="25" t="str">
        <f>_xll.qlLiborSwap($E54,Currency,FixingType,$C54,Currency&amp;$D54,Discounting,Permanent,Trigger,ObjectOverwrite)</f>
        <v>UsdLiborSwapIsdaFixAm48Y#0000</v>
      </c>
      <c r="G54" s="24" t="str">
        <f>_xll.ohRangeRetrieveError(F54)</f>
        <v/>
      </c>
      <c r="H54" s="23"/>
    </row>
    <row r="55" spans="2:8" s="19" customFormat="1" x14ac:dyDescent="0.2">
      <c r="B55" s="29"/>
      <c r="C55" s="28" t="s">
        <v>37</v>
      </c>
      <c r="D55" s="27" t="s">
        <v>17</v>
      </c>
      <c r="E55" s="26" t="str">
        <f t="shared" si="6"/>
        <v>UsdLiborSwapIsdaFixAm49Y</v>
      </c>
      <c r="F55" s="25" t="str">
        <f>_xll.qlLiborSwap($E55,Currency,FixingType,$C55,Currency&amp;$D55,Discounting,Permanent,Trigger,ObjectOverwrite)</f>
        <v>UsdLiborSwapIsdaFixAm49Y#0000</v>
      </c>
      <c r="G55" s="24" t="str">
        <f>_xll.ohRangeRetrieveError(F55)</f>
        <v/>
      </c>
      <c r="H55" s="23"/>
    </row>
    <row r="56" spans="2:8" s="19" customFormat="1" x14ac:dyDescent="0.2">
      <c r="B56" s="29"/>
      <c r="C56" s="28" t="s">
        <v>36</v>
      </c>
      <c r="D56" s="27" t="s">
        <v>17</v>
      </c>
      <c r="E56" s="26" t="str">
        <f t="shared" si="6"/>
        <v>UsdLiborSwapIsdaFixAm50Y</v>
      </c>
      <c r="F56" s="25" t="str">
        <f>_xll.qlLiborSwap($E56,Currency,FixingType,$C56,Currency&amp;$D56,Discounting,Permanent,Trigger,ObjectOverwrite)</f>
        <v>UsdLiborSwapIsdaFixAm50Y#0000</v>
      </c>
      <c r="G56" s="24" t="str">
        <f>_xll.ohRangeRetrieveError(F56)</f>
        <v/>
      </c>
      <c r="H56" s="23"/>
    </row>
    <row r="57" spans="2:8" s="19" customFormat="1" x14ac:dyDescent="0.2">
      <c r="B57" s="29"/>
      <c r="C57" s="28" t="s">
        <v>35</v>
      </c>
      <c r="D57" s="27" t="s">
        <v>17</v>
      </c>
      <c r="E57" s="26" t="str">
        <f t="shared" si="6"/>
        <v>UsdLiborSwapIsdaFixAm51Y</v>
      </c>
      <c r="F57" s="25" t="str">
        <f>_xll.qlLiborSwap($E57,Currency,FixingType,$C57,Currency&amp;$D57,Discounting,Permanent,Trigger,ObjectOverwrite)</f>
        <v>UsdLiborSwapIsdaFixAm51Y#0000</v>
      </c>
      <c r="G57" s="24" t="str">
        <f>_xll.ohRangeRetrieveError(F57)</f>
        <v/>
      </c>
      <c r="H57" s="23"/>
    </row>
    <row r="58" spans="2:8" s="19" customFormat="1" x14ac:dyDescent="0.2">
      <c r="B58" s="29"/>
      <c r="C58" s="28" t="s">
        <v>34</v>
      </c>
      <c r="D58" s="27" t="s">
        <v>17</v>
      </c>
      <c r="E58" s="26" t="str">
        <f t="shared" si="6"/>
        <v>UsdLiborSwapIsdaFixAm52Y</v>
      </c>
      <c r="F58" s="25" t="str">
        <f>_xll.qlLiborSwap($E58,Currency,FixingType,$C58,Currency&amp;$D58,Discounting,Permanent,Trigger,ObjectOverwrite)</f>
        <v>UsdLiborSwapIsdaFixAm52Y#0000</v>
      </c>
      <c r="G58" s="24" t="str">
        <f>_xll.ohRangeRetrieveError(F58)</f>
        <v/>
      </c>
      <c r="H58" s="23"/>
    </row>
    <row r="59" spans="2:8" s="19" customFormat="1" x14ac:dyDescent="0.2">
      <c r="B59" s="29"/>
      <c r="C59" s="28" t="s">
        <v>33</v>
      </c>
      <c r="D59" s="27" t="s">
        <v>17</v>
      </c>
      <c r="E59" s="26" t="str">
        <f t="shared" si="6"/>
        <v>UsdLiborSwapIsdaFixAm53Y</v>
      </c>
      <c r="F59" s="25" t="str">
        <f>_xll.qlLiborSwap($E59,Currency,FixingType,$C59,Currency&amp;$D59,Discounting,Permanent,Trigger,ObjectOverwrite)</f>
        <v>UsdLiborSwapIsdaFixAm53Y#0000</v>
      </c>
      <c r="G59" s="24" t="str">
        <f>_xll.ohRangeRetrieveError(F59)</f>
        <v/>
      </c>
      <c r="H59" s="23"/>
    </row>
    <row r="60" spans="2:8" s="19" customFormat="1" x14ac:dyDescent="0.2">
      <c r="B60" s="29"/>
      <c r="C60" s="28" t="s">
        <v>32</v>
      </c>
      <c r="D60" s="27" t="s">
        <v>17</v>
      </c>
      <c r="E60" s="26" t="str">
        <f t="shared" si="6"/>
        <v>UsdLiborSwapIsdaFixAm54Y</v>
      </c>
      <c r="F60" s="25" t="str">
        <f>_xll.qlLiborSwap($E60,Currency,FixingType,$C60,Currency&amp;$D60,Discounting,Permanent,Trigger,ObjectOverwrite)</f>
        <v>UsdLiborSwapIsdaFixAm54Y#0000</v>
      </c>
      <c r="G60" s="24" t="str">
        <f>_xll.ohRangeRetrieveError(F60)</f>
        <v/>
      </c>
      <c r="H60" s="23"/>
    </row>
    <row r="61" spans="2:8" s="19" customFormat="1" x14ac:dyDescent="0.2">
      <c r="B61" s="29"/>
      <c r="C61" s="28" t="s">
        <v>31</v>
      </c>
      <c r="D61" s="27" t="s">
        <v>17</v>
      </c>
      <c r="E61" s="26" t="str">
        <f t="shared" si="6"/>
        <v>UsdLiborSwapIsdaFixAm55Y</v>
      </c>
      <c r="F61" s="25" t="str">
        <f>_xll.qlLiborSwap($E61,Currency,FixingType,$C61,Currency&amp;$D61,Discounting,Permanent,Trigger,ObjectOverwrite)</f>
        <v>UsdLiborSwapIsdaFixAm55Y#0000</v>
      </c>
      <c r="G61" s="24" t="str">
        <f>_xll.ohRangeRetrieveError(F61)</f>
        <v/>
      </c>
      <c r="H61" s="23"/>
    </row>
    <row r="62" spans="2:8" s="19" customFormat="1" x14ac:dyDescent="0.2">
      <c r="B62" s="29"/>
      <c r="C62" s="28" t="s">
        <v>30</v>
      </c>
      <c r="D62" s="27" t="s">
        <v>17</v>
      </c>
      <c r="E62" s="26" t="str">
        <f t="shared" si="6"/>
        <v>UsdLiborSwapIsdaFixAm56Y</v>
      </c>
      <c r="F62" s="25" t="str">
        <f>_xll.qlLiborSwap($E62,Currency,FixingType,$C62,Currency&amp;$D62,Discounting,Permanent,Trigger,ObjectOverwrite)</f>
        <v>UsdLiborSwapIsdaFixAm56Y#0000</v>
      </c>
      <c r="G62" s="24" t="str">
        <f>_xll.ohRangeRetrieveError(F62)</f>
        <v/>
      </c>
      <c r="H62" s="23"/>
    </row>
    <row r="63" spans="2:8" s="19" customFormat="1" x14ac:dyDescent="0.2">
      <c r="B63" s="29"/>
      <c r="C63" s="28" t="s">
        <v>29</v>
      </c>
      <c r="D63" s="27" t="s">
        <v>17</v>
      </c>
      <c r="E63" s="26" t="str">
        <f t="shared" si="6"/>
        <v>UsdLiborSwapIsdaFixAm57Y</v>
      </c>
      <c r="F63" s="25" t="str">
        <f>_xll.qlLiborSwap($E63,Currency,FixingType,$C63,Currency&amp;$D63,Discounting,Permanent,Trigger,ObjectOverwrite)</f>
        <v>UsdLiborSwapIsdaFixAm57Y#0000</v>
      </c>
      <c r="G63" s="24" t="str">
        <f>_xll.ohRangeRetrieveError(F63)</f>
        <v/>
      </c>
      <c r="H63" s="23"/>
    </row>
    <row r="64" spans="2:8" s="19" customFormat="1" x14ac:dyDescent="0.2">
      <c r="B64" s="29"/>
      <c r="C64" s="28" t="s">
        <v>28</v>
      </c>
      <c r="D64" s="27" t="s">
        <v>17</v>
      </c>
      <c r="E64" s="26" t="str">
        <f t="shared" si="6"/>
        <v>UsdLiborSwapIsdaFixAm58Y</v>
      </c>
      <c r="F64" s="25" t="str">
        <f>_xll.qlLiborSwap($E64,Currency,FixingType,$C64,Currency&amp;$D64,Discounting,Permanent,Trigger,ObjectOverwrite)</f>
        <v>UsdLiborSwapIsdaFixAm58Y#0000</v>
      </c>
      <c r="G64" s="24" t="str">
        <f>_xll.ohRangeRetrieveError(F64)</f>
        <v/>
      </c>
      <c r="H64" s="23"/>
    </row>
    <row r="65" spans="2:25" s="19" customFormat="1" x14ac:dyDescent="0.2">
      <c r="B65" s="29"/>
      <c r="C65" s="28" t="s">
        <v>27</v>
      </c>
      <c r="D65" s="27" t="s">
        <v>17</v>
      </c>
      <c r="E65" s="26" t="str">
        <f t="shared" si="6"/>
        <v>UsdLiborSwapIsdaFixAm59Y</v>
      </c>
      <c r="F65" s="25" t="str">
        <f>_xll.qlLiborSwap($E65,Currency,FixingType,$C65,Currency&amp;$D65,Discounting,Permanent,Trigger,ObjectOverwrite)</f>
        <v>UsdLiborSwapIsdaFixAm59Y#0000</v>
      </c>
      <c r="G65" s="24" t="str">
        <f>_xll.ohRangeRetrieveError(F65)</f>
        <v/>
      </c>
      <c r="H65" s="23"/>
    </row>
    <row r="66" spans="2:25" s="19" customFormat="1" x14ac:dyDescent="0.2">
      <c r="B66" s="29"/>
      <c r="C66" s="28" t="s">
        <v>26</v>
      </c>
      <c r="D66" s="27" t="s">
        <v>17</v>
      </c>
      <c r="E66" s="26" t="str">
        <f t="shared" si="6"/>
        <v>UsdLiborSwapIsdaFixAm60Y</v>
      </c>
      <c r="F66" s="25" t="str">
        <f>_xll.qlLiborSwap($E66,Currency,FixingType,$C66,Currency&amp;$D66,Discounting,Permanent,Trigger,ObjectOverwrite)</f>
        <v>UsdLiborSwapIsdaFixAm60Y#0000</v>
      </c>
      <c r="G66" s="24" t="str">
        <f>_xll.ohRangeRetrieveError(F66)</f>
        <v/>
      </c>
      <c r="H66" s="23"/>
    </row>
    <row r="67" spans="2:25" s="19" customFormat="1" ht="12" thickBot="1" x14ac:dyDescent="0.25">
      <c r="B67" s="22"/>
      <c r="C67" s="21"/>
      <c r="D67" s="21"/>
      <c r="E67" s="21"/>
      <c r="F67" s="21"/>
      <c r="G67" s="21"/>
      <c r="H67" s="20"/>
    </row>
    <row r="68" spans="2:25" s="19" customFormat="1" x14ac:dyDescent="0.2"/>
    <row r="69" spans="2:25" x14ac:dyDescent="0.2"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</row>
    <row r="70" spans="2:25" x14ac:dyDescent="0.2"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</row>
    <row r="71" spans="2:25" x14ac:dyDescent="0.2"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</row>
  </sheetData>
  <conditionalFormatting sqref="V7:V21">
    <cfRule type="cellIs" dxfId="35" priority="1" stopIfTrue="1" operator="greaterThan">
      <formula>0</formula>
    </cfRule>
    <cfRule type="cellIs" dxfId="34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Y71"/>
  <sheetViews>
    <sheetView topLeftCell="C1" workbookViewId="0">
      <selection activeCell="F16" sqref="F16"/>
    </sheetView>
  </sheetViews>
  <sheetFormatPr defaultRowHeight="11.25" x14ac:dyDescent="0.2"/>
  <cols>
    <col min="1" max="2" width="2.7109375" style="14" customWidth="1"/>
    <col min="3" max="3" width="3.85546875" style="14" bestFit="1" customWidth="1"/>
    <col min="4" max="4" width="8.42578125" style="14" bestFit="1" customWidth="1"/>
    <col min="5" max="5" width="22.7109375" style="14" bestFit="1" customWidth="1"/>
    <col min="6" max="6" width="25.85546875" style="14" bestFit="1" customWidth="1"/>
    <col min="7" max="7" width="55" style="14" customWidth="1"/>
    <col min="8" max="11" width="2.7109375" style="14" customWidth="1"/>
    <col min="12" max="13" width="9.140625" style="14"/>
    <col min="14" max="14" width="12.42578125" style="14" customWidth="1"/>
    <col min="15" max="17" width="9.140625" style="14"/>
    <col min="18" max="18" width="2.7109375" style="14" customWidth="1"/>
    <col min="19" max="19" width="28.5703125" style="14" bestFit="1" customWidth="1"/>
    <col min="20" max="24" width="9.140625" style="14"/>
    <col min="25" max="25" width="2.7109375" style="14" customWidth="1"/>
    <col min="26" max="16384" width="9.140625" style="14"/>
  </cols>
  <sheetData>
    <row r="1" spans="1:25" s="19" customFormat="1" ht="12" thickBot="1" x14ac:dyDescent="0.25">
      <c r="A1" s="19" t="s">
        <v>96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s="19" customFormat="1" x14ac:dyDescent="0.2">
      <c r="B2" s="39"/>
      <c r="C2" s="37"/>
      <c r="D2" s="37"/>
      <c r="E2" s="38"/>
      <c r="F2" s="37"/>
      <c r="G2" s="37"/>
      <c r="H2" s="36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s="19" customFormat="1" x14ac:dyDescent="0.2">
      <c r="B3" s="29"/>
      <c r="C3" s="34"/>
      <c r="D3" s="34"/>
      <c r="E3" s="35" t="s">
        <v>25</v>
      </c>
      <c r="F3" s="31" t="s">
        <v>88</v>
      </c>
      <c r="G3" s="34"/>
      <c r="H3" s="30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 s="19" customFormat="1" ht="12" thickBot="1" x14ac:dyDescent="0.25">
      <c r="B4" s="29"/>
      <c r="C4" s="34"/>
      <c r="D4" s="34"/>
      <c r="E4" s="35" t="s">
        <v>87</v>
      </c>
      <c r="F4" s="31" t="s">
        <v>89</v>
      </c>
      <c r="G4" s="34"/>
      <c r="H4" s="30"/>
      <c r="J4" s="425" t="s">
        <v>307</v>
      </c>
      <c r="K4" s="351"/>
      <c r="L4" s="351"/>
      <c r="M4" s="356"/>
      <c r="N4" s="364"/>
      <c r="O4" s="410"/>
      <c r="P4" s="410"/>
      <c r="Q4" s="351"/>
      <c r="R4" s="356"/>
      <c r="S4" s="351"/>
      <c r="T4" s="351"/>
      <c r="U4" s="351"/>
      <c r="V4" s="351"/>
      <c r="W4" s="351"/>
      <c r="X4" s="351"/>
      <c r="Y4" s="351"/>
    </row>
    <row r="5" spans="1:25" s="19" customFormat="1" ht="19.5" x14ac:dyDescent="0.4">
      <c r="B5" s="29"/>
      <c r="C5" s="34"/>
      <c r="D5" s="34"/>
      <c r="E5" s="34"/>
      <c r="F5" s="34"/>
      <c r="G5" s="34"/>
      <c r="H5" s="30"/>
      <c r="J5" s="351"/>
      <c r="K5" s="409"/>
      <c r="L5" s="403"/>
      <c r="M5" s="408" t="str">
        <f>VLOOKUP(Currency,Traits,2,FALSE)</f>
        <v>SFIXP</v>
      </c>
      <c r="N5" s="407"/>
      <c r="O5" s="406"/>
      <c r="P5" s="406"/>
      <c r="Q5" s="403"/>
      <c r="R5" s="403"/>
      <c r="S5" s="405" t="str">
        <f>VLOOKUP(Currency,Traits,3,FALSE)</f>
        <v>LiborSwapIsdaFixPm</v>
      </c>
      <c r="T5" s="403"/>
      <c r="U5" s="403"/>
      <c r="V5" s="404">
        <f>MAX(X7:X22)</f>
        <v>0</v>
      </c>
      <c r="W5" s="403"/>
      <c r="X5" s="403"/>
      <c r="Y5" s="402"/>
    </row>
    <row r="6" spans="1:25" s="19" customFormat="1" ht="33.75" x14ac:dyDescent="0.2">
      <c r="B6" s="29"/>
      <c r="C6" s="34"/>
      <c r="D6" s="33" t="s">
        <v>85</v>
      </c>
      <c r="E6" s="32" t="str">
        <f>PROPER(Currency)&amp;FamilyName&amp;FixingType&amp;".xml"</f>
        <v>UsdLiborSwapIsdaFixPm.xml</v>
      </c>
      <c r="F6" s="31" t="str">
        <f>IF(Serialize,_xll.ohObjectSave(F7:F66,SerializationPath&amp;FileName,FileOverwrite,,Serialize),"---")</f>
        <v>---</v>
      </c>
      <c r="G6" s="24" t="str">
        <f>_xll.ohRangeRetrieveError(F6)</f>
        <v/>
      </c>
      <c r="H6" s="30"/>
      <c r="J6" s="351"/>
      <c r="K6" s="380"/>
      <c r="L6" s="400" t="s">
        <v>23</v>
      </c>
      <c r="M6" s="399" t="str">
        <f>_xll.RData(M7:M21,N6:O6,"RTFEED:IDN",,,N7)</f>
        <v>Updated at 16:43:51</v>
      </c>
      <c r="N6" s="399" t="s">
        <v>289</v>
      </c>
      <c r="O6" s="399" t="s">
        <v>295</v>
      </c>
      <c r="P6" s="399" t="s">
        <v>288</v>
      </c>
      <c r="Q6" s="398" t="s">
        <v>287</v>
      </c>
      <c r="R6" s="401"/>
      <c r="S6" s="400" t="s">
        <v>230</v>
      </c>
      <c r="T6" s="399" t="s">
        <v>286</v>
      </c>
      <c r="U6" s="399" t="s">
        <v>285</v>
      </c>
      <c r="V6" s="399" t="s">
        <v>284</v>
      </c>
      <c r="W6" s="398" t="s">
        <v>283</v>
      </c>
      <c r="X6" s="397"/>
      <c r="Y6" s="370"/>
    </row>
    <row r="7" spans="1:25" s="19" customFormat="1" x14ac:dyDescent="0.2">
      <c r="B7" s="29"/>
      <c r="C7" s="41" t="s">
        <v>8</v>
      </c>
      <c r="D7" s="27" t="s">
        <v>17</v>
      </c>
      <c r="E7" s="40" t="str">
        <f t="shared" ref="E7:E38" si="0">PROPER(Currency)&amp;FamilyName&amp;FixingType&amp;$C7</f>
        <v>UsdLiborSwapIsdaFixPm1Y</v>
      </c>
      <c r="F7" s="25" t="str">
        <f>_xll.qlLiborSwap($E7,Currency,FixingType,$C7,Currency&amp;$D7,Discounting,Permanent,Trigger,ObjectOverwrite)</f>
        <v>UsdLiborSwapIsdaFixPm1Y#0000</v>
      </c>
      <c r="G7" s="24" t="str">
        <f>_xll.ohRangeRetrieveError(F7)</f>
        <v/>
      </c>
      <c r="H7" s="23"/>
      <c r="J7" s="351"/>
      <c r="K7" s="380"/>
      <c r="L7" s="396" t="s">
        <v>8</v>
      </c>
      <c r="M7" s="391" t="str">
        <f t="shared" ref="M7:M21" si="1">Currency&amp;$M$5&amp;$L7&amp;"="</f>
        <v>USDSFIXP1Y=</v>
      </c>
      <c r="N7" s="395">
        <v>41765</v>
      </c>
      <c r="O7" s="394">
        <v>0</v>
      </c>
      <c r="P7" s="394" t="b">
        <f t="shared" ref="P7:P21" si="2">IF(AND(ISNUMBER($O7),$O7&lt;&gt;0%),TRUE,FALSE)</f>
        <v>0</v>
      </c>
      <c r="Q7" s="393" t="e">
        <f>IF($P7,_xll.qlIndexAddFixings($S7,$N7,$O7/100,TRUE,ISERROR($T7)),NA())</f>
        <v>#N/A</v>
      </c>
      <c r="R7" s="375"/>
      <c r="S7" s="392" t="str">
        <f t="shared" ref="S7:S21" si="3">PROPER(Currency)&amp;$S$5&amp;$L7</f>
        <v>UsdLiborSwapIsdaFixPm1Y</v>
      </c>
      <c r="T7" s="391">
        <f>_xll.qlIndexFixing($S7,$N7,TRUE,$P7)</f>
        <v>2.6056870855977366E-3</v>
      </c>
      <c r="U7" s="391" t="e">
        <f>IF($Q7,_xll.qlIndexFixing($S7,$N7,FALSE,$P7),"-")</f>
        <v>#N/A</v>
      </c>
      <c r="V7" s="391" t="e">
        <f t="shared" ref="V7:V21" si="4">T7-U7</f>
        <v>#N/A</v>
      </c>
      <c r="W7" s="390" t="e">
        <f>_xll.qlIndexFixing($S7,$N7,TRUE,$U7)</f>
        <v>#NUM!</v>
      </c>
      <c r="X7" s="414">
        <f t="shared" ref="X7:X21" si="5">IF(ISERROR(V7),0,ABS(V7))</f>
        <v>0</v>
      </c>
      <c r="Y7" s="370"/>
    </row>
    <row r="8" spans="1:25" s="19" customFormat="1" x14ac:dyDescent="0.2">
      <c r="B8" s="29"/>
      <c r="C8" s="41" t="s">
        <v>84</v>
      </c>
      <c r="D8" s="27" t="s">
        <v>17</v>
      </c>
      <c r="E8" s="40" t="str">
        <f t="shared" si="0"/>
        <v>UsdLiborSwapIsdaFixPm2Y</v>
      </c>
      <c r="F8" s="25" t="str">
        <f>_xll.qlLiborSwap($E8,Currency,FixingType,$C8,Currency&amp;$D8,Discounting,Permanent,Trigger,ObjectOverwrite)</f>
        <v>UsdLiborSwapIsdaFixPm2Y#0000</v>
      </c>
      <c r="G8" s="24" t="str">
        <f>_xll.ohRangeRetrieveError(F8)</f>
        <v/>
      </c>
      <c r="H8" s="23"/>
      <c r="J8" s="351"/>
      <c r="K8" s="380"/>
      <c r="L8" s="388" t="s">
        <v>84</v>
      </c>
      <c r="M8" s="383" t="str">
        <f t="shared" si="1"/>
        <v>USDSFIXP2Y=</v>
      </c>
      <c r="N8" s="387" t="s">
        <v>213</v>
      </c>
      <c r="O8" s="386" t="s">
        <v>213</v>
      </c>
      <c r="P8" s="386" t="b">
        <f t="shared" si="2"/>
        <v>0</v>
      </c>
      <c r="Q8" s="385" t="e">
        <f>IF($P8,_xll.qlIndexAddFixings($S8,$N8,$O8/100,TRUE,ISERROR($T8)),NA())</f>
        <v>#N/A</v>
      </c>
      <c r="R8" s="375"/>
      <c r="S8" s="384" t="str">
        <f t="shared" si="3"/>
        <v>UsdLiborSwapIsdaFixPm2Y</v>
      </c>
      <c r="T8" s="383" t="e">
        <f>_xll.qlIndexFixing($S8,$N8,TRUE,$P8)</f>
        <v>#NUM!</v>
      </c>
      <c r="U8" s="383" t="e">
        <f>IF($Q8,_xll.qlIndexFixing($S8,$N8,FALSE,$P8),"-")</f>
        <v>#N/A</v>
      </c>
      <c r="V8" s="383" t="e">
        <f t="shared" si="4"/>
        <v>#NUM!</v>
      </c>
      <c r="W8" s="382" t="e">
        <f>_xll.qlIndexFixing($S8,$N8,TRUE,$U8)</f>
        <v>#NUM!</v>
      </c>
      <c r="X8" s="414">
        <f t="shared" si="5"/>
        <v>0</v>
      </c>
      <c r="Y8" s="370"/>
    </row>
    <row r="9" spans="1:25" s="19" customFormat="1" x14ac:dyDescent="0.2">
      <c r="B9" s="29"/>
      <c r="C9" s="41" t="s">
        <v>83</v>
      </c>
      <c r="D9" s="27" t="s">
        <v>17</v>
      </c>
      <c r="E9" s="40" t="str">
        <f t="shared" si="0"/>
        <v>UsdLiborSwapIsdaFixPm3Y</v>
      </c>
      <c r="F9" s="25" t="str">
        <f>_xll.qlLiborSwap($E9,Currency,FixingType,$C9,Currency&amp;$D9,Discounting,Permanent,Trigger,ObjectOverwrite)</f>
        <v>UsdLiborSwapIsdaFixPm3Y#0000</v>
      </c>
      <c r="G9" s="24" t="str">
        <f>_xll.ohRangeRetrieveError(F9)</f>
        <v/>
      </c>
      <c r="H9" s="23"/>
      <c r="J9" s="351"/>
      <c r="K9" s="380"/>
      <c r="L9" s="388" t="s">
        <v>83</v>
      </c>
      <c r="M9" s="383" t="str">
        <f t="shared" si="1"/>
        <v>USDSFIXP3Y=</v>
      </c>
      <c r="N9" s="387" t="s">
        <v>213</v>
      </c>
      <c r="O9" s="386" t="s">
        <v>213</v>
      </c>
      <c r="P9" s="386" t="b">
        <f t="shared" si="2"/>
        <v>0</v>
      </c>
      <c r="Q9" s="385" t="e">
        <f>IF($P9,_xll.qlIndexAddFixings($S9,$N9,$O9/100,TRUE,ISERROR($T9)),NA())</f>
        <v>#N/A</v>
      </c>
      <c r="R9" s="375"/>
      <c r="S9" s="384" t="str">
        <f t="shared" si="3"/>
        <v>UsdLiborSwapIsdaFixPm3Y</v>
      </c>
      <c r="T9" s="383" t="e">
        <f>_xll.qlIndexFixing($S9,$N9,TRUE,$P9)</f>
        <v>#NUM!</v>
      </c>
      <c r="U9" s="383" t="e">
        <f>IF($Q9,_xll.qlIndexFixing($S9,$N9,FALSE,$P9),"-")</f>
        <v>#N/A</v>
      </c>
      <c r="V9" s="383" t="e">
        <f t="shared" si="4"/>
        <v>#NUM!</v>
      </c>
      <c r="W9" s="382" t="e">
        <f>_xll.qlIndexFixing($S9,$N9,TRUE,$U9)</f>
        <v>#NUM!</v>
      </c>
      <c r="X9" s="414">
        <f t="shared" si="5"/>
        <v>0</v>
      </c>
      <c r="Y9" s="370"/>
    </row>
    <row r="10" spans="1:25" s="19" customFormat="1" x14ac:dyDescent="0.2">
      <c r="B10" s="29"/>
      <c r="C10" s="41" t="s">
        <v>82</v>
      </c>
      <c r="D10" s="27" t="s">
        <v>17</v>
      </c>
      <c r="E10" s="40" t="str">
        <f t="shared" si="0"/>
        <v>UsdLiborSwapIsdaFixPm4Y</v>
      </c>
      <c r="F10" s="25" t="str">
        <f>_xll.qlLiborSwap($E10,Currency,FixingType,$C10,Currency&amp;$D10,Discounting,Permanent,Trigger,ObjectOverwrite)</f>
        <v>UsdLiborSwapIsdaFixPm4Y#0000</v>
      </c>
      <c r="G10" s="24" t="str">
        <f>_xll.ohRangeRetrieveError(F10)</f>
        <v/>
      </c>
      <c r="H10" s="23"/>
      <c r="J10" s="351"/>
      <c r="K10" s="380"/>
      <c r="L10" s="388" t="s">
        <v>82</v>
      </c>
      <c r="M10" s="383" t="str">
        <f t="shared" si="1"/>
        <v>USDSFIXP4Y=</v>
      </c>
      <c r="N10" s="387" t="s">
        <v>213</v>
      </c>
      <c r="O10" s="386" t="s">
        <v>213</v>
      </c>
      <c r="P10" s="386" t="b">
        <f t="shared" si="2"/>
        <v>0</v>
      </c>
      <c r="Q10" s="385" t="e">
        <f>IF($P10,_xll.qlIndexAddFixings($S10,$N10,$O10/100,TRUE,ISERROR($T10)),NA())</f>
        <v>#N/A</v>
      </c>
      <c r="R10" s="375"/>
      <c r="S10" s="384" t="str">
        <f t="shared" si="3"/>
        <v>UsdLiborSwapIsdaFixPm4Y</v>
      </c>
      <c r="T10" s="383" t="e">
        <f>_xll.qlIndexFixing($S10,$N10,TRUE,$P10)</f>
        <v>#NUM!</v>
      </c>
      <c r="U10" s="383" t="e">
        <f>IF($Q10,_xll.qlIndexFixing($S10,$N10,FALSE,$P10),"-")</f>
        <v>#N/A</v>
      </c>
      <c r="V10" s="383" t="e">
        <f t="shared" si="4"/>
        <v>#NUM!</v>
      </c>
      <c r="W10" s="382" t="e">
        <f>_xll.qlIndexFixing($S10,$N10,TRUE,$U10)</f>
        <v>#NUM!</v>
      </c>
      <c r="X10" s="414">
        <f t="shared" si="5"/>
        <v>0</v>
      </c>
      <c r="Y10" s="370"/>
    </row>
    <row r="11" spans="1:25" s="19" customFormat="1" x14ac:dyDescent="0.2">
      <c r="B11" s="29"/>
      <c r="C11" s="41" t="s">
        <v>81</v>
      </c>
      <c r="D11" s="27" t="s">
        <v>17</v>
      </c>
      <c r="E11" s="40" t="str">
        <f t="shared" si="0"/>
        <v>UsdLiborSwapIsdaFixPm5Y</v>
      </c>
      <c r="F11" s="25" t="str">
        <f>_xll.qlLiborSwap($E11,Currency,FixingType,$C11,Currency&amp;$D11,Discounting,Permanent,Trigger,ObjectOverwrite)</f>
        <v>UsdLiborSwapIsdaFixPm5Y#0000</v>
      </c>
      <c r="G11" s="24" t="str">
        <f>_xll.ohRangeRetrieveError(F11)</f>
        <v/>
      </c>
      <c r="H11" s="23"/>
      <c r="J11" s="351"/>
      <c r="K11" s="380"/>
      <c r="L11" s="388" t="s">
        <v>81</v>
      </c>
      <c r="M11" s="383" t="str">
        <f t="shared" si="1"/>
        <v>USDSFIXP5Y=</v>
      </c>
      <c r="N11" s="387" t="s">
        <v>213</v>
      </c>
      <c r="O11" s="386" t="s">
        <v>213</v>
      </c>
      <c r="P11" s="386" t="b">
        <f t="shared" si="2"/>
        <v>0</v>
      </c>
      <c r="Q11" s="385" t="e">
        <f>IF($P11,_xll.qlIndexAddFixings($S11,$N11,$O11/100,TRUE,ISERROR($T11)),NA())</f>
        <v>#N/A</v>
      </c>
      <c r="R11" s="375"/>
      <c r="S11" s="384" t="str">
        <f t="shared" si="3"/>
        <v>UsdLiborSwapIsdaFixPm5Y</v>
      </c>
      <c r="T11" s="383" t="e">
        <f>_xll.qlIndexFixing($S11,$N11,TRUE,$P11)</f>
        <v>#NUM!</v>
      </c>
      <c r="U11" s="383" t="e">
        <f>IF($Q11,_xll.qlIndexFixing($S11,$N11,FALSE,$P11),"-")</f>
        <v>#N/A</v>
      </c>
      <c r="V11" s="383" t="e">
        <f t="shared" si="4"/>
        <v>#NUM!</v>
      </c>
      <c r="W11" s="382" t="e">
        <f>_xll.qlIndexFixing($S11,$N11,TRUE,$U11)</f>
        <v>#NUM!</v>
      </c>
      <c r="X11" s="414">
        <f t="shared" si="5"/>
        <v>0</v>
      </c>
      <c r="Y11" s="370"/>
    </row>
    <row r="12" spans="1:25" s="19" customFormat="1" x14ac:dyDescent="0.2">
      <c r="B12" s="29"/>
      <c r="C12" s="41" t="s">
        <v>80</v>
      </c>
      <c r="D12" s="27" t="s">
        <v>17</v>
      </c>
      <c r="E12" s="40" t="str">
        <f t="shared" si="0"/>
        <v>UsdLiborSwapIsdaFixPm6Y</v>
      </c>
      <c r="F12" s="25" t="str">
        <f>_xll.qlLiborSwap($E12,Currency,FixingType,$C12,Currency&amp;$D12,Discounting,Permanent,Trigger,ObjectOverwrite)</f>
        <v>UsdLiborSwapIsdaFixPm6Y#0000</v>
      </c>
      <c r="G12" s="24" t="str">
        <f>_xll.ohRangeRetrieveError(F12)</f>
        <v/>
      </c>
      <c r="H12" s="23"/>
      <c r="J12" s="351"/>
      <c r="K12" s="380"/>
      <c r="L12" s="388" t="s">
        <v>80</v>
      </c>
      <c r="M12" s="383" t="str">
        <f t="shared" si="1"/>
        <v>USDSFIXP6Y=</v>
      </c>
      <c r="N12" s="387" t="s">
        <v>213</v>
      </c>
      <c r="O12" s="386" t="s">
        <v>213</v>
      </c>
      <c r="P12" s="386" t="b">
        <f t="shared" si="2"/>
        <v>0</v>
      </c>
      <c r="Q12" s="385" t="e">
        <f>IF($P12,_xll.qlIndexAddFixings($S12,$N12,$O12/100,TRUE,ISERROR($T12)),NA())</f>
        <v>#N/A</v>
      </c>
      <c r="R12" s="375"/>
      <c r="S12" s="384" t="str">
        <f t="shared" si="3"/>
        <v>UsdLiborSwapIsdaFixPm6Y</v>
      </c>
      <c r="T12" s="383" t="e">
        <f>_xll.qlIndexFixing($S12,$N12,TRUE,$P12)</f>
        <v>#NUM!</v>
      </c>
      <c r="U12" s="383" t="e">
        <f>IF($Q12,_xll.qlIndexFixing($S12,$N12,FALSE,$P12),"-")</f>
        <v>#N/A</v>
      </c>
      <c r="V12" s="383" t="e">
        <f t="shared" si="4"/>
        <v>#NUM!</v>
      </c>
      <c r="W12" s="382" t="e">
        <f>_xll.qlIndexFixing($S12,$N12,TRUE,$U12)</f>
        <v>#NUM!</v>
      </c>
      <c r="X12" s="414">
        <f t="shared" si="5"/>
        <v>0</v>
      </c>
      <c r="Y12" s="370"/>
    </row>
    <row r="13" spans="1:25" s="19" customFormat="1" x14ac:dyDescent="0.2">
      <c r="B13" s="29"/>
      <c r="C13" s="41" t="s">
        <v>79</v>
      </c>
      <c r="D13" s="27" t="s">
        <v>17</v>
      </c>
      <c r="E13" s="40" t="str">
        <f t="shared" si="0"/>
        <v>UsdLiborSwapIsdaFixPm7Y</v>
      </c>
      <c r="F13" s="25" t="str">
        <f>_xll.qlLiborSwap($E13,Currency,FixingType,$C13,Currency&amp;$D13,Discounting,Permanent,Trigger,ObjectOverwrite)</f>
        <v>UsdLiborSwapIsdaFixPm7Y#0000</v>
      </c>
      <c r="G13" s="24" t="str">
        <f>_xll.ohRangeRetrieveError(F13)</f>
        <v/>
      </c>
      <c r="H13" s="23"/>
      <c r="J13" s="351"/>
      <c r="K13" s="380"/>
      <c r="L13" s="388" t="s">
        <v>79</v>
      </c>
      <c r="M13" s="383" t="str">
        <f t="shared" si="1"/>
        <v>USDSFIXP7Y=</v>
      </c>
      <c r="N13" s="387" t="s">
        <v>213</v>
      </c>
      <c r="O13" s="386" t="s">
        <v>213</v>
      </c>
      <c r="P13" s="386" t="b">
        <f t="shared" si="2"/>
        <v>0</v>
      </c>
      <c r="Q13" s="385" t="e">
        <f>IF($P13,_xll.qlIndexAddFixings($S13,$N13,$O13/100,TRUE,ISERROR($T13)),NA())</f>
        <v>#N/A</v>
      </c>
      <c r="R13" s="375"/>
      <c r="S13" s="384" t="str">
        <f t="shared" si="3"/>
        <v>UsdLiborSwapIsdaFixPm7Y</v>
      </c>
      <c r="T13" s="383" t="e">
        <f>_xll.qlIndexFixing($S13,$N13,TRUE,$P13)</f>
        <v>#NUM!</v>
      </c>
      <c r="U13" s="383" t="e">
        <f>IF($Q13,_xll.qlIndexFixing($S13,$N13,FALSE,$P13),"-")</f>
        <v>#N/A</v>
      </c>
      <c r="V13" s="383" t="e">
        <f t="shared" si="4"/>
        <v>#NUM!</v>
      </c>
      <c r="W13" s="382" t="e">
        <f>_xll.qlIndexFixing($S13,$N13,TRUE,$U13)</f>
        <v>#NUM!</v>
      </c>
      <c r="X13" s="414">
        <f t="shared" si="5"/>
        <v>0</v>
      </c>
      <c r="Y13" s="370"/>
    </row>
    <row r="14" spans="1:25" s="19" customFormat="1" x14ac:dyDescent="0.2">
      <c r="B14" s="29"/>
      <c r="C14" s="41" t="s">
        <v>78</v>
      </c>
      <c r="D14" s="27" t="s">
        <v>17</v>
      </c>
      <c r="E14" s="40" t="str">
        <f t="shared" si="0"/>
        <v>UsdLiborSwapIsdaFixPm8Y</v>
      </c>
      <c r="F14" s="25" t="str">
        <f>_xll.qlLiborSwap($E14,Currency,FixingType,$C14,Currency&amp;$D14,Discounting,Permanent,Trigger,ObjectOverwrite)</f>
        <v>UsdLiborSwapIsdaFixPm8Y#0000</v>
      </c>
      <c r="G14" s="24" t="str">
        <f>_xll.ohRangeRetrieveError(F14)</f>
        <v/>
      </c>
      <c r="H14" s="23"/>
      <c r="J14" s="351"/>
      <c r="K14" s="380"/>
      <c r="L14" s="388" t="s">
        <v>78</v>
      </c>
      <c r="M14" s="383" t="str">
        <f t="shared" si="1"/>
        <v>USDSFIXP8Y=</v>
      </c>
      <c r="N14" s="387" t="s">
        <v>213</v>
      </c>
      <c r="O14" s="386" t="s">
        <v>213</v>
      </c>
      <c r="P14" s="386" t="b">
        <f t="shared" si="2"/>
        <v>0</v>
      </c>
      <c r="Q14" s="385" t="e">
        <f>IF($P14,_xll.qlIndexAddFixings($S14,$N14,$O14/100,TRUE,ISERROR($T14)),NA())</f>
        <v>#N/A</v>
      </c>
      <c r="R14" s="375"/>
      <c r="S14" s="384" t="str">
        <f t="shared" si="3"/>
        <v>UsdLiborSwapIsdaFixPm8Y</v>
      </c>
      <c r="T14" s="383" t="e">
        <f>_xll.qlIndexFixing($S14,$N14,TRUE,$P14)</f>
        <v>#NUM!</v>
      </c>
      <c r="U14" s="383" t="e">
        <f>IF($Q14,_xll.qlIndexFixing($S14,$N14,FALSE,$P14),"-")</f>
        <v>#N/A</v>
      </c>
      <c r="V14" s="383" t="e">
        <f t="shared" si="4"/>
        <v>#NUM!</v>
      </c>
      <c r="W14" s="382" t="e">
        <f>_xll.qlIndexFixing($S14,$N14,TRUE,$U14)</f>
        <v>#NUM!</v>
      </c>
      <c r="X14" s="414">
        <f t="shared" si="5"/>
        <v>0</v>
      </c>
      <c r="Y14" s="370"/>
    </row>
    <row r="15" spans="1:25" s="19" customFormat="1" x14ac:dyDescent="0.2">
      <c r="B15" s="29"/>
      <c r="C15" s="41" t="s">
        <v>77</v>
      </c>
      <c r="D15" s="27" t="s">
        <v>17</v>
      </c>
      <c r="E15" s="40" t="str">
        <f t="shared" si="0"/>
        <v>UsdLiborSwapIsdaFixPm9Y</v>
      </c>
      <c r="F15" s="25" t="str">
        <f>_xll.qlLiborSwap($E15,Currency,FixingType,$C15,Currency&amp;$D15,Discounting,Permanent,Trigger,ObjectOverwrite)</f>
        <v>UsdLiborSwapIsdaFixPm9Y#0000</v>
      </c>
      <c r="G15" s="24" t="str">
        <f>_xll.ohRangeRetrieveError(F15)</f>
        <v/>
      </c>
      <c r="H15" s="23"/>
      <c r="J15" s="351"/>
      <c r="K15" s="380"/>
      <c r="L15" s="388" t="s">
        <v>77</v>
      </c>
      <c r="M15" s="383" t="str">
        <f t="shared" si="1"/>
        <v>USDSFIXP9Y=</v>
      </c>
      <c r="N15" s="387" t="s">
        <v>213</v>
      </c>
      <c r="O15" s="386" t="s">
        <v>213</v>
      </c>
      <c r="P15" s="386" t="b">
        <f t="shared" si="2"/>
        <v>0</v>
      </c>
      <c r="Q15" s="385" t="e">
        <f>IF($P15,_xll.qlIndexAddFixings($S15,$N15,$O15/100,TRUE,ISERROR($T15)),NA())</f>
        <v>#N/A</v>
      </c>
      <c r="R15" s="375"/>
      <c r="S15" s="384" t="str">
        <f t="shared" si="3"/>
        <v>UsdLiborSwapIsdaFixPm9Y</v>
      </c>
      <c r="T15" s="383" t="e">
        <f>_xll.qlIndexFixing($S15,$N15,TRUE,$P15)</f>
        <v>#NUM!</v>
      </c>
      <c r="U15" s="383" t="e">
        <f>IF($Q15,_xll.qlIndexFixing($S15,$N15,FALSE,$P15),"-")</f>
        <v>#N/A</v>
      </c>
      <c r="V15" s="383" t="e">
        <f t="shared" si="4"/>
        <v>#NUM!</v>
      </c>
      <c r="W15" s="382" t="e">
        <f>_xll.qlIndexFixing($S15,$N15,TRUE,$U15)</f>
        <v>#NUM!</v>
      </c>
      <c r="X15" s="414">
        <f t="shared" si="5"/>
        <v>0</v>
      </c>
      <c r="Y15" s="370"/>
    </row>
    <row r="16" spans="1:25" s="19" customFormat="1" x14ac:dyDescent="0.2">
      <c r="B16" s="29"/>
      <c r="C16" s="41" t="s">
        <v>76</v>
      </c>
      <c r="D16" s="27" t="s">
        <v>17</v>
      </c>
      <c r="E16" s="40" t="str">
        <f t="shared" si="0"/>
        <v>UsdLiborSwapIsdaFixPm10Y</v>
      </c>
      <c r="F16" s="25" t="str">
        <f>_xll.qlLiborSwap($E16,Currency,FixingType,$C16,Currency&amp;$D16,Discounting,Permanent,Trigger,ObjectOverwrite)</f>
        <v>UsdLiborSwapIsdaFixPm10Y#0000</v>
      </c>
      <c r="G16" s="24" t="str">
        <f>_xll.ohRangeRetrieveError(F16)</f>
        <v/>
      </c>
      <c r="H16" s="23"/>
      <c r="J16" s="351"/>
      <c r="K16" s="380"/>
      <c r="L16" s="388" t="s">
        <v>76</v>
      </c>
      <c r="M16" s="383" t="str">
        <f t="shared" si="1"/>
        <v>USDSFIXP10Y=</v>
      </c>
      <c r="N16" s="387" t="s">
        <v>213</v>
      </c>
      <c r="O16" s="386" t="s">
        <v>213</v>
      </c>
      <c r="P16" s="386" t="b">
        <f t="shared" si="2"/>
        <v>0</v>
      </c>
      <c r="Q16" s="385" t="e">
        <f>IF($P16,_xll.qlIndexAddFixings($S16,$N16,$O16/100,TRUE,ISERROR($T16)),NA())</f>
        <v>#N/A</v>
      </c>
      <c r="R16" s="375"/>
      <c r="S16" s="384" t="str">
        <f t="shared" si="3"/>
        <v>UsdLiborSwapIsdaFixPm10Y</v>
      </c>
      <c r="T16" s="383" t="e">
        <f>_xll.qlIndexFixing($S16,$N16,TRUE,$P16)</f>
        <v>#NUM!</v>
      </c>
      <c r="U16" s="383" t="e">
        <f>IF($Q16,_xll.qlIndexFixing($S16,$N16,FALSE,$P16),"-")</f>
        <v>#N/A</v>
      </c>
      <c r="V16" s="383" t="e">
        <f t="shared" si="4"/>
        <v>#NUM!</v>
      </c>
      <c r="W16" s="382" t="e">
        <f>_xll.qlIndexFixing($S16,$N16,TRUE,$U16)</f>
        <v>#NUM!</v>
      </c>
      <c r="X16" s="414">
        <f t="shared" si="5"/>
        <v>0</v>
      </c>
      <c r="Y16" s="370"/>
    </row>
    <row r="17" spans="2:25" s="19" customFormat="1" x14ac:dyDescent="0.2">
      <c r="B17" s="29"/>
      <c r="C17" s="41" t="s">
        <v>75</v>
      </c>
      <c r="D17" s="27" t="s">
        <v>17</v>
      </c>
      <c r="E17" s="40" t="str">
        <f t="shared" si="0"/>
        <v>UsdLiborSwapIsdaFixPm11Y</v>
      </c>
      <c r="F17" s="25" t="str">
        <f>_xll.qlLiborSwap($E17,Currency,FixingType,$C17,Currency&amp;$D17,Discounting,Permanent,Trigger,ObjectOverwrite)</f>
        <v>UsdLiborSwapIsdaFixPm11Y#0000</v>
      </c>
      <c r="G17" s="24" t="str">
        <f>_xll.ohRangeRetrieveError(F17)</f>
        <v/>
      </c>
      <c r="H17" s="23"/>
      <c r="J17" s="351"/>
      <c r="K17" s="380"/>
      <c r="L17" s="388" t="s">
        <v>74</v>
      </c>
      <c r="M17" s="383" t="str">
        <f t="shared" si="1"/>
        <v>USDSFIXP12Y=</v>
      </c>
      <c r="N17" s="387" t="s">
        <v>213</v>
      </c>
      <c r="O17" s="386" t="s">
        <v>213</v>
      </c>
      <c r="P17" s="386" t="b">
        <f t="shared" si="2"/>
        <v>0</v>
      </c>
      <c r="Q17" s="385" t="e">
        <f>IF($P17,_xll.qlIndexAddFixings($S17,$N17,$O17/100,TRUE,ISERROR($T17)),NA())</f>
        <v>#N/A</v>
      </c>
      <c r="R17" s="375"/>
      <c r="S17" s="384" t="str">
        <f t="shared" si="3"/>
        <v>UsdLiborSwapIsdaFixPm12Y</v>
      </c>
      <c r="T17" s="383" t="e">
        <f>_xll.qlIndexFixing($S17,$N17,TRUE,$P17)</f>
        <v>#NUM!</v>
      </c>
      <c r="U17" s="383" t="e">
        <f>IF($Q17,_xll.qlIndexFixing($S17,$N17,FALSE,$P17),"-")</f>
        <v>#N/A</v>
      </c>
      <c r="V17" s="383" t="e">
        <f t="shared" si="4"/>
        <v>#NUM!</v>
      </c>
      <c r="W17" s="382" t="e">
        <f>_xll.qlIndexFixing($S17,$N17,TRUE,$U17)</f>
        <v>#NUM!</v>
      </c>
      <c r="X17" s="414">
        <f t="shared" si="5"/>
        <v>0</v>
      </c>
      <c r="Y17" s="370"/>
    </row>
    <row r="18" spans="2:25" s="19" customFormat="1" x14ac:dyDescent="0.2">
      <c r="B18" s="29"/>
      <c r="C18" s="41" t="s">
        <v>74</v>
      </c>
      <c r="D18" s="27" t="s">
        <v>17</v>
      </c>
      <c r="E18" s="40" t="str">
        <f t="shared" si="0"/>
        <v>UsdLiborSwapIsdaFixPm12Y</v>
      </c>
      <c r="F18" s="25" t="str">
        <f>_xll.qlLiborSwap($E18,Currency,FixingType,$C18,Currency&amp;$D18,Discounting,Permanent,Trigger,ObjectOverwrite)</f>
        <v>UsdLiborSwapIsdaFixPm12Y#0000</v>
      </c>
      <c r="G18" s="24" t="str">
        <f>_xll.ohRangeRetrieveError(F18)</f>
        <v/>
      </c>
      <c r="H18" s="23"/>
      <c r="J18" s="351"/>
      <c r="K18" s="380"/>
      <c r="L18" s="388" t="s">
        <v>71</v>
      </c>
      <c r="M18" s="383" t="str">
        <f t="shared" si="1"/>
        <v>USDSFIXP15Y=</v>
      </c>
      <c r="N18" s="387" t="s">
        <v>213</v>
      </c>
      <c r="O18" s="386" t="s">
        <v>213</v>
      </c>
      <c r="P18" s="386" t="b">
        <f t="shared" si="2"/>
        <v>0</v>
      </c>
      <c r="Q18" s="385" t="e">
        <f>IF($P18,_xll.qlIndexAddFixings($S18,$N18,$O18/100,TRUE,ISERROR($T18)),NA())</f>
        <v>#N/A</v>
      </c>
      <c r="R18" s="375"/>
      <c r="S18" s="384" t="str">
        <f t="shared" si="3"/>
        <v>UsdLiborSwapIsdaFixPm15Y</v>
      </c>
      <c r="T18" s="383" t="e">
        <f>_xll.qlIndexFixing($S18,$N18,TRUE,$P18)</f>
        <v>#NUM!</v>
      </c>
      <c r="U18" s="383" t="e">
        <f>IF($Q18,_xll.qlIndexFixing($S18,$N18,FALSE,$P18),"-")</f>
        <v>#N/A</v>
      </c>
      <c r="V18" s="383" t="e">
        <f t="shared" si="4"/>
        <v>#NUM!</v>
      </c>
      <c r="W18" s="382" t="e">
        <f>_xll.qlIndexFixing($S18,$N18,TRUE,$U18)</f>
        <v>#NUM!</v>
      </c>
      <c r="X18" s="414">
        <f t="shared" si="5"/>
        <v>0</v>
      </c>
      <c r="Y18" s="370"/>
    </row>
    <row r="19" spans="2:25" s="19" customFormat="1" x14ac:dyDescent="0.2">
      <c r="B19" s="29"/>
      <c r="C19" s="41" t="s">
        <v>73</v>
      </c>
      <c r="D19" s="27" t="s">
        <v>17</v>
      </c>
      <c r="E19" s="40" t="str">
        <f t="shared" si="0"/>
        <v>UsdLiborSwapIsdaFixPm13Y</v>
      </c>
      <c r="F19" s="25" t="str">
        <f>_xll.qlLiborSwap($E19,Currency,FixingType,$C19,Currency&amp;$D19,Discounting,Permanent,Trigger,ObjectOverwrite)</f>
        <v>UsdLiborSwapIsdaFixPm13Y#0000</v>
      </c>
      <c r="G19" s="24" t="str">
        <f>_xll.ohRangeRetrieveError(F19)</f>
        <v/>
      </c>
      <c r="H19" s="23"/>
      <c r="J19" s="351"/>
      <c r="K19" s="380"/>
      <c r="L19" s="388" t="s">
        <v>66</v>
      </c>
      <c r="M19" s="383" t="str">
        <f t="shared" si="1"/>
        <v>USDSFIXP20Y=</v>
      </c>
      <c r="N19" s="387" t="s">
        <v>213</v>
      </c>
      <c r="O19" s="386" t="s">
        <v>213</v>
      </c>
      <c r="P19" s="386" t="b">
        <f t="shared" si="2"/>
        <v>0</v>
      </c>
      <c r="Q19" s="385" t="e">
        <f>IF($P19,_xll.qlIndexAddFixings($S19,$N19,$O19/100,TRUE,ISERROR($T19)),NA())</f>
        <v>#N/A</v>
      </c>
      <c r="R19" s="375"/>
      <c r="S19" s="384" t="str">
        <f t="shared" si="3"/>
        <v>UsdLiborSwapIsdaFixPm20Y</v>
      </c>
      <c r="T19" s="383" t="e">
        <f>_xll.qlIndexFixing($S19,$N19,TRUE,$P19)</f>
        <v>#NUM!</v>
      </c>
      <c r="U19" s="383" t="e">
        <f>IF($Q19,_xll.qlIndexFixing($S19,$N19,FALSE,$P19),"-")</f>
        <v>#N/A</v>
      </c>
      <c r="V19" s="383" t="e">
        <f t="shared" si="4"/>
        <v>#NUM!</v>
      </c>
      <c r="W19" s="382" t="e">
        <f>_xll.qlIndexFixing($S19,$N19,TRUE,$U19)</f>
        <v>#NUM!</v>
      </c>
      <c r="X19" s="414">
        <f t="shared" si="5"/>
        <v>0</v>
      </c>
      <c r="Y19" s="370"/>
    </row>
    <row r="20" spans="2:25" s="19" customFormat="1" x14ac:dyDescent="0.2">
      <c r="B20" s="29"/>
      <c r="C20" s="41" t="s">
        <v>72</v>
      </c>
      <c r="D20" s="27" t="s">
        <v>17</v>
      </c>
      <c r="E20" s="40" t="str">
        <f t="shared" si="0"/>
        <v>UsdLiborSwapIsdaFixPm14Y</v>
      </c>
      <c r="F20" s="25" t="str">
        <f>_xll.qlLiborSwap($E20,Currency,FixingType,$C20,Currency&amp;$D20,Discounting,Permanent,Trigger,ObjectOverwrite)</f>
        <v>UsdLiborSwapIsdaFixPm14Y#0000</v>
      </c>
      <c r="G20" s="24" t="str">
        <f>_xll.ohRangeRetrieveError(F20)</f>
        <v/>
      </c>
      <c r="H20" s="23"/>
      <c r="J20" s="351"/>
      <c r="K20" s="380"/>
      <c r="L20" s="388" t="s">
        <v>61</v>
      </c>
      <c r="M20" s="383" t="str">
        <f t="shared" si="1"/>
        <v>USDSFIXP25Y=</v>
      </c>
      <c r="N20" s="387" t="s">
        <v>213</v>
      </c>
      <c r="O20" s="386" t="s">
        <v>213</v>
      </c>
      <c r="P20" s="386" t="b">
        <f t="shared" si="2"/>
        <v>0</v>
      </c>
      <c r="Q20" s="385" t="e">
        <f>IF($P20,_xll.qlIndexAddFixings($S20,$N20,$O20/100,TRUE,ISERROR($T20)),NA())</f>
        <v>#N/A</v>
      </c>
      <c r="R20" s="375"/>
      <c r="S20" s="384" t="str">
        <f t="shared" si="3"/>
        <v>UsdLiborSwapIsdaFixPm25Y</v>
      </c>
      <c r="T20" s="383" t="e">
        <f>_xll.qlIndexFixing($S20,$N20,TRUE,$P20)</f>
        <v>#NUM!</v>
      </c>
      <c r="U20" s="383" t="e">
        <f>IF($Q20,_xll.qlIndexFixing($S20,$N20,FALSE,$P20),"-")</f>
        <v>#N/A</v>
      </c>
      <c r="V20" s="383" t="e">
        <f t="shared" si="4"/>
        <v>#NUM!</v>
      </c>
      <c r="W20" s="382" t="e">
        <f>_xll.qlIndexFixing($S20,$N20,TRUE,$U20)</f>
        <v>#NUM!</v>
      </c>
      <c r="X20" s="414">
        <f t="shared" si="5"/>
        <v>0</v>
      </c>
      <c r="Y20" s="370"/>
    </row>
    <row r="21" spans="2:25" s="19" customFormat="1" x14ac:dyDescent="0.2">
      <c r="B21" s="29"/>
      <c r="C21" s="41" t="s">
        <v>71</v>
      </c>
      <c r="D21" s="27" t="s">
        <v>17</v>
      </c>
      <c r="E21" s="40" t="str">
        <f t="shared" si="0"/>
        <v>UsdLiborSwapIsdaFixPm15Y</v>
      </c>
      <c r="F21" s="25" t="str">
        <f>_xll.qlLiborSwap($E21,Currency,FixingType,$C21,Currency&amp;$D21,Discounting,Permanent,Trigger,ObjectOverwrite)</f>
        <v>UsdLiborSwapIsdaFixPm15Y#0000</v>
      </c>
      <c r="G21" s="24" t="str">
        <f>_xll.ohRangeRetrieveError(F21)</f>
        <v/>
      </c>
      <c r="H21" s="23"/>
      <c r="J21" s="351"/>
      <c r="K21" s="380"/>
      <c r="L21" s="379" t="s">
        <v>56</v>
      </c>
      <c r="M21" s="373" t="str">
        <f t="shared" si="1"/>
        <v>USDSFIXP30Y=</v>
      </c>
      <c r="N21" s="378" t="s">
        <v>213</v>
      </c>
      <c r="O21" s="377" t="s">
        <v>213</v>
      </c>
      <c r="P21" s="377" t="b">
        <f t="shared" si="2"/>
        <v>0</v>
      </c>
      <c r="Q21" s="376" t="e">
        <f>IF($P21,_xll.qlIndexAddFixings($S21,$N21,$O21/100,TRUE,ISERROR($T21)),NA())</f>
        <v>#N/A</v>
      </c>
      <c r="R21" s="375"/>
      <c r="S21" s="374" t="str">
        <f t="shared" si="3"/>
        <v>UsdLiborSwapIsdaFixPm30Y</v>
      </c>
      <c r="T21" s="373" t="e">
        <f>_xll.qlIndexFixing($S21,$N21,TRUE,$P21)</f>
        <v>#NUM!</v>
      </c>
      <c r="U21" s="373" t="e">
        <f>IF($Q21,_xll.qlIndexFixing($S21,$N21,FALSE,$P21),"-")</f>
        <v>#N/A</v>
      </c>
      <c r="V21" s="373" t="e">
        <f t="shared" si="4"/>
        <v>#NUM!</v>
      </c>
      <c r="W21" s="372" t="e">
        <f>_xll.qlIndexFixing($S21,$N21,TRUE,$U21)</f>
        <v>#NUM!</v>
      </c>
      <c r="X21" s="413">
        <f t="shared" si="5"/>
        <v>0</v>
      </c>
      <c r="Y21" s="370"/>
    </row>
    <row r="22" spans="2:25" s="19" customFormat="1" ht="12" thickBot="1" x14ac:dyDescent="0.25">
      <c r="B22" s="29"/>
      <c r="C22" s="41" t="s">
        <v>70</v>
      </c>
      <c r="D22" s="27" t="s">
        <v>17</v>
      </c>
      <c r="E22" s="40" t="str">
        <f t="shared" si="0"/>
        <v>UsdLiborSwapIsdaFixPm16Y</v>
      </c>
      <c r="F22" s="25" t="str">
        <f>_xll.qlLiborSwap($E22,Currency,FixingType,$C22,Currency&amp;$D22,Discounting,Permanent,Trigger,ObjectOverwrite)</f>
        <v>UsdLiborSwapIsdaFixPm16Y#0000</v>
      </c>
      <c r="G22" s="24" t="str">
        <f>_xll.ohRangeRetrieveError(F22)</f>
        <v/>
      </c>
      <c r="H22" s="23"/>
      <c r="J22" s="351"/>
      <c r="K22" s="369"/>
      <c r="L22" s="367"/>
      <c r="M22" s="367"/>
      <c r="N22" s="367"/>
      <c r="O22" s="367"/>
      <c r="P22" s="367"/>
      <c r="Q22" s="367"/>
      <c r="R22" s="366"/>
      <c r="S22" s="366"/>
      <c r="T22" s="366"/>
      <c r="U22" s="366"/>
      <c r="V22" s="366"/>
      <c r="W22" s="366"/>
      <c r="X22" s="366"/>
      <c r="Y22" s="365"/>
    </row>
    <row r="23" spans="2:25" s="19" customFormat="1" ht="12" thickBot="1" x14ac:dyDescent="0.25">
      <c r="B23" s="29"/>
      <c r="C23" s="41" t="s">
        <v>69</v>
      </c>
      <c r="D23" s="27" t="s">
        <v>17</v>
      </c>
      <c r="E23" s="40" t="str">
        <f t="shared" si="0"/>
        <v>UsdLiborSwapIsdaFixPm17Y</v>
      </c>
      <c r="F23" s="25" t="str">
        <f>_xll.qlLiborSwap($E23,Currency,FixingType,$C23,Currency&amp;$D23,Discounting,Permanent,Trigger,ObjectOverwrite)</f>
        <v>UsdLiborSwapIsdaFixPm17Y#0000</v>
      </c>
      <c r="G23" s="24" t="str">
        <f>_xll.ohRangeRetrieveError(F23)</f>
        <v/>
      </c>
      <c r="H23" s="23"/>
      <c r="J23" s="351"/>
      <c r="K23" s="351"/>
      <c r="L23" s="351"/>
      <c r="M23" s="351"/>
      <c r="N23" s="364"/>
      <c r="O23" s="363"/>
      <c r="P23" s="363"/>
      <c r="Q23" s="351"/>
      <c r="R23" s="351"/>
      <c r="S23" s="351"/>
      <c r="T23" s="351"/>
      <c r="U23" s="351"/>
      <c r="V23" s="351"/>
      <c r="W23" s="351"/>
      <c r="X23" s="351"/>
      <c r="Y23" s="351"/>
    </row>
    <row r="24" spans="2:25" s="19" customFormat="1" x14ac:dyDescent="0.2">
      <c r="B24" s="29"/>
      <c r="C24" s="41" t="s">
        <v>68</v>
      </c>
      <c r="D24" s="27" t="s">
        <v>17</v>
      </c>
      <c r="E24" s="40" t="str">
        <f t="shared" si="0"/>
        <v>UsdLiborSwapIsdaFixPm18Y</v>
      </c>
      <c r="F24" s="25" t="str">
        <f>_xll.qlLiborSwap($E24,Currency,FixingType,$C24,Currency&amp;$D24,Discounting,Permanent,Trigger,ObjectOverwrite)</f>
        <v>UsdLiborSwapIsdaFixPm18Y#0000</v>
      </c>
      <c r="G24" s="24" t="str">
        <f>_xll.ohRangeRetrieveError(F24)</f>
        <v/>
      </c>
      <c r="H24" s="23"/>
      <c r="J24" s="351"/>
      <c r="K24" s="351"/>
      <c r="L24" s="362" t="s">
        <v>105</v>
      </c>
      <c r="M24" s="418" t="s">
        <v>298</v>
      </c>
      <c r="N24" s="417" t="s">
        <v>298</v>
      </c>
      <c r="O24" s="351"/>
      <c r="P24" s="351"/>
      <c r="Q24" s="351"/>
      <c r="R24" s="351"/>
      <c r="S24" s="351"/>
      <c r="T24" s="351"/>
      <c r="U24" s="351"/>
      <c r="V24" s="351"/>
      <c r="W24" s="351"/>
      <c r="X24" s="351"/>
      <c r="Y24" s="351"/>
    </row>
    <row r="25" spans="2:25" s="19" customFormat="1" x14ac:dyDescent="0.2">
      <c r="B25" s="29"/>
      <c r="C25" s="41" t="s">
        <v>67</v>
      </c>
      <c r="D25" s="27" t="s">
        <v>17</v>
      </c>
      <c r="E25" s="40" t="str">
        <f t="shared" si="0"/>
        <v>UsdLiborSwapIsdaFixPm19Y</v>
      </c>
      <c r="F25" s="25" t="str">
        <f>_xll.qlLiborSwap($E25,Currency,FixingType,$C25,Currency&amp;$D25,Discounting,Permanent,Trigger,ObjectOverwrite)</f>
        <v>UsdLiborSwapIsdaFixPm19Y#0000</v>
      </c>
      <c r="G25" s="24" t="str">
        <f>_xll.ohRangeRetrieveError(F25)</f>
        <v/>
      </c>
      <c r="H25" s="23"/>
      <c r="J25" s="351"/>
      <c r="K25" s="351"/>
      <c r="L25" s="357" t="s">
        <v>104</v>
      </c>
      <c r="M25" s="356" t="s">
        <v>300</v>
      </c>
      <c r="N25" s="355" t="s">
        <v>299</v>
      </c>
      <c r="O25" s="351"/>
      <c r="P25" s="351"/>
      <c r="Q25" s="351"/>
      <c r="R25" s="351"/>
      <c r="S25" s="351"/>
      <c r="T25" s="351"/>
      <c r="U25" s="351"/>
      <c r="V25" s="351"/>
      <c r="W25" s="351"/>
      <c r="X25" s="351"/>
      <c r="Y25" s="351"/>
    </row>
    <row r="26" spans="2:25" s="19" customFormat="1" x14ac:dyDescent="0.2">
      <c r="B26" s="29"/>
      <c r="C26" s="41" t="s">
        <v>66</v>
      </c>
      <c r="D26" s="27" t="s">
        <v>17</v>
      </c>
      <c r="E26" s="40" t="str">
        <f t="shared" si="0"/>
        <v>UsdLiborSwapIsdaFixPm20Y</v>
      </c>
      <c r="F26" s="25" t="str">
        <f>_xll.qlLiborSwap($E26,Currency,FixingType,$C26,Currency&amp;$D26,Discounting,Permanent,Trigger,ObjectOverwrite)</f>
        <v>UsdLiborSwapIsdaFixPm20Y#0000</v>
      </c>
      <c r="G26" s="24" t="str">
        <f>_xll.ohRangeRetrieveError(F26)</f>
        <v/>
      </c>
      <c r="H26" s="23"/>
      <c r="J26" s="351"/>
      <c r="K26" s="351"/>
      <c r="L26" s="357" t="s">
        <v>282</v>
      </c>
      <c r="M26" s="356" t="s">
        <v>297</v>
      </c>
      <c r="N26" s="355" t="s">
        <v>296</v>
      </c>
      <c r="O26" s="351"/>
      <c r="P26" s="351"/>
      <c r="Q26" s="351"/>
      <c r="R26" s="351"/>
      <c r="S26" s="351"/>
      <c r="T26" s="351"/>
      <c r="U26" s="351"/>
      <c r="V26" s="351"/>
      <c r="W26" s="351"/>
      <c r="X26" s="351"/>
      <c r="Y26" s="351"/>
    </row>
    <row r="27" spans="2:25" s="19" customFormat="1" x14ac:dyDescent="0.2">
      <c r="B27" s="29"/>
      <c r="C27" s="41" t="s">
        <v>65</v>
      </c>
      <c r="D27" s="27" t="s">
        <v>17</v>
      </c>
      <c r="E27" s="40" t="str">
        <f t="shared" si="0"/>
        <v>UsdLiborSwapIsdaFixPm21Y</v>
      </c>
      <c r="F27" s="25" t="str">
        <f>_xll.qlLiborSwap($E27,Currency,FixingType,$C27,Currency&amp;$D27,Discounting,Permanent,Trigger,ObjectOverwrite)</f>
        <v>UsdLiborSwapIsdaFixPm21Y#0000</v>
      </c>
      <c r="G27" s="24" t="str">
        <f>_xll.ohRangeRetrieveError(F27)</f>
        <v/>
      </c>
      <c r="H27" s="23"/>
      <c r="J27" s="351"/>
      <c r="K27" s="351"/>
      <c r="L27" s="357" t="s">
        <v>281</v>
      </c>
      <c r="M27" s="416" t="s">
        <v>298</v>
      </c>
      <c r="N27" s="415" t="s">
        <v>298</v>
      </c>
      <c r="O27" s="351"/>
      <c r="P27" s="351"/>
      <c r="Q27" s="351"/>
      <c r="R27" s="351"/>
      <c r="S27" s="351"/>
      <c r="T27" s="351"/>
      <c r="U27" s="351"/>
      <c r="V27" s="351"/>
      <c r="W27" s="351"/>
      <c r="X27" s="351"/>
      <c r="Y27" s="351"/>
    </row>
    <row r="28" spans="2:25" s="19" customFormat="1" x14ac:dyDescent="0.2">
      <c r="B28" s="29"/>
      <c r="C28" s="41" t="s">
        <v>64</v>
      </c>
      <c r="D28" s="27" t="s">
        <v>17</v>
      </c>
      <c r="E28" s="40" t="str">
        <f t="shared" si="0"/>
        <v>UsdLiborSwapIsdaFixPm22Y</v>
      </c>
      <c r="F28" s="25" t="str">
        <f>_xll.qlLiborSwap($E28,Currency,FixingType,$C28,Currency&amp;$D28,Discounting,Permanent,Trigger,ObjectOverwrite)</f>
        <v>UsdLiborSwapIsdaFixPm22Y#0000</v>
      </c>
      <c r="G28" s="24" t="str">
        <f>_xll.ohRangeRetrieveError(F28)</f>
        <v/>
      </c>
      <c r="H28" s="23"/>
      <c r="J28" s="351"/>
      <c r="K28" s="351"/>
      <c r="L28" s="357" t="s">
        <v>101</v>
      </c>
      <c r="M28" s="416" t="s">
        <v>298</v>
      </c>
      <c r="N28" s="415" t="s">
        <v>298</v>
      </c>
      <c r="O28" s="351"/>
      <c r="P28" s="351"/>
      <c r="Q28" s="351"/>
      <c r="R28" s="351"/>
      <c r="S28" s="351"/>
      <c r="T28" s="351"/>
      <c r="U28" s="351"/>
      <c r="V28" s="351"/>
      <c r="W28" s="351"/>
      <c r="X28" s="351"/>
      <c r="Y28" s="351"/>
    </row>
    <row r="29" spans="2:25" s="19" customFormat="1" x14ac:dyDescent="0.2">
      <c r="B29" s="29"/>
      <c r="C29" s="41" t="s">
        <v>63</v>
      </c>
      <c r="D29" s="27" t="s">
        <v>17</v>
      </c>
      <c r="E29" s="40" t="str">
        <f t="shared" si="0"/>
        <v>UsdLiborSwapIsdaFixPm23Y</v>
      </c>
      <c r="F29" s="25" t="str">
        <f>_xll.qlLiborSwap($E29,Currency,FixingType,$C29,Currency&amp;$D29,Discounting,Permanent,Trigger,ObjectOverwrite)</f>
        <v>UsdLiborSwapIsdaFixPm23Y#0000</v>
      </c>
      <c r="G29" s="24" t="str">
        <f>_xll.ohRangeRetrieveError(F29)</f>
        <v/>
      </c>
      <c r="H29" s="23"/>
      <c r="J29" s="351"/>
      <c r="K29" s="351"/>
      <c r="L29" s="357" t="s">
        <v>100</v>
      </c>
      <c r="M29" s="356" t="s">
        <v>297</v>
      </c>
      <c r="N29" s="355" t="s">
        <v>296</v>
      </c>
      <c r="O29" s="351"/>
      <c r="P29" s="351"/>
      <c r="Q29" s="351"/>
      <c r="R29" s="351"/>
      <c r="S29" s="351"/>
      <c r="T29" s="351"/>
      <c r="U29" s="351"/>
      <c r="V29" s="351"/>
      <c r="W29" s="351"/>
      <c r="X29" s="351"/>
      <c r="Y29" s="351"/>
    </row>
    <row r="30" spans="2:25" s="19" customFormat="1" ht="12" thickBot="1" x14ac:dyDescent="0.25">
      <c r="B30" s="29"/>
      <c r="C30" s="41" t="s">
        <v>62</v>
      </c>
      <c r="D30" s="27" t="s">
        <v>17</v>
      </c>
      <c r="E30" s="40" t="str">
        <f t="shared" si="0"/>
        <v>UsdLiborSwapIsdaFixPm24Y</v>
      </c>
      <c r="F30" s="25" t="str">
        <f>_xll.qlLiborSwap($E30,Currency,FixingType,$C30,Currency&amp;$D30,Discounting,Permanent,Trigger,ObjectOverwrite)</f>
        <v>UsdLiborSwapIsdaFixPm24Y#0000</v>
      </c>
      <c r="G30" s="24" t="str">
        <f>_xll.ohRangeRetrieveError(F30)</f>
        <v/>
      </c>
      <c r="H30" s="23"/>
      <c r="J30" s="351"/>
      <c r="K30" s="351"/>
      <c r="L30" s="354" t="s">
        <v>95</v>
      </c>
      <c r="M30" s="412" t="s">
        <v>297</v>
      </c>
      <c r="N30" s="411" t="s">
        <v>296</v>
      </c>
      <c r="O30" s="351"/>
      <c r="P30" s="351"/>
      <c r="Q30" s="351"/>
      <c r="R30" s="351"/>
      <c r="S30" s="351"/>
      <c r="T30" s="351"/>
      <c r="U30" s="351"/>
      <c r="V30" s="351"/>
      <c r="W30" s="351"/>
      <c r="X30" s="351"/>
      <c r="Y30" s="351"/>
    </row>
    <row r="31" spans="2:25" s="19" customFormat="1" x14ac:dyDescent="0.2">
      <c r="B31" s="29"/>
      <c r="C31" s="41" t="s">
        <v>61</v>
      </c>
      <c r="D31" s="27" t="s">
        <v>17</v>
      </c>
      <c r="E31" s="40" t="str">
        <f t="shared" si="0"/>
        <v>UsdLiborSwapIsdaFixPm25Y</v>
      </c>
      <c r="F31" s="25" t="str">
        <f>_xll.qlLiborSwap($E31,Currency,FixingType,$C31,Currency&amp;$D31,Discounting,Permanent,Trigger,ObjectOverwrite)</f>
        <v>UsdLiborSwapIsdaFixPm25Y#0000</v>
      </c>
      <c r="G31" s="24" t="str">
        <f>_xll.ohRangeRetrieveError(F31)</f>
        <v/>
      </c>
      <c r="H31" s="23"/>
    </row>
    <row r="32" spans="2:25" s="19" customFormat="1" x14ac:dyDescent="0.2">
      <c r="B32" s="29"/>
      <c r="C32" s="41" t="s">
        <v>60</v>
      </c>
      <c r="D32" s="27" t="s">
        <v>17</v>
      </c>
      <c r="E32" s="40" t="str">
        <f t="shared" si="0"/>
        <v>UsdLiborSwapIsdaFixPm26Y</v>
      </c>
      <c r="F32" s="25" t="str">
        <f>_xll.qlLiborSwap($E32,Currency,FixingType,$C32,Currency&amp;$D32,Discounting,Permanent,Trigger,ObjectOverwrite)</f>
        <v>UsdLiborSwapIsdaFixPm26Y#0000</v>
      </c>
      <c r="G32" s="24" t="str">
        <f>_xll.ohRangeRetrieveError(F32)</f>
        <v/>
      </c>
      <c r="H32" s="23"/>
    </row>
    <row r="33" spans="2:8" s="19" customFormat="1" x14ac:dyDescent="0.2">
      <c r="B33" s="29"/>
      <c r="C33" s="41" t="s">
        <v>59</v>
      </c>
      <c r="D33" s="27" t="s">
        <v>17</v>
      </c>
      <c r="E33" s="40" t="str">
        <f t="shared" si="0"/>
        <v>UsdLiborSwapIsdaFixPm27Y</v>
      </c>
      <c r="F33" s="25" t="str">
        <f>_xll.qlLiborSwap($E33,Currency,FixingType,$C33,Currency&amp;$D33,Discounting,Permanent,Trigger,ObjectOverwrite)</f>
        <v>UsdLiborSwapIsdaFixPm27Y#0000</v>
      </c>
      <c r="G33" s="24" t="str">
        <f>_xll.ohRangeRetrieveError(F33)</f>
        <v/>
      </c>
      <c r="H33" s="23"/>
    </row>
    <row r="34" spans="2:8" s="19" customFormat="1" x14ac:dyDescent="0.2">
      <c r="B34" s="29"/>
      <c r="C34" s="41" t="s">
        <v>58</v>
      </c>
      <c r="D34" s="27" t="s">
        <v>17</v>
      </c>
      <c r="E34" s="40" t="str">
        <f t="shared" si="0"/>
        <v>UsdLiborSwapIsdaFixPm28Y</v>
      </c>
      <c r="F34" s="25" t="str">
        <f>_xll.qlLiborSwap($E34,Currency,FixingType,$C34,Currency&amp;$D34,Discounting,Permanent,Trigger,ObjectOverwrite)</f>
        <v>UsdLiborSwapIsdaFixPm28Y#0000</v>
      </c>
      <c r="G34" s="24" t="str">
        <f>_xll.ohRangeRetrieveError(F34)</f>
        <v/>
      </c>
      <c r="H34" s="23"/>
    </row>
    <row r="35" spans="2:8" s="19" customFormat="1" x14ac:dyDescent="0.2">
      <c r="B35" s="29"/>
      <c r="C35" s="41" t="s">
        <v>57</v>
      </c>
      <c r="D35" s="27" t="s">
        <v>17</v>
      </c>
      <c r="E35" s="40" t="str">
        <f t="shared" si="0"/>
        <v>UsdLiborSwapIsdaFixPm29Y</v>
      </c>
      <c r="F35" s="25" t="str">
        <f>_xll.qlLiborSwap($E35,Currency,FixingType,$C35,Currency&amp;$D35,Discounting,Permanent,Trigger,ObjectOverwrite)</f>
        <v>UsdLiborSwapIsdaFixPm29Y#0000</v>
      </c>
      <c r="G35" s="24" t="str">
        <f>_xll.ohRangeRetrieveError(F35)</f>
        <v/>
      </c>
      <c r="H35" s="23"/>
    </row>
    <row r="36" spans="2:8" s="19" customFormat="1" x14ac:dyDescent="0.2">
      <c r="B36" s="29"/>
      <c r="C36" s="41" t="s">
        <v>56</v>
      </c>
      <c r="D36" s="27" t="s">
        <v>17</v>
      </c>
      <c r="E36" s="40" t="str">
        <f t="shared" si="0"/>
        <v>UsdLiborSwapIsdaFixPm30Y</v>
      </c>
      <c r="F36" s="25" t="str">
        <f>_xll.qlLiborSwap($E36,Currency,FixingType,$C36,Currency&amp;$D36,Discounting,Permanent,Trigger,ObjectOverwrite)</f>
        <v>UsdLiborSwapIsdaFixPm30Y#0000</v>
      </c>
      <c r="G36" s="24" t="str">
        <f>_xll.ohRangeRetrieveError(F36)</f>
        <v/>
      </c>
      <c r="H36" s="23"/>
    </row>
    <row r="37" spans="2:8" s="19" customFormat="1" x14ac:dyDescent="0.2">
      <c r="B37" s="29"/>
      <c r="C37" s="41" t="s">
        <v>55</v>
      </c>
      <c r="D37" s="27" t="s">
        <v>17</v>
      </c>
      <c r="E37" s="40" t="str">
        <f t="shared" si="0"/>
        <v>UsdLiborSwapIsdaFixPm31Y</v>
      </c>
      <c r="F37" s="25" t="str">
        <f>_xll.qlLiborSwap($E37,Currency,FixingType,$C37,Currency&amp;$D37,Discounting,Permanent,Trigger,ObjectOverwrite)</f>
        <v>UsdLiborSwapIsdaFixPm31Y#0000</v>
      </c>
      <c r="G37" s="24" t="str">
        <f>_xll.ohRangeRetrieveError(F37)</f>
        <v/>
      </c>
      <c r="H37" s="23"/>
    </row>
    <row r="38" spans="2:8" s="19" customFormat="1" x14ac:dyDescent="0.2">
      <c r="B38" s="29"/>
      <c r="C38" s="41" t="s">
        <v>54</v>
      </c>
      <c r="D38" s="27" t="s">
        <v>17</v>
      </c>
      <c r="E38" s="40" t="str">
        <f t="shared" si="0"/>
        <v>UsdLiborSwapIsdaFixPm32Y</v>
      </c>
      <c r="F38" s="25" t="str">
        <f>_xll.qlLiborSwap($E38,Currency,FixingType,$C38,Currency&amp;$D38,Discounting,Permanent,Trigger,ObjectOverwrite)</f>
        <v>UsdLiborSwapIsdaFixPm32Y#0000</v>
      </c>
      <c r="G38" s="24" t="str">
        <f>_xll.ohRangeRetrieveError(F38)</f>
        <v/>
      </c>
      <c r="H38" s="23"/>
    </row>
    <row r="39" spans="2:8" s="19" customFormat="1" x14ac:dyDescent="0.2">
      <c r="B39" s="29"/>
      <c r="C39" s="41" t="s">
        <v>53</v>
      </c>
      <c r="D39" s="27" t="s">
        <v>17</v>
      </c>
      <c r="E39" s="40" t="str">
        <f t="shared" ref="E39:E66" si="6">PROPER(Currency)&amp;FamilyName&amp;FixingType&amp;$C39</f>
        <v>UsdLiborSwapIsdaFixPm33Y</v>
      </c>
      <c r="F39" s="25" t="str">
        <f>_xll.qlLiborSwap($E39,Currency,FixingType,$C39,Currency&amp;$D39,Discounting,Permanent,Trigger,ObjectOverwrite)</f>
        <v>UsdLiborSwapIsdaFixPm33Y#0000</v>
      </c>
      <c r="G39" s="24" t="str">
        <f>_xll.ohRangeRetrieveError(F39)</f>
        <v/>
      </c>
      <c r="H39" s="23"/>
    </row>
    <row r="40" spans="2:8" s="19" customFormat="1" x14ac:dyDescent="0.2">
      <c r="B40" s="29"/>
      <c r="C40" s="41" t="s">
        <v>52</v>
      </c>
      <c r="D40" s="27" t="s">
        <v>17</v>
      </c>
      <c r="E40" s="40" t="str">
        <f t="shared" si="6"/>
        <v>UsdLiborSwapIsdaFixPm34Y</v>
      </c>
      <c r="F40" s="25" t="str">
        <f>_xll.qlLiborSwap($E40,Currency,FixingType,$C40,Currency&amp;$D40,Discounting,Permanent,Trigger,ObjectOverwrite)</f>
        <v>UsdLiborSwapIsdaFixPm34Y#0000</v>
      </c>
      <c r="G40" s="24" t="str">
        <f>_xll.ohRangeRetrieveError(F40)</f>
        <v/>
      </c>
      <c r="H40" s="23"/>
    </row>
    <row r="41" spans="2:8" s="19" customFormat="1" x14ac:dyDescent="0.2">
      <c r="B41" s="29"/>
      <c r="C41" s="41" t="s">
        <v>51</v>
      </c>
      <c r="D41" s="27" t="s">
        <v>17</v>
      </c>
      <c r="E41" s="40" t="str">
        <f t="shared" si="6"/>
        <v>UsdLiborSwapIsdaFixPm35Y</v>
      </c>
      <c r="F41" s="25" t="str">
        <f>_xll.qlLiborSwap($E41,Currency,FixingType,$C41,Currency&amp;$D41,Discounting,Permanent,Trigger,ObjectOverwrite)</f>
        <v>UsdLiborSwapIsdaFixPm35Y#0000</v>
      </c>
      <c r="G41" s="24" t="str">
        <f>_xll.ohRangeRetrieveError(F41)</f>
        <v/>
      </c>
      <c r="H41" s="23"/>
    </row>
    <row r="42" spans="2:8" s="19" customFormat="1" x14ac:dyDescent="0.2">
      <c r="B42" s="29"/>
      <c r="C42" s="41" t="s">
        <v>50</v>
      </c>
      <c r="D42" s="27" t="s">
        <v>17</v>
      </c>
      <c r="E42" s="40" t="str">
        <f t="shared" si="6"/>
        <v>UsdLiborSwapIsdaFixPm36Y</v>
      </c>
      <c r="F42" s="25" t="str">
        <f>_xll.qlLiborSwap($E42,Currency,FixingType,$C42,Currency&amp;$D42,Discounting,Permanent,Trigger,ObjectOverwrite)</f>
        <v>UsdLiborSwapIsdaFixPm36Y#0000</v>
      </c>
      <c r="G42" s="24" t="str">
        <f>_xll.ohRangeRetrieveError(F42)</f>
        <v/>
      </c>
      <c r="H42" s="23"/>
    </row>
    <row r="43" spans="2:8" s="19" customFormat="1" x14ac:dyDescent="0.2">
      <c r="B43" s="29"/>
      <c r="C43" s="41" t="s">
        <v>49</v>
      </c>
      <c r="D43" s="27" t="s">
        <v>17</v>
      </c>
      <c r="E43" s="40" t="str">
        <f t="shared" si="6"/>
        <v>UsdLiborSwapIsdaFixPm37Y</v>
      </c>
      <c r="F43" s="25" t="str">
        <f>_xll.qlLiborSwap($E43,Currency,FixingType,$C43,Currency&amp;$D43,Discounting,Permanent,Trigger,ObjectOverwrite)</f>
        <v>UsdLiborSwapIsdaFixPm37Y#0000</v>
      </c>
      <c r="G43" s="24" t="str">
        <f>_xll.ohRangeRetrieveError(F43)</f>
        <v/>
      </c>
      <c r="H43" s="23"/>
    </row>
    <row r="44" spans="2:8" s="19" customFormat="1" x14ac:dyDescent="0.2">
      <c r="B44" s="29"/>
      <c r="C44" s="41" t="s">
        <v>48</v>
      </c>
      <c r="D44" s="27" t="s">
        <v>17</v>
      </c>
      <c r="E44" s="40" t="str">
        <f t="shared" si="6"/>
        <v>UsdLiborSwapIsdaFixPm38Y</v>
      </c>
      <c r="F44" s="25" t="str">
        <f>_xll.qlLiborSwap($E44,Currency,FixingType,$C44,Currency&amp;$D44,Discounting,Permanent,Trigger,ObjectOverwrite)</f>
        <v>UsdLiborSwapIsdaFixPm38Y#0000</v>
      </c>
      <c r="G44" s="24" t="str">
        <f>_xll.ohRangeRetrieveError(F44)</f>
        <v/>
      </c>
      <c r="H44" s="23"/>
    </row>
    <row r="45" spans="2:8" s="19" customFormat="1" x14ac:dyDescent="0.2">
      <c r="B45" s="29"/>
      <c r="C45" s="41" t="s">
        <v>47</v>
      </c>
      <c r="D45" s="27" t="s">
        <v>17</v>
      </c>
      <c r="E45" s="40" t="str">
        <f t="shared" si="6"/>
        <v>UsdLiborSwapIsdaFixPm39Y</v>
      </c>
      <c r="F45" s="25" t="str">
        <f>_xll.qlLiborSwap($E45,Currency,FixingType,$C45,Currency&amp;$D45,Discounting,Permanent,Trigger,ObjectOverwrite)</f>
        <v>UsdLiborSwapIsdaFixPm39Y#0000</v>
      </c>
      <c r="G45" s="24" t="str">
        <f>_xll.ohRangeRetrieveError(F45)</f>
        <v/>
      </c>
      <c r="H45" s="23"/>
    </row>
    <row r="46" spans="2:8" s="19" customFormat="1" x14ac:dyDescent="0.2">
      <c r="B46" s="29"/>
      <c r="C46" s="41" t="s">
        <v>46</v>
      </c>
      <c r="D46" s="27" t="s">
        <v>17</v>
      </c>
      <c r="E46" s="40" t="str">
        <f t="shared" si="6"/>
        <v>UsdLiborSwapIsdaFixPm40Y</v>
      </c>
      <c r="F46" s="25" t="str">
        <f>_xll.qlLiborSwap($E46,Currency,FixingType,$C46,Currency&amp;$D46,Discounting,Permanent,Trigger,ObjectOverwrite)</f>
        <v>UsdLiborSwapIsdaFixPm40Y#0000</v>
      </c>
      <c r="G46" s="24" t="str">
        <f>_xll.ohRangeRetrieveError(F46)</f>
        <v/>
      </c>
      <c r="H46" s="23"/>
    </row>
    <row r="47" spans="2:8" s="19" customFormat="1" x14ac:dyDescent="0.2">
      <c r="B47" s="29"/>
      <c r="C47" s="41" t="s">
        <v>45</v>
      </c>
      <c r="D47" s="27" t="s">
        <v>17</v>
      </c>
      <c r="E47" s="40" t="str">
        <f t="shared" si="6"/>
        <v>UsdLiborSwapIsdaFixPm41Y</v>
      </c>
      <c r="F47" s="25" t="str">
        <f>_xll.qlLiborSwap($E47,Currency,FixingType,$C47,Currency&amp;$D47,Discounting,Permanent,Trigger,ObjectOverwrite)</f>
        <v>UsdLiborSwapIsdaFixPm41Y#0000</v>
      </c>
      <c r="G47" s="24" t="str">
        <f>_xll.ohRangeRetrieveError(F47)</f>
        <v/>
      </c>
      <c r="H47" s="23"/>
    </row>
    <row r="48" spans="2:8" s="19" customFormat="1" x14ac:dyDescent="0.2">
      <c r="B48" s="29"/>
      <c r="C48" s="41" t="s">
        <v>44</v>
      </c>
      <c r="D48" s="27" t="s">
        <v>17</v>
      </c>
      <c r="E48" s="40" t="str">
        <f t="shared" si="6"/>
        <v>UsdLiborSwapIsdaFixPm42Y</v>
      </c>
      <c r="F48" s="25" t="str">
        <f>_xll.qlLiborSwap($E48,Currency,FixingType,$C48,Currency&amp;$D48,Discounting,Permanent,Trigger,ObjectOverwrite)</f>
        <v>UsdLiborSwapIsdaFixPm42Y#0000</v>
      </c>
      <c r="G48" s="24" t="str">
        <f>_xll.ohRangeRetrieveError(F48)</f>
        <v/>
      </c>
      <c r="H48" s="23"/>
    </row>
    <row r="49" spans="2:8" s="19" customFormat="1" x14ac:dyDescent="0.2">
      <c r="B49" s="29"/>
      <c r="C49" s="41" t="s">
        <v>43</v>
      </c>
      <c r="D49" s="27" t="s">
        <v>17</v>
      </c>
      <c r="E49" s="40" t="str">
        <f t="shared" si="6"/>
        <v>UsdLiborSwapIsdaFixPm43Y</v>
      </c>
      <c r="F49" s="25" t="str">
        <f>_xll.qlLiborSwap($E49,Currency,FixingType,$C49,Currency&amp;$D49,Discounting,Permanent,Trigger,ObjectOverwrite)</f>
        <v>UsdLiborSwapIsdaFixPm43Y#0000</v>
      </c>
      <c r="G49" s="24" t="str">
        <f>_xll.ohRangeRetrieveError(F49)</f>
        <v/>
      </c>
      <c r="H49" s="23"/>
    </row>
    <row r="50" spans="2:8" s="19" customFormat="1" x14ac:dyDescent="0.2">
      <c r="B50" s="29"/>
      <c r="C50" s="41" t="s">
        <v>42</v>
      </c>
      <c r="D50" s="27" t="s">
        <v>17</v>
      </c>
      <c r="E50" s="40" t="str">
        <f t="shared" si="6"/>
        <v>UsdLiborSwapIsdaFixPm44Y</v>
      </c>
      <c r="F50" s="25" t="str">
        <f>_xll.qlLiborSwap($E50,Currency,FixingType,$C50,Currency&amp;$D50,Discounting,Permanent,Trigger,ObjectOverwrite)</f>
        <v>UsdLiborSwapIsdaFixPm44Y#0000</v>
      </c>
      <c r="G50" s="24" t="str">
        <f>_xll.ohRangeRetrieveError(F50)</f>
        <v/>
      </c>
      <c r="H50" s="23"/>
    </row>
    <row r="51" spans="2:8" s="19" customFormat="1" x14ac:dyDescent="0.2">
      <c r="B51" s="29"/>
      <c r="C51" s="41" t="s">
        <v>41</v>
      </c>
      <c r="D51" s="27" t="s">
        <v>17</v>
      </c>
      <c r="E51" s="40" t="str">
        <f t="shared" si="6"/>
        <v>UsdLiborSwapIsdaFixPm45Y</v>
      </c>
      <c r="F51" s="25" t="str">
        <f>_xll.qlLiborSwap($E51,Currency,FixingType,$C51,Currency&amp;$D51,Discounting,Permanent,Trigger,ObjectOverwrite)</f>
        <v>UsdLiborSwapIsdaFixPm45Y#0000</v>
      </c>
      <c r="G51" s="24" t="str">
        <f>_xll.ohRangeRetrieveError(F51)</f>
        <v/>
      </c>
      <c r="H51" s="23"/>
    </row>
    <row r="52" spans="2:8" s="19" customFormat="1" x14ac:dyDescent="0.2">
      <c r="B52" s="29"/>
      <c r="C52" s="41" t="s">
        <v>40</v>
      </c>
      <c r="D52" s="27" t="s">
        <v>17</v>
      </c>
      <c r="E52" s="40" t="str">
        <f t="shared" si="6"/>
        <v>UsdLiborSwapIsdaFixPm46Y</v>
      </c>
      <c r="F52" s="25" t="str">
        <f>_xll.qlLiborSwap($E52,Currency,FixingType,$C52,Currency&amp;$D52,Discounting,Permanent,Trigger,ObjectOverwrite)</f>
        <v>UsdLiborSwapIsdaFixPm46Y#0000</v>
      </c>
      <c r="G52" s="24" t="str">
        <f>_xll.ohRangeRetrieveError(F52)</f>
        <v/>
      </c>
      <c r="H52" s="23"/>
    </row>
    <row r="53" spans="2:8" s="19" customFormat="1" x14ac:dyDescent="0.2">
      <c r="B53" s="29"/>
      <c r="C53" s="41" t="s">
        <v>39</v>
      </c>
      <c r="D53" s="27" t="s">
        <v>17</v>
      </c>
      <c r="E53" s="40" t="str">
        <f t="shared" si="6"/>
        <v>UsdLiborSwapIsdaFixPm47Y</v>
      </c>
      <c r="F53" s="25" t="str">
        <f>_xll.qlLiborSwap($E53,Currency,FixingType,$C53,Currency&amp;$D53,Discounting,Permanent,Trigger,ObjectOverwrite)</f>
        <v>UsdLiborSwapIsdaFixPm47Y#0000</v>
      </c>
      <c r="G53" s="24" t="str">
        <f>_xll.ohRangeRetrieveError(F53)</f>
        <v/>
      </c>
      <c r="H53" s="23"/>
    </row>
    <row r="54" spans="2:8" s="19" customFormat="1" x14ac:dyDescent="0.2">
      <c r="B54" s="29"/>
      <c r="C54" s="41" t="s">
        <v>38</v>
      </c>
      <c r="D54" s="27" t="s">
        <v>17</v>
      </c>
      <c r="E54" s="40" t="str">
        <f t="shared" si="6"/>
        <v>UsdLiborSwapIsdaFixPm48Y</v>
      </c>
      <c r="F54" s="25" t="str">
        <f>_xll.qlLiborSwap($E54,Currency,FixingType,$C54,Currency&amp;$D54,Discounting,Permanent,Trigger,ObjectOverwrite)</f>
        <v>UsdLiborSwapIsdaFixPm48Y#0000</v>
      </c>
      <c r="G54" s="24" t="str">
        <f>_xll.ohRangeRetrieveError(F54)</f>
        <v/>
      </c>
      <c r="H54" s="23"/>
    </row>
    <row r="55" spans="2:8" s="19" customFormat="1" x14ac:dyDescent="0.2">
      <c r="B55" s="29"/>
      <c r="C55" s="41" t="s">
        <v>37</v>
      </c>
      <c r="D55" s="27" t="s">
        <v>17</v>
      </c>
      <c r="E55" s="40" t="str">
        <f t="shared" si="6"/>
        <v>UsdLiborSwapIsdaFixPm49Y</v>
      </c>
      <c r="F55" s="25" t="str">
        <f>_xll.qlLiborSwap($E55,Currency,FixingType,$C55,Currency&amp;$D55,Discounting,Permanent,Trigger,ObjectOverwrite)</f>
        <v>UsdLiborSwapIsdaFixPm49Y#0000</v>
      </c>
      <c r="G55" s="24" t="str">
        <f>_xll.ohRangeRetrieveError(F55)</f>
        <v/>
      </c>
      <c r="H55" s="23"/>
    </row>
    <row r="56" spans="2:8" s="19" customFormat="1" x14ac:dyDescent="0.2">
      <c r="B56" s="29"/>
      <c r="C56" s="41" t="s">
        <v>36</v>
      </c>
      <c r="D56" s="27" t="s">
        <v>17</v>
      </c>
      <c r="E56" s="40" t="str">
        <f t="shared" si="6"/>
        <v>UsdLiborSwapIsdaFixPm50Y</v>
      </c>
      <c r="F56" s="25" t="str">
        <f>_xll.qlLiborSwap($E56,Currency,FixingType,$C56,Currency&amp;$D56,Discounting,Permanent,Trigger,ObjectOverwrite)</f>
        <v>UsdLiborSwapIsdaFixPm50Y#0000</v>
      </c>
      <c r="G56" s="24" t="str">
        <f>_xll.ohRangeRetrieveError(F56)</f>
        <v/>
      </c>
      <c r="H56" s="23"/>
    </row>
    <row r="57" spans="2:8" s="19" customFormat="1" x14ac:dyDescent="0.2">
      <c r="B57" s="29"/>
      <c r="C57" s="41" t="s">
        <v>35</v>
      </c>
      <c r="D57" s="27" t="s">
        <v>17</v>
      </c>
      <c r="E57" s="40" t="str">
        <f t="shared" si="6"/>
        <v>UsdLiborSwapIsdaFixPm51Y</v>
      </c>
      <c r="F57" s="25" t="str">
        <f>_xll.qlLiborSwap($E57,Currency,FixingType,$C57,Currency&amp;$D57,Discounting,Permanent,Trigger,ObjectOverwrite)</f>
        <v>UsdLiborSwapIsdaFixPm51Y#0000</v>
      </c>
      <c r="G57" s="24" t="str">
        <f>_xll.ohRangeRetrieveError(F57)</f>
        <v/>
      </c>
      <c r="H57" s="23"/>
    </row>
    <row r="58" spans="2:8" s="19" customFormat="1" x14ac:dyDescent="0.2">
      <c r="B58" s="29"/>
      <c r="C58" s="41" t="s">
        <v>34</v>
      </c>
      <c r="D58" s="27" t="s">
        <v>17</v>
      </c>
      <c r="E58" s="40" t="str">
        <f t="shared" si="6"/>
        <v>UsdLiborSwapIsdaFixPm52Y</v>
      </c>
      <c r="F58" s="25" t="str">
        <f>_xll.qlLiborSwap($E58,Currency,FixingType,$C58,Currency&amp;$D58,Discounting,Permanent,Trigger,ObjectOverwrite)</f>
        <v>UsdLiborSwapIsdaFixPm52Y#0000</v>
      </c>
      <c r="G58" s="24" t="str">
        <f>_xll.ohRangeRetrieveError(F58)</f>
        <v/>
      </c>
      <c r="H58" s="23"/>
    </row>
    <row r="59" spans="2:8" s="19" customFormat="1" x14ac:dyDescent="0.2">
      <c r="B59" s="29"/>
      <c r="C59" s="41" t="s">
        <v>33</v>
      </c>
      <c r="D59" s="27" t="s">
        <v>17</v>
      </c>
      <c r="E59" s="40" t="str">
        <f t="shared" si="6"/>
        <v>UsdLiborSwapIsdaFixPm53Y</v>
      </c>
      <c r="F59" s="25" t="str">
        <f>_xll.qlLiborSwap($E59,Currency,FixingType,$C59,Currency&amp;$D59,Discounting,Permanent,Trigger,ObjectOverwrite)</f>
        <v>UsdLiborSwapIsdaFixPm53Y#0000</v>
      </c>
      <c r="G59" s="24" t="str">
        <f>_xll.ohRangeRetrieveError(F59)</f>
        <v/>
      </c>
      <c r="H59" s="23"/>
    </row>
    <row r="60" spans="2:8" s="19" customFormat="1" x14ac:dyDescent="0.2">
      <c r="B60" s="29"/>
      <c r="C60" s="41" t="s">
        <v>32</v>
      </c>
      <c r="D60" s="27" t="s">
        <v>17</v>
      </c>
      <c r="E60" s="40" t="str">
        <f t="shared" si="6"/>
        <v>UsdLiborSwapIsdaFixPm54Y</v>
      </c>
      <c r="F60" s="25" t="str">
        <f>_xll.qlLiborSwap($E60,Currency,FixingType,$C60,Currency&amp;$D60,Discounting,Permanent,Trigger,ObjectOverwrite)</f>
        <v>UsdLiborSwapIsdaFixPm54Y#0000</v>
      </c>
      <c r="G60" s="24" t="str">
        <f>_xll.ohRangeRetrieveError(F60)</f>
        <v/>
      </c>
      <c r="H60" s="23"/>
    </row>
    <row r="61" spans="2:8" s="19" customFormat="1" x14ac:dyDescent="0.2">
      <c r="B61" s="29"/>
      <c r="C61" s="41" t="s">
        <v>31</v>
      </c>
      <c r="D61" s="27" t="s">
        <v>17</v>
      </c>
      <c r="E61" s="40" t="str">
        <f t="shared" si="6"/>
        <v>UsdLiborSwapIsdaFixPm55Y</v>
      </c>
      <c r="F61" s="25" t="str">
        <f>_xll.qlLiborSwap($E61,Currency,FixingType,$C61,Currency&amp;$D61,Discounting,Permanent,Trigger,ObjectOverwrite)</f>
        <v>UsdLiborSwapIsdaFixPm55Y#0000</v>
      </c>
      <c r="G61" s="24" t="str">
        <f>_xll.ohRangeRetrieveError(F61)</f>
        <v/>
      </c>
      <c r="H61" s="23"/>
    </row>
    <row r="62" spans="2:8" s="19" customFormat="1" x14ac:dyDescent="0.2">
      <c r="B62" s="29"/>
      <c r="C62" s="41" t="s">
        <v>30</v>
      </c>
      <c r="D62" s="27" t="s">
        <v>17</v>
      </c>
      <c r="E62" s="40" t="str">
        <f t="shared" si="6"/>
        <v>UsdLiborSwapIsdaFixPm56Y</v>
      </c>
      <c r="F62" s="25" t="str">
        <f>_xll.qlLiborSwap($E62,Currency,FixingType,$C62,Currency&amp;$D62,Discounting,Permanent,Trigger,ObjectOverwrite)</f>
        <v>UsdLiborSwapIsdaFixPm56Y#0000</v>
      </c>
      <c r="G62" s="24" t="str">
        <f>_xll.ohRangeRetrieveError(F62)</f>
        <v/>
      </c>
      <c r="H62" s="23"/>
    </row>
    <row r="63" spans="2:8" s="19" customFormat="1" x14ac:dyDescent="0.2">
      <c r="B63" s="29"/>
      <c r="C63" s="41" t="s">
        <v>29</v>
      </c>
      <c r="D63" s="27" t="s">
        <v>17</v>
      </c>
      <c r="E63" s="40" t="str">
        <f t="shared" si="6"/>
        <v>UsdLiborSwapIsdaFixPm57Y</v>
      </c>
      <c r="F63" s="25" t="str">
        <f>_xll.qlLiborSwap($E63,Currency,FixingType,$C63,Currency&amp;$D63,Discounting,Permanent,Trigger,ObjectOverwrite)</f>
        <v>UsdLiborSwapIsdaFixPm57Y#0000</v>
      </c>
      <c r="G63" s="24" t="str">
        <f>_xll.ohRangeRetrieveError(F63)</f>
        <v/>
      </c>
      <c r="H63" s="23"/>
    </row>
    <row r="64" spans="2:8" s="19" customFormat="1" x14ac:dyDescent="0.2">
      <c r="B64" s="29"/>
      <c r="C64" s="41" t="s">
        <v>28</v>
      </c>
      <c r="D64" s="27" t="s">
        <v>17</v>
      </c>
      <c r="E64" s="40" t="str">
        <f t="shared" si="6"/>
        <v>UsdLiborSwapIsdaFixPm58Y</v>
      </c>
      <c r="F64" s="25" t="str">
        <f>_xll.qlLiborSwap($E64,Currency,FixingType,$C64,Currency&amp;$D64,Discounting,Permanent,Trigger,ObjectOverwrite)</f>
        <v>UsdLiborSwapIsdaFixPm58Y#0000</v>
      </c>
      <c r="G64" s="24" t="str">
        <f>_xll.ohRangeRetrieveError(F64)</f>
        <v/>
      </c>
      <c r="H64" s="23"/>
    </row>
    <row r="65" spans="2:25" s="19" customFormat="1" x14ac:dyDescent="0.2">
      <c r="B65" s="29"/>
      <c r="C65" s="41" t="s">
        <v>27</v>
      </c>
      <c r="D65" s="27" t="s">
        <v>17</v>
      </c>
      <c r="E65" s="40" t="str">
        <f t="shared" si="6"/>
        <v>UsdLiborSwapIsdaFixPm59Y</v>
      </c>
      <c r="F65" s="25" t="str">
        <f>_xll.qlLiborSwap($E65,Currency,FixingType,$C65,Currency&amp;$D65,Discounting,Permanent,Trigger,ObjectOverwrite)</f>
        <v>UsdLiborSwapIsdaFixPm59Y#0000</v>
      </c>
      <c r="G65" s="24" t="str">
        <f>_xll.ohRangeRetrieveError(F65)</f>
        <v/>
      </c>
      <c r="H65" s="23"/>
    </row>
    <row r="66" spans="2:25" s="19" customFormat="1" x14ac:dyDescent="0.2">
      <c r="B66" s="29"/>
      <c r="C66" s="41" t="s">
        <v>26</v>
      </c>
      <c r="D66" s="27" t="s">
        <v>17</v>
      </c>
      <c r="E66" s="40" t="str">
        <f t="shared" si="6"/>
        <v>UsdLiborSwapIsdaFixPm60Y</v>
      </c>
      <c r="F66" s="25" t="str">
        <f>_xll.qlLiborSwap($E66,Currency,FixingType,$C66,Currency&amp;$D66,Discounting,Permanent,Trigger,ObjectOverwrite)</f>
        <v>UsdLiborSwapIsdaFixPm60Y#0000</v>
      </c>
      <c r="G66" s="24" t="str">
        <f>_xll.ohRangeRetrieveError(F66)</f>
        <v/>
      </c>
      <c r="H66" s="23"/>
    </row>
    <row r="67" spans="2:25" s="19" customFormat="1" ht="12" thickBot="1" x14ac:dyDescent="0.25">
      <c r="B67" s="22"/>
      <c r="C67" s="21"/>
      <c r="D67" s="21"/>
      <c r="E67" s="21"/>
      <c r="F67" s="21"/>
      <c r="G67" s="21"/>
      <c r="H67" s="20"/>
    </row>
    <row r="68" spans="2:25" s="19" customFormat="1" x14ac:dyDescent="0.2"/>
    <row r="69" spans="2:25" x14ac:dyDescent="0.2"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</row>
    <row r="70" spans="2:25" x14ac:dyDescent="0.2"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</row>
    <row r="71" spans="2:25" x14ac:dyDescent="0.2"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</row>
  </sheetData>
  <conditionalFormatting sqref="V7:V21">
    <cfRule type="cellIs" dxfId="33" priority="1" stopIfTrue="1" operator="greaterThan">
      <formula>0</formula>
    </cfRule>
    <cfRule type="cellIs" dxfId="32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H43"/>
  <sheetViews>
    <sheetView topLeftCell="I1" workbookViewId="0">
      <selection activeCell="S3" sqref="S3"/>
    </sheetView>
  </sheetViews>
  <sheetFormatPr defaultRowHeight="11.25" x14ac:dyDescent="0.2"/>
  <cols>
    <col min="1" max="1" width="2.7109375" style="13" customWidth="1"/>
    <col min="2" max="2" width="6.5703125" style="13" bestFit="1" customWidth="1"/>
    <col min="3" max="4" width="2.7109375" style="13" bestFit="1" customWidth="1"/>
    <col min="5" max="5" width="17.85546875" style="13" bestFit="1" customWidth="1"/>
    <col min="6" max="6" width="19.7109375" style="42" bestFit="1" customWidth="1"/>
    <col min="7" max="7" width="38.28515625" style="13" customWidth="1"/>
    <col min="8" max="9" width="2.7109375" style="13" customWidth="1"/>
    <col min="10" max="12" width="3.5703125" style="13" customWidth="1"/>
    <col min="13" max="13" width="2.7109375" style="13" customWidth="1"/>
    <col min="14" max="24" width="9.140625" style="13"/>
    <col min="25" max="25" width="2.7109375" style="13" customWidth="1"/>
    <col min="26" max="26" width="9.140625" style="13"/>
    <col min="27" max="27" width="2.7109375" style="13" customWidth="1"/>
    <col min="28" max="29" width="9.140625" style="13"/>
    <col min="30" max="31" width="2.7109375" style="13" customWidth="1"/>
    <col min="32" max="16384" width="9.140625" style="13"/>
  </cols>
  <sheetData>
    <row r="1" spans="1:34" x14ac:dyDescent="0.2">
      <c r="N1" s="265" t="s">
        <v>280</v>
      </c>
      <c r="O1" s="150"/>
      <c r="P1" s="150"/>
      <c r="Q1" s="150"/>
      <c r="R1" s="150"/>
      <c r="S1" s="150"/>
      <c r="T1" s="150"/>
      <c r="U1" s="150"/>
      <c r="V1" s="150"/>
      <c r="W1" s="150"/>
      <c r="X1" s="150"/>
      <c r="Y1" s="150"/>
      <c r="Z1" s="150"/>
      <c r="AA1" s="150"/>
      <c r="AB1" s="150"/>
      <c r="AC1" s="150"/>
      <c r="AD1" s="147"/>
    </row>
    <row r="2" spans="1:34" x14ac:dyDescent="0.2">
      <c r="N2" s="234"/>
      <c r="O2" s="201"/>
      <c r="P2" s="201"/>
      <c r="Q2" s="201"/>
      <c r="R2" s="201"/>
      <c r="S2" s="118" t="s">
        <v>214</v>
      </c>
      <c r="T2" s="201"/>
      <c r="U2" s="201"/>
      <c r="V2" s="201"/>
      <c r="W2" s="201"/>
      <c r="X2" s="111"/>
      <c r="Y2" s="201"/>
      <c r="Z2" s="201"/>
      <c r="AA2" s="201"/>
      <c r="AB2" s="201"/>
      <c r="AC2" s="111"/>
      <c r="AD2" s="23"/>
    </row>
    <row r="3" spans="1:34" x14ac:dyDescent="0.2">
      <c r="A3" s="76" t="s">
        <v>118</v>
      </c>
      <c r="B3" s="71"/>
      <c r="C3" s="71"/>
      <c r="D3" s="71"/>
      <c r="E3" s="69"/>
      <c r="F3" s="70"/>
      <c r="G3" s="69"/>
      <c r="H3" s="68"/>
      <c r="N3" s="96"/>
      <c r="O3" s="201"/>
      <c r="P3" s="111"/>
      <c r="Q3" s="111"/>
      <c r="R3" s="111"/>
      <c r="S3" s="111" t="str">
        <f>_xll.qlInterpolation(,InterpolationType,_xll.ohFilter(N5:N42,W5:W42),_xll.ohFilter(V5:V42,W5:W42))</f>
        <v>obj_0070b#0003</v>
      </c>
      <c r="T3" s="111"/>
      <c r="U3" s="111"/>
      <c r="V3" s="111"/>
      <c r="W3" s="111"/>
      <c r="X3" s="111"/>
      <c r="Y3" s="201"/>
      <c r="Z3" s="201"/>
      <c r="AA3" s="201"/>
      <c r="AB3" s="111"/>
      <c r="AC3" s="231">
        <f>_xll.ohTrigger(AC5:AC42)</f>
        <v>5</v>
      </c>
      <c r="AD3" s="169"/>
    </row>
    <row r="4" spans="1:34" ht="23.25" thickBot="1" x14ac:dyDescent="0.25">
      <c r="A4" s="53"/>
      <c r="B4" s="66" t="s">
        <v>109</v>
      </c>
      <c r="C4" s="67"/>
      <c r="D4" s="66"/>
      <c r="E4" s="65" t="str">
        <f>Currency&amp;"_010_Sw"&amp;$C$6&amp;$D$6&amp;".xml"</f>
        <v>USD_010_Sw3L1L.xml</v>
      </c>
      <c r="F4" s="64" t="str">
        <f>IF(Serialize,_xll.ohObjectSave(F5:F42,SerializationPath&amp;E4,FileOverwrite,Serialize),"---")</f>
        <v>---</v>
      </c>
      <c r="G4" s="48" t="str">
        <f>_xll.ohRangeRetrieveError(F4)</f>
        <v/>
      </c>
      <c r="H4" s="47"/>
      <c r="N4" s="96"/>
      <c r="O4" s="263"/>
      <c r="P4" s="145"/>
      <c r="Q4" s="145"/>
      <c r="R4" s="145"/>
      <c r="S4" s="196" t="str">
        <f>_xll.RData(S5:S42,T4:U4,"RTFEED:IDN",ReutersRtMode,,T5)</f>
        <v>Updated at 16:49:03</v>
      </c>
      <c r="T4" s="262" t="s">
        <v>201</v>
      </c>
      <c r="U4" s="262" t="s">
        <v>200</v>
      </c>
      <c r="V4" s="262" t="s">
        <v>257</v>
      </c>
      <c r="W4" s="262"/>
      <c r="X4" s="227" t="s">
        <v>256</v>
      </c>
      <c r="Y4" s="201"/>
      <c r="Z4" s="229" t="s">
        <v>231</v>
      </c>
      <c r="AA4" s="201"/>
      <c r="AB4" s="431" t="s">
        <v>229</v>
      </c>
      <c r="AC4" s="67" t="s">
        <v>228</v>
      </c>
      <c r="AD4" s="169"/>
    </row>
    <row r="5" spans="1:34" s="12" customFormat="1" ht="12.75" x14ac:dyDescent="0.2">
      <c r="A5" s="53"/>
      <c r="B5" s="63" t="s">
        <v>14</v>
      </c>
      <c r="C5" s="51" t="str">
        <f>VLOOKUP(Currency,$J$10:$L$14,2)</f>
        <v>3L</v>
      </c>
      <c r="D5" s="50" t="str">
        <f>VLOOKUP(Currency,$J$10:$L$14,3)</f>
        <v>1L</v>
      </c>
      <c r="E5" s="49" t="str">
        <f t="shared" ref="E5:E42" si="0">IF(ISBLANK(C5),"#",Currency&amp;$C5&amp;$D5&amp;$B5&amp;QuoteSuffix)</f>
        <v>USD3L1L6M_Quote</v>
      </c>
      <c r="F5" s="49" t="str">
        <f>_xll.qlSimpleQuote(E5,,RateTickValue,Permanent,Trigger,ObjectOverwrite)</f>
        <v>USD3L1L6M_Quote#0000</v>
      </c>
      <c r="G5" s="48" t="str">
        <f>_xll.ohRangeRetrieveError(F5)</f>
        <v/>
      </c>
      <c r="H5" s="47"/>
      <c r="I5" s="13"/>
      <c r="J5" s="13"/>
      <c r="K5" s="13"/>
      <c r="L5" s="13"/>
      <c r="N5" s="326">
        <v>0.5</v>
      </c>
      <c r="O5" s="205" t="s">
        <v>14</v>
      </c>
      <c r="P5" s="254" t="str">
        <f t="array" ref="P5:P42">VLOOKUP(Currency,Conventions,2)</f>
        <v>3L</v>
      </c>
      <c r="Q5" s="254" t="str">
        <f t="array" ref="Q5:Q42">VLOOKUP(Currency,Conventions,3)</f>
        <v>1L</v>
      </c>
      <c r="R5" s="252" t="str">
        <f t="shared" ref="R5:R42" si="1">Currency&amp;$P5&amp;$Q5&amp;$O5</f>
        <v>USD3L1L6M</v>
      </c>
      <c r="S5" s="204" t="str">
        <f t="array" ref="S5:S42">Instruments&amp;"="&amp;VLOOKUP(Contributor,ContributorTable,2,FALSE)</f>
        <v>USD3L1L6M=ICAP</v>
      </c>
      <c r="T5" s="324">
        <v>7.4</v>
      </c>
      <c r="U5" s="324">
        <v>0</v>
      </c>
      <c r="V5" s="324">
        <f>_xll.qlMidEquivalent(T5,U5)</f>
        <v>7.4</v>
      </c>
      <c r="W5" s="199" t="b">
        <f t="shared" ref="W5:W42" si="2">IF(ISNUMBER(V5),TRUE,FALSE)</f>
        <v>1</v>
      </c>
      <c r="X5" s="325">
        <f t="array" ref="X5:X38">_xll.qlInterpolationInterpolate(S3,N5:N42)</f>
        <v>7.4</v>
      </c>
      <c r="Y5" s="201"/>
      <c r="Z5" s="322">
        <v>7.4</v>
      </c>
      <c r="AA5" s="201"/>
      <c r="AB5" s="433">
        <f t="array" ref="AB5:AB42">QuoteLive</f>
        <v>7.4</v>
      </c>
      <c r="AC5" s="198">
        <f>_xll.qlSimpleQuoteSetValue(F5,AB5/10000,Trigger)</f>
        <v>0</v>
      </c>
      <c r="AD5" s="169"/>
      <c r="AE5" s="13"/>
      <c r="AF5" s="62" t="s">
        <v>105</v>
      </c>
      <c r="AG5" s="61" t="s">
        <v>97</v>
      </c>
      <c r="AH5" s="60" t="s">
        <v>99</v>
      </c>
    </row>
    <row r="6" spans="1:34" s="12" customFormat="1" ht="12.75" x14ac:dyDescent="0.2">
      <c r="A6" s="53"/>
      <c r="B6" s="63" t="s">
        <v>8</v>
      </c>
      <c r="C6" s="51" t="str">
        <f t="shared" ref="C6:C42" si="3">C5</f>
        <v>3L</v>
      </c>
      <c r="D6" s="50" t="str">
        <f t="shared" ref="D6:D42" si="4">D5</f>
        <v>1L</v>
      </c>
      <c r="E6" s="49" t="str">
        <f t="shared" si="0"/>
        <v>USD3L1L1Y_Quote</v>
      </c>
      <c r="F6" s="49" t="str">
        <f>_xll.qlSimpleQuote(E6,,RateTickValue,Permanent,Trigger,ObjectOverwrite)</f>
        <v>USD3L1L1Y_Quote#0000</v>
      </c>
      <c r="G6" s="48" t="str">
        <f>_xll.ohRangeRetrieveError(F6)</f>
        <v/>
      </c>
      <c r="H6" s="47"/>
      <c r="I6" s="13"/>
      <c r="J6" s="13"/>
      <c r="K6" s="13"/>
      <c r="L6" s="13"/>
      <c r="N6" s="326">
        <v>1</v>
      </c>
      <c r="O6" s="205" t="s">
        <v>8</v>
      </c>
      <c r="P6" s="254" t="str">
        <v>3L</v>
      </c>
      <c r="Q6" s="254" t="str">
        <v>1L</v>
      </c>
      <c r="R6" s="252" t="str">
        <f t="shared" si="1"/>
        <v>USD3L1L1Y</v>
      </c>
      <c r="S6" s="204" t="str">
        <v>USD3L1L1Y=ICAP</v>
      </c>
      <c r="T6" s="324">
        <v>7.3</v>
      </c>
      <c r="U6" s="324">
        <v>0</v>
      </c>
      <c r="V6" s="324">
        <f>_xll.qlMidEquivalent(T6,U6)</f>
        <v>7.3</v>
      </c>
      <c r="W6" s="199" t="b">
        <f t="shared" si="2"/>
        <v>1</v>
      </c>
      <c r="X6" s="325">
        <v>7.3</v>
      </c>
      <c r="Y6" s="201"/>
      <c r="Z6" s="322">
        <v>7.3</v>
      </c>
      <c r="AA6" s="201"/>
      <c r="AB6" s="433">
        <v>7.3</v>
      </c>
      <c r="AC6" s="198">
        <f>_xll.qlSimpleQuoteSetValue(F6,AB6/10000,Trigger)</f>
        <v>0</v>
      </c>
      <c r="AD6" s="169"/>
      <c r="AE6" s="13"/>
      <c r="AF6" s="59" t="s">
        <v>104</v>
      </c>
      <c r="AG6" s="58" t="s">
        <v>103</v>
      </c>
      <c r="AH6" s="57" t="s">
        <v>102</v>
      </c>
    </row>
    <row r="7" spans="1:34" s="12" customFormat="1" ht="12.75" x14ac:dyDescent="0.2">
      <c r="A7" s="53"/>
      <c r="B7" s="63" t="s">
        <v>108</v>
      </c>
      <c r="C7" s="51" t="str">
        <f t="shared" si="3"/>
        <v>3L</v>
      </c>
      <c r="D7" s="50" t="str">
        <f t="shared" si="4"/>
        <v>1L</v>
      </c>
      <c r="E7" s="49" t="str">
        <f t="shared" si="0"/>
        <v>USD3L1L15M_Quote</v>
      </c>
      <c r="F7" s="49" t="str">
        <f>_xll.qlSimpleQuote(E7,,RateTickValue,Permanent,Trigger,ObjectOverwrite)</f>
        <v>USD3L1L15M_Quote#0000</v>
      </c>
      <c r="G7" s="48" t="str">
        <f>_xll.ohRangeRetrieveError(F7)</f>
        <v/>
      </c>
      <c r="H7" s="47"/>
      <c r="N7" s="326">
        <v>1.25</v>
      </c>
      <c r="O7" s="205" t="s">
        <v>108</v>
      </c>
      <c r="P7" s="254" t="str">
        <v>3L</v>
      </c>
      <c r="Q7" s="254" t="str">
        <v>1L</v>
      </c>
      <c r="R7" s="252" t="str">
        <f t="shared" si="1"/>
        <v>USD3L1L15M</v>
      </c>
      <c r="S7" s="204" t="str">
        <v>USD3L1L15M=ICAP</v>
      </c>
      <c r="T7" s="324" t="s">
        <v>213</v>
      </c>
      <c r="U7" s="324" t="s">
        <v>213</v>
      </c>
      <c r="V7" s="324" t="e">
        <f>_xll.qlMidEquivalent(T7,U7)</f>
        <v>#NUM!</v>
      </c>
      <c r="W7" s="199" t="b">
        <f t="shared" si="2"/>
        <v>0</v>
      </c>
      <c r="X7" s="325">
        <v>7.2924157869744866</v>
      </c>
      <c r="Y7" s="201"/>
      <c r="Z7" s="322">
        <v>7.2924157869744866</v>
      </c>
      <c r="AA7" s="201"/>
      <c r="AB7" s="433">
        <v>7.2924157869744866</v>
      </c>
      <c r="AC7" s="198">
        <f>_xll.qlSimpleQuoteSetValue(F7,AB7/10000,Trigger)</f>
        <v>2.1337945061046526E-10</v>
      </c>
      <c r="AD7" s="169"/>
      <c r="AE7" s="13"/>
      <c r="AF7" s="59" t="s">
        <v>101</v>
      </c>
      <c r="AG7" s="58" t="s">
        <v>97</v>
      </c>
      <c r="AH7" s="57" t="s">
        <v>99</v>
      </c>
    </row>
    <row r="8" spans="1:34" ht="12.75" x14ac:dyDescent="0.2">
      <c r="A8" s="53"/>
      <c r="B8" s="63" t="s">
        <v>107</v>
      </c>
      <c r="C8" s="51" t="str">
        <f t="shared" si="3"/>
        <v>3L</v>
      </c>
      <c r="D8" s="50" t="str">
        <f t="shared" si="4"/>
        <v>1L</v>
      </c>
      <c r="E8" s="49" t="str">
        <f t="shared" si="0"/>
        <v>USD3L1L18M_Quote</v>
      </c>
      <c r="F8" s="49" t="str">
        <f>_xll.qlSimpleQuote(E8,,RateTickValue,Permanent,Trigger,ObjectOverwrite)</f>
        <v>USD3L1L18M_Quote#0000</v>
      </c>
      <c r="G8" s="48" t="str">
        <f>_xll.ohRangeRetrieveError(F8)</f>
        <v/>
      </c>
      <c r="H8" s="47"/>
      <c r="I8" s="12"/>
      <c r="J8" s="12"/>
      <c r="K8" s="12"/>
      <c r="L8" s="12"/>
      <c r="N8" s="326">
        <v>1.5</v>
      </c>
      <c r="O8" s="205" t="s">
        <v>107</v>
      </c>
      <c r="P8" s="254" t="str">
        <v>3L</v>
      </c>
      <c r="Q8" s="254" t="str">
        <v>1L</v>
      </c>
      <c r="R8" s="252" t="str">
        <f t="shared" si="1"/>
        <v>USD3L1L18M</v>
      </c>
      <c r="S8" s="204" t="str">
        <v>USD3L1L18M=ICAP</v>
      </c>
      <c r="T8" s="324" t="s">
        <v>213</v>
      </c>
      <c r="U8" s="324" t="s">
        <v>213</v>
      </c>
      <c r="V8" s="324" t="e">
        <f>_xll.qlMidEquivalent(T8,U8)</f>
        <v>#NUM!</v>
      </c>
      <c r="W8" s="199" t="b">
        <f t="shared" si="2"/>
        <v>0</v>
      </c>
      <c r="X8" s="325">
        <v>7.3129565739489735</v>
      </c>
      <c r="Y8" s="201"/>
      <c r="Z8" s="322">
        <v>7.3129565739489735</v>
      </c>
      <c r="AA8" s="201"/>
      <c r="AB8" s="433">
        <v>7.3129565739489735</v>
      </c>
      <c r="AC8" s="198">
        <f>_xll.qlSimpleQuoteSetValue(F8,AB8/10000,Trigger)</f>
        <v>4.2675890122093052E-10</v>
      </c>
      <c r="AD8" s="169"/>
      <c r="AF8" s="59" t="s">
        <v>100</v>
      </c>
      <c r="AG8" s="58" t="s">
        <v>97</v>
      </c>
      <c r="AH8" s="57" t="s">
        <v>99</v>
      </c>
    </row>
    <row r="9" spans="1:34" ht="13.5" thickBot="1" x14ac:dyDescent="0.25">
      <c r="A9" s="53"/>
      <c r="B9" s="63" t="s">
        <v>106</v>
      </c>
      <c r="C9" s="51" t="str">
        <f t="shared" si="3"/>
        <v>3L</v>
      </c>
      <c r="D9" s="50" t="str">
        <f t="shared" si="4"/>
        <v>1L</v>
      </c>
      <c r="E9" s="49" t="str">
        <f t="shared" si="0"/>
        <v>USD3L1L21M_Quote</v>
      </c>
      <c r="F9" s="49" t="str">
        <f>_xll.qlSimpleQuote(E9,,RateTickValue,Permanent,Trigger,ObjectOverwrite)</f>
        <v>USD3L1L21M_Quote#0000</v>
      </c>
      <c r="G9" s="48" t="str">
        <f>_xll.ohRangeRetrieveError(F9)</f>
        <v/>
      </c>
      <c r="H9" s="47"/>
      <c r="I9" s="12"/>
      <c r="J9" s="12"/>
      <c r="K9" s="12"/>
      <c r="L9" s="12"/>
      <c r="N9" s="326">
        <v>1.75</v>
      </c>
      <c r="O9" s="205" t="s">
        <v>106</v>
      </c>
      <c r="P9" s="254" t="str">
        <v>3L</v>
      </c>
      <c r="Q9" s="254" t="str">
        <v>1L</v>
      </c>
      <c r="R9" s="252" t="str">
        <f t="shared" si="1"/>
        <v>USD3L1L21M</v>
      </c>
      <c r="S9" s="204" t="str">
        <v>USD3L1L21M=ICAP</v>
      </c>
      <c r="T9" s="324" t="s">
        <v>213</v>
      </c>
      <c r="U9" s="324" t="s">
        <v>213</v>
      </c>
      <c r="V9" s="324" t="e">
        <f>_xll.qlMidEquivalent(T9,U9)</f>
        <v>#NUM!</v>
      </c>
      <c r="W9" s="199" t="b">
        <f t="shared" si="2"/>
        <v>0</v>
      </c>
      <c r="X9" s="325">
        <v>7.3520190739489735</v>
      </c>
      <c r="Y9" s="201"/>
      <c r="Z9" s="322">
        <v>7.3520190739489735</v>
      </c>
      <c r="AA9" s="201"/>
      <c r="AB9" s="433">
        <v>7.3520190739489735</v>
      </c>
      <c r="AC9" s="198">
        <f>_xll.qlSimpleQuoteSetValue(F9,AB9/10000,Trigger)</f>
        <v>4.2675890122093052E-10</v>
      </c>
      <c r="AD9" s="169"/>
      <c r="AF9" s="56" t="s">
        <v>95</v>
      </c>
      <c r="AG9" s="55" t="s">
        <v>98</v>
      </c>
      <c r="AH9" s="54" t="s">
        <v>97</v>
      </c>
    </row>
    <row r="10" spans="1:34" x14ac:dyDescent="0.2">
      <c r="A10" s="53"/>
      <c r="B10" s="52" t="s">
        <v>84</v>
      </c>
      <c r="C10" s="51" t="str">
        <f t="shared" si="3"/>
        <v>3L</v>
      </c>
      <c r="D10" s="50" t="str">
        <f t="shared" si="4"/>
        <v>1L</v>
      </c>
      <c r="E10" s="49" t="str">
        <f t="shared" si="0"/>
        <v>USD3L1L2Y_Quote</v>
      </c>
      <c r="F10" s="49" t="str">
        <f>_xll.qlSimpleQuote(E10,,RateTickValue,Permanent,Trigger,ObjectOverwrite)</f>
        <v>USD3L1L2Y_Quote#0000</v>
      </c>
      <c r="G10" s="48" t="str">
        <f>_xll.ohRangeRetrieveError(F10)</f>
        <v/>
      </c>
      <c r="H10" s="47"/>
      <c r="J10" s="62" t="s">
        <v>105</v>
      </c>
      <c r="K10" s="61" t="s">
        <v>97</v>
      </c>
      <c r="L10" s="60" t="s">
        <v>99</v>
      </c>
      <c r="N10" s="96">
        <v>2</v>
      </c>
      <c r="O10" s="205" t="s">
        <v>84</v>
      </c>
      <c r="P10" s="254" t="str">
        <v>3L</v>
      </c>
      <c r="Q10" s="254" t="str">
        <v>1L</v>
      </c>
      <c r="R10" s="252" t="str">
        <f t="shared" si="1"/>
        <v>USD3L1L2Y</v>
      </c>
      <c r="S10" s="204" t="str">
        <v>USD3L1L2Y=ICAP</v>
      </c>
      <c r="T10" s="324">
        <v>7.4</v>
      </c>
      <c r="U10" s="324">
        <v>0</v>
      </c>
      <c r="V10" s="324">
        <f>_xll.qlMidEquivalent(T10,U10)</f>
        <v>7.4</v>
      </c>
      <c r="W10" s="199" t="b">
        <f t="shared" si="2"/>
        <v>1</v>
      </c>
      <c r="X10" s="325">
        <v>7.4</v>
      </c>
      <c r="Y10" s="201"/>
      <c r="Z10" s="322">
        <v>7.4</v>
      </c>
      <c r="AA10" s="201"/>
      <c r="AB10" s="433">
        <v>7.4</v>
      </c>
      <c r="AC10" s="198">
        <f>_xll.qlSimpleQuoteSetValue(F10,AB10/10000,Trigger)</f>
        <v>0</v>
      </c>
      <c r="AD10" s="169"/>
    </row>
    <row r="11" spans="1:34" x14ac:dyDescent="0.2">
      <c r="A11" s="53"/>
      <c r="B11" s="52" t="s">
        <v>83</v>
      </c>
      <c r="C11" s="51" t="str">
        <f t="shared" si="3"/>
        <v>3L</v>
      </c>
      <c r="D11" s="50" t="str">
        <f t="shared" si="4"/>
        <v>1L</v>
      </c>
      <c r="E11" s="49" t="str">
        <f t="shared" si="0"/>
        <v>USD3L1L3Y_Quote</v>
      </c>
      <c r="F11" s="49" t="str">
        <f>_xll.qlSimpleQuote(E11,,RateTickValue,Permanent,Trigger,ObjectOverwrite)</f>
        <v>USD3L1L3Y_Quote#0000</v>
      </c>
      <c r="G11" s="48" t="str">
        <f>_xll.ohRangeRetrieveError(F11)</f>
        <v/>
      </c>
      <c r="H11" s="47"/>
      <c r="J11" s="59" t="s">
        <v>104</v>
      </c>
      <c r="K11" s="58" t="s">
        <v>103</v>
      </c>
      <c r="L11" s="57" t="s">
        <v>102</v>
      </c>
      <c r="N11" s="96">
        <v>3</v>
      </c>
      <c r="O11" s="205" t="s">
        <v>83</v>
      </c>
      <c r="P11" s="254" t="str">
        <v>3L</v>
      </c>
      <c r="Q11" s="254" t="str">
        <v>1L</v>
      </c>
      <c r="R11" s="252" t="str">
        <f t="shared" si="1"/>
        <v>USD3L1L3Y</v>
      </c>
      <c r="S11" s="204" t="str">
        <v>USD3L1L3Y=ICAP</v>
      </c>
      <c r="T11" s="324">
        <v>7.6</v>
      </c>
      <c r="U11" s="324">
        <v>0</v>
      </c>
      <c r="V11" s="324">
        <f>_xll.qlMidEquivalent(T11,U11)</f>
        <v>7.6</v>
      </c>
      <c r="W11" s="199" t="b">
        <f t="shared" si="2"/>
        <v>1</v>
      </c>
      <c r="X11" s="325">
        <v>7.6</v>
      </c>
      <c r="Y11" s="201"/>
      <c r="Z11" s="322">
        <v>7.6</v>
      </c>
      <c r="AA11" s="201"/>
      <c r="AB11" s="433">
        <v>7.6</v>
      </c>
      <c r="AC11" s="198">
        <f>_xll.qlSimpleQuoteSetValue(F11,AB11/10000,Trigger)</f>
        <v>0</v>
      </c>
      <c r="AD11" s="169"/>
    </row>
    <row r="12" spans="1:34" x14ac:dyDescent="0.2">
      <c r="A12" s="53"/>
      <c r="B12" s="52" t="s">
        <v>82</v>
      </c>
      <c r="C12" s="51" t="str">
        <f t="shared" si="3"/>
        <v>3L</v>
      </c>
      <c r="D12" s="50" t="str">
        <f t="shared" si="4"/>
        <v>1L</v>
      </c>
      <c r="E12" s="49" t="str">
        <f t="shared" si="0"/>
        <v>USD3L1L4Y_Quote</v>
      </c>
      <c r="F12" s="49" t="str">
        <f>_xll.qlSimpleQuote(E12,,RateTickValue,Permanent,Trigger,ObjectOverwrite)</f>
        <v>USD3L1L4Y_Quote#0000</v>
      </c>
      <c r="G12" s="48" t="str">
        <f>_xll.ohRangeRetrieveError(F12)</f>
        <v/>
      </c>
      <c r="H12" s="47"/>
      <c r="J12" s="59" t="s">
        <v>101</v>
      </c>
      <c r="K12" s="58" t="s">
        <v>97</v>
      </c>
      <c r="L12" s="57" t="s">
        <v>99</v>
      </c>
      <c r="N12" s="96">
        <v>4</v>
      </c>
      <c r="O12" s="205" t="s">
        <v>82</v>
      </c>
      <c r="P12" s="254" t="str">
        <v>3L</v>
      </c>
      <c r="Q12" s="254" t="str">
        <v>1L</v>
      </c>
      <c r="R12" s="252" t="str">
        <f t="shared" si="1"/>
        <v>USD3L1L4Y</v>
      </c>
      <c r="S12" s="204" t="str">
        <v>USD3L1L4Y=ICAP</v>
      </c>
      <c r="T12" s="324">
        <v>7.8</v>
      </c>
      <c r="U12" s="324">
        <v>0</v>
      </c>
      <c r="V12" s="324">
        <f>_xll.qlMidEquivalent(T12,U12)</f>
        <v>7.8</v>
      </c>
      <c r="W12" s="199" t="b">
        <f t="shared" si="2"/>
        <v>1</v>
      </c>
      <c r="X12" s="325">
        <v>7.8</v>
      </c>
      <c r="Y12" s="201"/>
      <c r="Z12" s="322">
        <v>7.8</v>
      </c>
      <c r="AA12" s="201"/>
      <c r="AB12" s="433">
        <v>7.8</v>
      </c>
      <c r="AC12" s="198">
        <f>_xll.qlSimpleQuoteSetValue(F12,AB12/10000,Trigger)</f>
        <v>0</v>
      </c>
      <c r="AD12" s="169"/>
    </row>
    <row r="13" spans="1:34" x14ac:dyDescent="0.2">
      <c r="A13" s="53"/>
      <c r="B13" s="52" t="s">
        <v>81</v>
      </c>
      <c r="C13" s="51" t="str">
        <f t="shared" si="3"/>
        <v>3L</v>
      </c>
      <c r="D13" s="50" t="str">
        <f t="shared" si="4"/>
        <v>1L</v>
      </c>
      <c r="E13" s="49" t="str">
        <f t="shared" si="0"/>
        <v>USD3L1L5Y_Quote</v>
      </c>
      <c r="F13" s="49" t="str">
        <f>_xll.qlSimpleQuote(E13,,RateTickValue,Permanent,Trigger,ObjectOverwrite)</f>
        <v>USD3L1L5Y_Quote#0000</v>
      </c>
      <c r="G13" s="48" t="str">
        <f>_xll.ohRangeRetrieveError(F13)</f>
        <v/>
      </c>
      <c r="H13" s="47"/>
      <c r="J13" s="59" t="s">
        <v>100</v>
      </c>
      <c r="K13" s="58" t="s">
        <v>97</v>
      </c>
      <c r="L13" s="57" t="s">
        <v>99</v>
      </c>
      <c r="N13" s="96">
        <v>5</v>
      </c>
      <c r="O13" s="205" t="s">
        <v>81</v>
      </c>
      <c r="P13" s="254" t="str">
        <v>3L</v>
      </c>
      <c r="Q13" s="254" t="str">
        <v>1L</v>
      </c>
      <c r="R13" s="252" t="str">
        <f t="shared" si="1"/>
        <v>USD3L1L5Y</v>
      </c>
      <c r="S13" s="204" t="str">
        <v>USD3L1L5Y=ICAP</v>
      </c>
      <c r="T13" s="324">
        <v>7.9</v>
      </c>
      <c r="U13" s="324">
        <v>0</v>
      </c>
      <c r="V13" s="324">
        <f>_xll.qlMidEquivalent(T13,U13)</f>
        <v>7.9</v>
      </c>
      <c r="W13" s="199" t="b">
        <f t="shared" si="2"/>
        <v>1</v>
      </c>
      <c r="X13" s="325">
        <v>7.9</v>
      </c>
      <c r="Y13" s="201"/>
      <c r="Z13" s="322">
        <v>7.9</v>
      </c>
      <c r="AA13" s="201"/>
      <c r="AB13" s="433">
        <v>7.9</v>
      </c>
      <c r="AC13" s="198">
        <f>_xll.qlSimpleQuoteSetValue(F13,AB13/10000,Trigger)</f>
        <v>0</v>
      </c>
      <c r="AD13" s="169"/>
    </row>
    <row r="14" spans="1:34" ht="12" thickBot="1" x14ac:dyDescent="0.25">
      <c r="A14" s="53"/>
      <c r="B14" s="52" t="s">
        <v>80</v>
      </c>
      <c r="C14" s="51" t="str">
        <f t="shared" si="3"/>
        <v>3L</v>
      </c>
      <c r="D14" s="50" t="str">
        <f t="shared" si="4"/>
        <v>1L</v>
      </c>
      <c r="E14" s="49" t="str">
        <f t="shared" si="0"/>
        <v>USD3L1L6Y_Quote</v>
      </c>
      <c r="F14" s="49" t="str">
        <f>_xll.qlSimpleQuote(E14,,RateTickValue,Permanent,Trigger,ObjectOverwrite)</f>
        <v>USD3L1L6Y_Quote#0000</v>
      </c>
      <c r="G14" s="48" t="str">
        <f>_xll.ohRangeRetrieveError(F14)</f>
        <v/>
      </c>
      <c r="H14" s="47"/>
      <c r="J14" s="56" t="s">
        <v>95</v>
      </c>
      <c r="K14" s="55" t="s">
        <v>98</v>
      </c>
      <c r="L14" s="54" t="s">
        <v>97</v>
      </c>
      <c r="N14" s="96">
        <v>6</v>
      </c>
      <c r="O14" s="205" t="s">
        <v>80</v>
      </c>
      <c r="P14" s="254" t="str">
        <v>3L</v>
      </c>
      <c r="Q14" s="254" t="str">
        <v>1L</v>
      </c>
      <c r="R14" s="252" t="str">
        <f t="shared" si="1"/>
        <v>USD3L1L6Y</v>
      </c>
      <c r="S14" s="204" t="str">
        <v>USD3L1L6Y=ICAP</v>
      </c>
      <c r="T14" s="324">
        <v>7.9</v>
      </c>
      <c r="U14" s="324">
        <v>0</v>
      </c>
      <c r="V14" s="324">
        <f>_xll.qlMidEquivalent(T14,U14)</f>
        <v>7.9</v>
      </c>
      <c r="W14" s="199" t="b">
        <f t="shared" si="2"/>
        <v>1</v>
      </c>
      <c r="X14" s="325">
        <v>7.9</v>
      </c>
      <c r="Y14" s="201"/>
      <c r="Z14" s="322">
        <v>7.9</v>
      </c>
      <c r="AA14" s="201"/>
      <c r="AB14" s="433">
        <v>7.9</v>
      </c>
      <c r="AC14" s="198">
        <f>_xll.qlSimpleQuoteSetValue(F14,AB14/10000,Trigger)</f>
        <v>0</v>
      </c>
      <c r="AD14" s="169"/>
    </row>
    <row r="15" spans="1:34" x14ac:dyDescent="0.2">
      <c r="A15" s="53"/>
      <c r="B15" s="52" t="s">
        <v>79</v>
      </c>
      <c r="C15" s="51" t="str">
        <f t="shared" si="3"/>
        <v>3L</v>
      </c>
      <c r="D15" s="50" t="str">
        <f t="shared" si="4"/>
        <v>1L</v>
      </c>
      <c r="E15" s="49" t="str">
        <f t="shared" si="0"/>
        <v>USD3L1L7Y_Quote</v>
      </c>
      <c r="F15" s="49" t="str">
        <f>_xll.qlSimpleQuote(E15,,RateTickValue,Permanent,Trigger,ObjectOverwrite)</f>
        <v>USD3L1L7Y_Quote#0000</v>
      </c>
      <c r="G15" s="48" t="str">
        <f>_xll.ohRangeRetrieveError(F15)</f>
        <v/>
      </c>
      <c r="H15" s="47"/>
      <c r="N15" s="96">
        <v>7</v>
      </c>
      <c r="O15" s="205" t="s">
        <v>79</v>
      </c>
      <c r="P15" s="254" t="str">
        <v>3L</v>
      </c>
      <c r="Q15" s="254" t="str">
        <v>1L</v>
      </c>
      <c r="R15" s="252" t="str">
        <f t="shared" si="1"/>
        <v>USD3L1L7Y</v>
      </c>
      <c r="S15" s="204" t="str">
        <v>USD3L1L7Y=ICAP</v>
      </c>
      <c r="T15" s="324">
        <v>7.7</v>
      </c>
      <c r="U15" s="324">
        <v>0</v>
      </c>
      <c r="V15" s="324">
        <f>_xll.qlMidEquivalent(T15,U15)</f>
        <v>7.7</v>
      </c>
      <c r="W15" s="199" t="b">
        <f t="shared" si="2"/>
        <v>1</v>
      </c>
      <c r="X15" s="325">
        <v>7.7</v>
      </c>
      <c r="Y15" s="201"/>
      <c r="Z15" s="322">
        <v>7.7</v>
      </c>
      <c r="AA15" s="201"/>
      <c r="AB15" s="433">
        <v>7.7</v>
      </c>
      <c r="AC15" s="198">
        <f>_xll.qlSimpleQuoteSetValue(F15,AB15/10000,Trigger)</f>
        <v>0</v>
      </c>
      <c r="AD15" s="169"/>
    </row>
    <row r="16" spans="1:34" x14ac:dyDescent="0.2">
      <c r="A16" s="53"/>
      <c r="B16" s="52" t="s">
        <v>78</v>
      </c>
      <c r="C16" s="51" t="str">
        <f t="shared" si="3"/>
        <v>3L</v>
      </c>
      <c r="D16" s="50" t="str">
        <f t="shared" si="4"/>
        <v>1L</v>
      </c>
      <c r="E16" s="49" t="str">
        <f t="shared" si="0"/>
        <v>USD3L1L8Y_Quote</v>
      </c>
      <c r="F16" s="49" t="str">
        <f>_xll.qlSimpleQuote(E16,,RateTickValue,Permanent,Trigger,ObjectOverwrite)</f>
        <v>USD3L1L8Y_Quote#0000</v>
      </c>
      <c r="G16" s="48" t="str">
        <f>_xll.ohRangeRetrieveError(F16)</f>
        <v/>
      </c>
      <c r="H16" s="47"/>
      <c r="N16" s="96">
        <v>8</v>
      </c>
      <c r="O16" s="205" t="s">
        <v>78</v>
      </c>
      <c r="P16" s="254" t="str">
        <v>3L</v>
      </c>
      <c r="Q16" s="254" t="str">
        <v>1L</v>
      </c>
      <c r="R16" s="252" t="str">
        <f t="shared" si="1"/>
        <v>USD3L1L8Y</v>
      </c>
      <c r="S16" s="204" t="str">
        <v>USD3L1L8Y=ICAP</v>
      </c>
      <c r="T16" s="324">
        <v>7.4</v>
      </c>
      <c r="U16" s="324">
        <v>0</v>
      </c>
      <c r="V16" s="324">
        <f>_xll.qlMidEquivalent(T16,U16)</f>
        <v>7.4</v>
      </c>
      <c r="W16" s="199" t="b">
        <f t="shared" si="2"/>
        <v>1</v>
      </c>
      <c r="X16" s="325">
        <v>7.4</v>
      </c>
      <c r="Y16" s="201"/>
      <c r="Z16" s="322">
        <v>7.4</v>
      </c>
      <c r="AA16" s="201"/>
      <c r="AB16" s="433">
        <v>7.4</v>
      </c>
      <c r="AC16" s="198">
        <f>_xll.qlSimpleQuoteSetValue(F16,AB16/10000,Trigger)</f>
        <v>0</v>
      </c>
      <c r="AD16" s="169"/>
    </row>
    <row r="17" spans="1:30" x14ac:dyDescent="0.2">
      <c r="A17" s="53"/>
      <c r="B17" s="52" t="s">
        <v>77</v>
      </c>
      <c r="C17" s="51" t="str">
        <f t="shared" si="3"/>
        <v>3L</v>
      </c>
      <c r="D17" s="50" t="str">
        <f t="shared" si="4"/>
        <v>1L</v>
      </c>
      <c r="E17" s="49" t="str">
        <f t="shared" si="0"/>
        <v>USD3L1L9Y_Quote</v>
      </c>
      <c r="F17" s="49" t="str">
        <f>_xll.qlSimpleQuote(E17,,RateTickValue,Permanent,Trigger,ObjectOverwrite)</f>
        <v>USD3L1L9Y_Quote#0000</v>
      </c>
      <c r="G17" s="48" t="str">
        <f>_xll.ohRangeRetrieveError(F17)</f>
        <v/>
      </c>
      <c r="H17" s="47"/>
      <c r="N17" s="96">
        <v>9</v>
      </c>
      <c r="O17" s="205" t="s">
        <v>77</v>
      </c>
      <c r="P17" s="254" t="str">
        <v>3L</v>
      </c>
      <c r="Q17" s="254" t="str">
        <v>1L</v>
      </c>
      <c r="R17" s="252" t="str">
        <f t="shared" si="1"/>
        <v>USD3L1L9Y</v>
      </c>
      <c r="S17" s="204" t="str">
        <v>USD3L1L9Y=ICAP</v>
      </c>
      <c r="T17" s="324">
        <v>7</v>
      </c>
      <c r="U17" s="324">
        <v>0</v>
      </c>
      <c r="V17" s="324">
        <f>_xll.qlMidEquivalent(T17,U17)</f>
        <v>7</v>
      </c>
      <c r="W17" s="199" t="b">
        <f t="shared" si="2"/>
        <v>1</v>
      </c>
      <c r="X17" s="325">
        <v>7</v>
      </c>
      <c r="Y17" s="201"/>
      <c r="Z17" s="322">
        <v>7</v>
      </c>
      <c r="AA17" s="201"/>
      <c r="AB17" s="433">
        <v>7</v>
      </c>
      <c r="AC17" s="198">
        <f>_xll.qlSimpleQuoteSetValue(F17,AB17/10000,Trigger)</f>
        <v>-9.9999999999999178E-6</v>
      </c>
      <c r="AD17" s="169"/>
    </row>
    <row r="18" spans="1:30" x14ac:dyDescent="0.2">
      <c r="A18" s="53"/>
      <c r="B18" s="52" t="s">
        <v>76</v>
      </c>
      <c r="C18" s="51" t="str">
        <f t="shared" si="3"/>
        <v>3L</v>
      </c>
      <c r="D18" s="50" t="str">
        <f t="shared" si="4"/>
        <v>1L</v>
      </c>
      <c r="E18" s="49" t="str">
        <f t="shared" si="0"/>
        <v>USD3L1L10Y_Quote</v>
      </c>
      <c r="F18" s="49" t="str">
        <f>_xll.qlSimpleQuote(E18,,RateTickValue,Permanent,Trigger,ObjectOverwrite)</f>
        <v>USD3L1L10Y_Quote#0000</v>
      </c>
      <c r="G18" s="48" t="str">
        <f>_xll.ohRangeRetrieveError(F18)</f>
        <v/>
      </c>
      <c r="H18" s="47"/>
      <c r="N18" s="96">
        <v>10</v>
      </c>
      <c r="O18" s="205" t="s">
        <v>76</v>
      </c>
      <c r="P18" s="254" t="str">
        <v>3L</v>
      </c>
      <c r="Q18" s="254" t="str">
        <v>1L</v>
      </c>
      <c r="R18" s="252" t="str">
        <f t="shared" si="1"/>
        <v>USD3L1L10Y</v>
      </c>
      <c r="S18" s="204" t="str">
        <v>USD3L1L10Y=ICAP</v>
      </c>
      <c r="T18" s="324">
        <v>6.8</v>
      </c>
      <c r="U18" s="324">
        <v>0</v>
      </c>
      <c r="V18" s="324">
        <f>_xll.qlMidEquivalent(T18,U18)</f>
        <v>6.8</v>
      </c>
      <c r="W18" s="199" t="b">
        <f t="shared" si="2"/>
        <v>1</v>
      </c>
      <c r="X18" s="325">
        <v>6.8</v>
      </c>
      <c r="Y18" s="201"/>
      <c r="Z18" s="322">
        <v>6.8</v>
      </c>
      <c r="AA18" s="201"/>
      <c r="AB18" s="433">
        <v>6.8</v>
      </c>
      <c r="AC18" s="198">
        <f>_xll.qlSimpleQuoteSetValue(F18,AB18/10000,Trigger)</f>
        <v>0</v>
      </c>
      <c r="AD18" s="169"/>
    </row>
    <row r="19" spans="1:30" x14ac:dyDescent="0.2">
      <c r="A19" s="53"/>
      <c r="B19" s="52" t="s">
        <v>75</v>
      </c>
      <c r="C19" s="51" t="str">
        <f t="shared" si="3"/>
        <v>3L</v>
      </c>
      <c r="D19" s="50" t="str">
        <f t="shared" si="4"/>
        <v>1L</v>
      </c>
      <c r="E19" s="49" t="str">
        <f t="shared" si="0"/>
        <v>USD3L1L11Y_Quote</v>
      </c>
      <c r="F19" s="49" t="str">
        <f>_xll.qlSimpleQuote(E19,,RateTickValue,Permanent,Trigger,ObjectOverwrite)</f>
        <v>USD3L1L11Y_Quote#0000</v>
      </c>
      <c r="G19" s="48" t="str">
        <f>_xll.ohRangeRetrieveError(F19)</f>
        <v/>
      </c>
      <c r="H19" s="47"/>
      <c r="N19" s="96">
        <v>11</v>
      </c>
      <c r="O19" s="205" t="s">
        <v>75</v>
      </c>
      <c r="P19" s="254" t="str">
        <v>3L</v>
      </c>
      <c r="Q19" s="254" t="str">
        <v>1L</v>
      </c>
      <c r="R19" s="252" t="str">
        <f t="shared" si="1"/>
        <v>USD3L1L11Y</v>
      </c>
      <c r="S19" s="204" t="str">
        <v>USD3L1L11Y=ICAP</v>
      </c>
      <c r="T19" s="324" t="s">
        <v>213</v>
      </c>
      <c r="U19" s="324" t="s">
        <v>213</v>
      </c>
      <c r="V19" s="324" t="e">
        <f>_xll.qlMidEquivalent(T19,U19)</f>
        <v>#NUM!</v>
      </c>
      <c r="W19" s="199" t="b">
        <f t="shared" si="2"/>
        <v>0</v>
      </c>
      <c r="X19" s="325">
        <v>6.5259597726571004</v>
      </c>
      <c r="Y19" s="201"/>
      <c r="Z19" s="322">
        <v>6.5259597726571004</v>
      </c>
      <c r="AA19" s="201"/>
      <c r="AB19" s="433">
        <v>6.5259597726571004</v>
      </c>
      <c r="AC19" s="198">
        <f>_xll.qlSimpleQuoteSetValue(F19,AB19/10000,Trigger)</f>
        <v>3.5765899717739432E-6</v>
      </c>
      <c r="AD19" s="169"/>
    </row>
    <row r="20" spans="1:30" x14ac:dyDescent="0.2">
      <c r="A20" s="53"/>
      <c r="B20" s="52" t="s">
        <v>74</v>
      </c>
      <c r="C20" s="51" t="str">
        <f t="shared" si="3"/>
        <v>3L</v>
      </c>
      <c r="D20" s="50" t="str">
        <f t="shared" si="4"/>
        <v>1L</v>
      </c>
      <c r="E20" s="49" t="str">
        <f t="shared" si="0"/>
        <v>USD3L1L12Y_Quote</v>
      </c>
      <c r="F20" s="49" t="str">
        <f>_xll.qlSimpleQuote(E20,,RateTickValue,Permanent,Trigger,ObjectOverwrite)</f>
        <v>USD3L1L12Y_Quote#0000</v>
      </c>
      <c r="G20" s="48" t="str">
        <f>_xll.ohRangeRetrieveError(F20)</f>
        <v/>
      </c>
      <c r="H20" s="47"/>
      <c r="N20" s="96">
        <v>12</v>
      </c>
      <c r="O20" s="205" t="s">
        <v>74</v>
      </c>
      <c r="P20" s="254" t="str">
        <v>3L</v>
      </c>
      <c r="Q20" s="254" t="str">
        <v>1L</v>
      </c>
      <c r="R20" s="252" t="str">
        <f t="shared" si="1"/>
        <v>USD3L1L12Y</v>
      </c>
      <c r="S20" s="204" t="str">
        <v>USD3L1L12Y=ICAP</v>
      </c>
      <c r="T20" s="324">
        <v>6.2</v>
      </c>
      <c r="U20" s="324">
        <v>0</v>
      </c>
      <c r="V20" s="324">
        <f>_xll.qlMidEquivalent(T20,U20)</f>
        <v>6.2</v>
      </c>
      <c r="W20" s="199" t="b">
        <f t="shared" si="2"/>
        <v>1</v>
      </c>
      <c r="X20" s="325">
        <v>6.2</v>
      </c>
      <c r="Y20" s="201"/>
      <c r="Z20" s="322">
        <v>6.2</v>
      </c>
      <c r="AA20" s="201"/>
      <c r="AB20" s="433">
        <v>6.2</v>
      </c>
      <c r="AC20" s="198">
        <f>_xll.qlSimpleQuoteSetValue(F20,AB20/10000,Trigger)</f>
        <v>0</v>
      </c>
      <c r="AD20" s="169"/>
    </row>
    <row r="21" spans="1:30" x14ac:dyDescent="0.2">
      <c r="A21" s="53"/>
      <c r="B21" s="52" t="s">
        <v>73</v>
      </c>
      <c r="C21" s="51" t="str">
        <f t="shared" si="3"/>
        <v>3L</v>
      </c>
      <c r="D21" s="50" t="str">
        <f t="shared" si="4"/>
        <v>1L</v>
      </c>
      <c r="E21" s="49" t="str">
        <f t="shared" si="0"/>
        <v>USD3L1L13Y_Quote</v>
      </c>
      <c r="F21" s="49" t="str">
        <f>_xll.qlSimpleQuote(E21,,RateTickValue,Permanent,Trigger,ObjectOverwrite)</f>
        <v>USD3L1L13Y_Quote#0000</v>
      </c>
      <c r="G21" s="48" t="str">
        <f>_xll.ohRangeRetrieveError(F21)</f>
        <v/>
      </c>
      <c r="H21" s="47"/>
      <c r="N21" s="96">
        <v>13</v>
      </c>
      <c r="O21" s="205" t="s">
        <v>73</v>
      </c>
      <c r="P21" s="254" t="str">
        <v>3L</v>
      </c>
      <c r="Q21" s="254" t="str">
        <v>1L</v>
      </c>
      <c r="R21" s="252" t="str">
        <f t="shared" si="1"/>
        <v>USD3L1L13Y</v>
      </c>
      <c r="S21" s="204" t="str">
        <v>USD3L1L13Y=ICAP</v>
      </c>
      <c r="T21" s="324" t="s">
        <v>213</v>
      </c>
      <c r="U21" s="324" t="s">
        <v>213</v>
      </c>
      <c r="V21" s="324" t="e">
        <f>_xll.qlMidEquivalent(T21,U21)</f>
        <v>#NUM!</v>
      </c>
      <c r="W21" s="199" t="b">
        <f t="shared" si="2"/>
        <v>0</v>
      </c>
      <c r="X21" s="325">
        <v>5.9416599024440169</v>
      </c>
      <c r="Y21" s="201"/>
      <c r="Z21" s="322">
        <v>5.9416599024440169</v>
      </c>
      <c r="AA21" s="201"/>
      <c r="AB21" s="433">
        <v>5.9416599024440169</v>
      </c>
      <c r="AC21" s="198">
        <f>_xll.qlSimpleQuoteSetValue(F21,AB21/10000,Trigger)</f>
        <v>-1.7999112610088451E-6</v>
      </c>
      <c r="AD21" s="169"/>
    </row>
    <row r="22" spans="1:30" x14ac:dyDescent="0.2">
      <c r="A22" s="53"/>
      <c r="B22" s="52" t="s">
        <v>72</v>
      </c>
      <c r="C22" s="51" t="str">
        <f t="shared" si="3"/>
        <v>3L</v>
      </c>
      <c r="D22" s="50" t="str">
        <f t="shared" si="4"/>
        <v>1L</v>
      </c>
      <c r="E22" s="49" t="str">
        <f t="shared" si="0"/>
        <v>USD3L1L14Y_Quote</v>
      </c>
      <c r="F22" s="49" t="str">
        <f>_xll.qlSimpleQuote(E22,,RateTickValue,Permanent,Trigger,ObjectOverwrite)</f>
        <v>USD3L1L14Y_Quote#0000</v>
      </c>
      <c r="G22" s="48" t="str">
        <f>_xll.ohRangeRetrieveError(F22)</f>
        <v/>
      </c>
      <c r="H22" s="47"/>
      <c r="N22" s="96">
        <v>14</v>
      </c>
      <c r="O22" s="205" t="s">
        <v>72</v>
      </c>
      <c r="P22" s="254" t="str">
        <v>3L</v>
      </c>
      <c r="Q22" s="254" t="str">
        <v>1L</v>
      </c>
      <c r="R22" s="252" t="str">
        <f t="shared" si="1"/>
        <v>USD3L1L14Y</v>
      </c>
      <c r="S22" s="204" t="str">
        <v>USD3L1L14Y=ICAP</v>
      </c>
      <c r="T22" s="324" t="s">
        <v>213</v>
      </c>
      <c r="U22" s="324" t="s">
        <v>213</v>
      </c>
      <c r="V22" s="324" t="e">
        <f>_xll.qlMidEquivalent(T22,U22)</f>
        <v>#NUM!</v>
      </c>
      <c r="W22" s="199" t="b">
        <f t="shared" si="2"/>
        <v>0</v>
      </c>
      <c r="X22" s="325">
        <v>5.751420908805251</v>
      </c>
      <c r="Y22" s="201"/>
      <c r="Z22" s="322">
        <v>5.751420908805251</v>
      </c>
      <c r="AA22" s="201"/>
      <c r="AB22" s="433">
        <v>5.751420908805251</v>
      </c>
      <c r="AC22" s="198">
        <f>_xll.qlSimpleQuoteSetValue(F22,AB22/10000,Trigger)</f>
        <v>-1.281458560827009E-6</v>
      </c>
      <c r="AD22" s="169"/>
    </row>
    <row r="23" spans="1:30" x14ac:dyDescent="0.2">
      <c r="A23" s="53"/>
      <c r="B23" s="52" t="s">
        <v>71</v>
      </c>
      <c r="C23" s="51" t="str">
        <f t="shared" si="3"/>
        <v>3L</v>
      </c>
      <c r="D23" s="50" t="str">
        <f t="shared" si="4"/>
        <v>1L</v>
      </c>
      <c r="E23" s="49" t="str">
        <f t="shared" si="0"/>
        <v>USD3L1L15Y_Quote</v>
      </c>
      <c r="F23" s="49" t="str">
        <f>_xll.qlSimpleQuote(E23,,RateTickValue,Permanent,Trigger,ObjectOverwrite)</f>
        <v>USD3L1L15Y_Quote#0000</v>
      </c>
      <c r="G23" s="48" t="str">
        <f>_xll.ohRangeRetrieveError(F23)</f>
        <v/>
      </c>
      <c r="H23" s="47"/>
      <c r="N23" s="96">
        <v>15</v>
      </c>
      <c r="O23" s="205" t="s">
        <v>71</v>
      </c>
      <c r="P23" s="254" t="str">
        <v>3L</v>
      </c>
      <c r="Q23" s="254" t="str">
        <v>1L</v>
      </c>
      <c r="R23" s="252" t="str">
        <f t="shared" si="1"/>
        <v>USD3L1L15Y</v>
      </c>
      <c r="S23" s="204" t="str">
        <v>USD3L1L15Y=ICAP</v>
      </c>
      <c r="T23" s="324">
        <v>5.6</v>
      </c>
      <c r="U23" s="324">
        <v>0</v>
      </c>
      <c r="V23" s="324">
        <f>_xll.qlMidEquivalent(T23,U23)</f>
        <v>5.6</v>
      </c>
      <c r="W23" s="199" t="b">
        <f t="shared" si="2"/>
        <v>1</v>
      </c>
      <c r="X23" s="325">
        <v>5.6</v>
      </c>
      <c r="Y23" s="201"/>
      <c r="Z23" s="322">
        <v>5.6</v>
      </c>
      <c r="AA23" s="201"/>
      <c r="AB23" s="433">
        <v>5.6</v>
      </c>
      <c r="AC23" s="198">
        <f>_xll.qlSimpleQuoteSetValue(F23,AB23/10000,Trigger)</f>
        <v>0</v>
      </c>
      <c r="AD23" s="169"/>
    </row>
    <row r="24" spans="1:30" x14ac:dyDescent="0.2">
      <c r="A24" s="53"/>
      <c r="B24" s="52" t="s">
        <v>70</v>
      </c>
      <c r="C24" s="51" t="str">
        <f t="shared" si="3"/>
        <v>3L</v>
      </c>
      <c r="D24" s="50" t="str">
        <f t="shared" si="4"/>
        <v>1L</v>
      </c>
      <c r="E24" s="49" t="str">
        <f t="shared" si="0"/>
        <v>USD3L1L16Y_Quote</v>
      </c>
      <c r="F24" s="49" t="str">
        <f>_xll.qlSimpleQuote(E24,,RateTickValue,Permanent,Trigger,ObjectOverwrite)</f>
        <v>USD3L1L16Y_Quote#0000</v>
      </c>
      <c r="G24" s="48" t="str">
        <f>_xll.ohRangeRetrieveError(F24)</f>
        <v/>
      </c>
      <c r="H24" s="47"/>
      <c r="N24" s="96">
        <v>16</v>
      </c>
      <c r="O24" s="205" t="s">
        <v>70</v>
      </c>
      <c r="P24" s="254" t="str">
        <v>3L</v>
      </c>
      <c r="Q24" s="254" t="str">
        <v>1L</v>
      </c>
      <c r="R24" s="252" t="str">
        <f t="shared" si="1"/>
        <v>USD3L1L16Y</v>
      </c>
      <c r="S24" s="204" t="str">
        <v>USD3L1L16Y=ICAP</v>
      </c>
      <c r="T24" s="324" t="s">
        <v>213</v>
      </c>
      <c r="U24" s="324" t="s">
        <v>213</v>
      </c>
      <c r="V24" s="324" t="e">
        <f>_xll.qlMidEquivalent(T24,U24)</f>
        <v>#NUM!</v>
      </c>
      <c r="W24" s="199" t="b">
        <f t="shared" si="2"/>
        <v>0</v>
      </c>
      <c r="X24" s="325">
        <v>5.4629120684601853</v>
      </c>
      <c r="Y24" s="201"/>
      <c r="Z24" s="322">
        <v>5.4629120684601853</v>
      </c>
      <c r="AA24" s="201"/>
      <c r="AB24" s="433">
        <v>5.4629120684601853</v>
      </c>
      <c r="AC24" s="198">
        <f>_xll.qlSimpleQuoteSetValue(F24,AB24/10000,Trigger)</f>
        <v>7.8178754336867204E-7</v>
      </c>
      <c r="AD24" s="169"/>
    </row>
    <row r="25" spans="1:30" x14ac:dyDescent="0.2">
      <c r="A25" s="53"/>
      <c r="B25" s="52" t="s">
        <v>69</v>
      </c>
      <c r="C25" s="51" t="str">
        <f t="shared" si="3"/>
        <v>3L</v>
      </c>
      <c r="D25" s="50" t="str">
        <f t="shared" si="4"/>
        <v>1L</v>
      </c>
      <c r="E25" s="49" t="str">
        <f t="shared" si="0"/>
        <v>USD3L1L17Y_Quote</v>
      </c>
      <c r="F25" s="49" t="str">
        <f>_xll.qlSimpleQuote(E25,,RateTickValue,Permanent,Trigger,ObjectOverwrite)</f>
        <v>USD3L1L17Y_Quote#0000</v>
      </c>
      <c r="G25" s="48" t="str">
        <f>_xll.ohRangeRetrieveError(F25)</f>
        <v/>
      </c>
      <c r="H25" s="47"/>
      <c r="N25" s="96">
        <v>17</v>
      </c>
      <c r="O25" s="205" t="s">
        <v>69</v>
      </c>
      <c r="P25" s="254" t="str">
        <v>3L</v>
      </c>
      <c r="Q25" s="254" t="str">
        <v>1L</v>
      </c>
      <c r="R25" s="252" t="str">
        <f t="shared" si="1"/>
        <v>USD3L1L17Y</v>
      </c>
      <c r="S25" s="204" t="str">
        <v>USD3L1L17Y=ICAP</v>
      </c>
      <c r="T25" s="324" t="s">
        <v>213</v>
      </c>
      <c r="U25" s="324" t="s">
        <v>213</v>
      </c>
      <c r="V25" s="324" t="e">
        <f>_xll.qlMidEquivalent(T25,U25)</f>
        <v>#NUM!</v>
      </c>
      <c r="W25" s="199" t="b">
        <f t="shared" si="2"/>
        <v>0</v>
      </c>
      <c r="X25" s="325">
        <v>5.3348636526802311</v>
      </c>
      <c r="Y25" s="201"/>
      <c r="Z25" s="322">
        <v>5.3348636526802311</v>
      </c>
      <c r="AA25" s="201"/>
      <c r="AB25" s="433">
        <v>5.3348636526802311</v>
      </c>
      <c r="AC25" s="198">
        <f>_xll.qlSimpleQuoteSetValue(F25,AB25/10000,Trigger)</f>
        <v>9.7195208094479155E-7</v>
      </c>
      <c r="AD25" s="169"/>
    </row>
    <row r="26" spans="1:30" x14ac:dyDescent="0.2">
      <c r="A26" s="53"/>
      <c r="B26" s="52" t="s">
        <v>68</v>
      </c>
      <c r="C26" s="51" t="str">
        <f t="shared" si="3"/>
        <v>3L</v>
      </c>
      <c r="D26" s="50" t="str">
        <f t="shared" si="4"/>
        <v>1L</v>
      </c>
      <c r="E26" s="49" t="str">
        <f t="shared" si="0"/>
        <v>USD3L1L18Y_Quote</v>
      </c>
      <c r="F26" s="49" t="str">
        <f>_xll.qlSimpleQuote(E26,,RateTickValue,Permanent,Trigger,ObjectOverwrite)</f>
        <v>USD3L1L18Y_Quote#0000</v>
      </c>
      <c r="G26" s="48" t="str">
        <f>_xll.ohRangeRetrieveError(F26)</f>
        <v/>
      </c>
      <c r="H26" s="47"/>
      <c r="N26" s="96">
        <v>18</v>
      </c>
      <c r="O26" s="205" t="s">
        <v>68</v>
      </c>
      <c r="P26" s="254" t="str">
        <v>3L</v>
      </c>
      <c r="Q26" s="254" t="str">
        <v>1L</v>
      </c>
      <c r="R26" s="252" t="str">
        <f t="shared" si="1"/>
        <v>USD3L1L18Y</v>
      </c>
      <c r="S26" s="204" t="str">
        <v>USD3L1L18Y=ICAP</v>
      </c>
      <c r="T26" s="324" t="s">
        <v>213</v>
      </c>
      <c r="U26" s="324" t="s">
        <v>213</v>
      </c>
      <c r="V26" s="324" t="e">
        <f>_xll.qlMidEquivalent(T26,U26)</f>
        <v>#NUM!</v>
      </c>
      <c r="W26" s="199" t="b">
        <f t="shared" si="2"/>
        <v>0</v>
      </c>
      <c r="X26" s="325">
        <v>5.2153592026701832</v>
      </c>
      <c r="Y26" s="201"/>
      <c r="Z26" s="322">
        <v>5.2153592026701832</v>
      </c>
      <c r="AA26" s="201"/>
      <c r="AB26" s="433">
        <v>5.2153592026701832</v>
      </c>
      <c r="AC26" s="198">
        <f>_xll.qlSimpleQuoteSetValue(F26,AB26/10000,Trigger)</f>
        <v>7.7122284683668347E-7</v>
      </c>
      <c r="AD26" s="169"/>
    </row>
    <row r="27" spans="1:30" x14ac:dyDescent="0.2">
      <c r="A27" s="53"/>
      <c r="B27" s="52" t="s">
        <v>67</v>
      </c>
      <c r="C27" s="51" t="str">
        <f t="shared" si="3"/>
        <v>3L</v>
      </c>
      <c r="D27" s="50" t="str">
        <f t="shared" si="4"/>
        <v>1L</v>
      </c>
      <c r="E27" s="49" t="str">
        <f t="shared" si="0"/>
        <v>USD3L1L19Y_Quote</v>
      </c>
      <c r="F27" s="49" t="str">
        <f>_xll.qlSimpleQuote(E27,,RateTickValue,Permanent,Trigger,ObjectOverwrite)</f>
        <v>USD3L1L19Y_Quote#0000</v>
      </c>
      <c r="G27" s="48" t="str">
        <f>_xll.ohRangeRetrieveError(F27)</f>
        <v/>
      </c>
      <c r="H27" s="47"/>
      <c r="N27" s="96">
        <v>19</v>
      </c>
      <c r="O27" s="205" t="s">
        <v>67</v>
      </c>
      <c r="P27" s="254" t="str">
        <v>3L</v>
      </c>
      <c r="Q27" s="254" t="str">
        <v>1L</v>
      </c>
      <c r="R27" s="252" t="str">
        <f t="shared" si="1"/>
        <v>USD3L1L19Y</v>
      </c>
      <c r="S27" s="204" t="str">
        <v>USD3L1L19Y=ICAP</v>
      </c>
      <c r="T27" s="324" t="s">
        <v>213</v>
      </c>
      <c r="U27" s="324" t="s">
        <v>213</v>
      </c>
      <c r="V27" s="324" t="e">
        <f>_xll.qlMidEquivalent(T27,U27)</f>
        <v>#NUM!</v>
      </c>
      <c r="W27" s="199" t="b">
        <f t="shared" si="2"/>
        <v>0</v>
      </c>
      <c r="X27" s="325">
        <v>5.1039031684400902</v>
      </c>
      <c r="Y27" s="201"/>
      <c r="Z27" s="322">
        <v>5.1039031684400902</v>
      </c>
      <c r="AA27" s="201"/>
      <c r="AB27" s="433">
        <v>5.1039031684400902</v>
      </c>
      <c r="AC27" s="198">
        <f>_xll.qlSimpleQuoteSetValue(F27,AB27/10000,Trigger)</f>
        <v>3.8032907515234745E-7</v>
      </c>
      <c r="AD27" s="169"/>
    </row>
    <row r="28" spans="1:30" x14ac:dyDescent="0.2">
      <c r="A28" s="53"/>
      <c r="B28" s="52" t="s">
        <v>66</v>
      </c>
      <c r="C28" s="51" t="str">
        <f t="shared" si="3"/>
        <v>3L</v>
      </c>
      <c r="D28" s="50" t="str">
        <f t="shared" si="4"/>
        <v>1L</v>
      </c>
      <c r="E28" s="49" t="str">
        <f t="shared" si="0"/>
        <v>USD3L1L20Y_Quote</v>
      </c>
      <c r="F28" s="49" t="str">
        <f>_xll.qlSimpleQuote(E28,,RateTickValue,Permanent,Trigger,ObjectOverwrite)</f>
        <v>USD3L1L20Y_Quote#0000</v>
      </c>
      <c r="G28" s="48" t="str">
        <f>_xll.ohRangeRetrieveError(F28)</f>
        <v/>
      </c>
      <c r="H28" s="47"/>
      <c r="N28" s="96">
        <v>20</v>
      </c>
      <c r="O28" s="205" t="s">
        <v>66</v>
      </c>
      <c r="P28" s="254" t="str">
        <v>3L</v>
      </c>
      <c r="Q28" s="254" t="str">
        <v>1L</v>
      </c>
      <c r="R28" s="252" t="str">
        <f t="shared" si="1"/>
        <v>USD3L1L20Y</v>
      </c>
      <c r="S28" s="204" t="str">
        <v>USD3L1L20Y=ICAP</v>
      </c>
      <c r="T28" s="324">
        <v>5</v>
      </c>
      <c r="U28" s="324">
        <v>0</v>
      </c>
      <c r="V28" s="324">
        <f>_xll.qlMidEquivalent(T28,U28)</f>
        <v>5</v>
      </c>
      <c r="W28" s="199" t="b">
        <f t="shared" si="2"/>
        <v>1</v>
      </c>
      <c r="X28" s="325">
        <v>5</v>
      </c>
      <c r="Y28" s="201"/>
      <c r="Z28" s="322">
        <v>5</v>
      </c>
      <c r="AA28" s="201"/>
      <c r="AB28" s="433">
        <v>5</v>
      </c>
      <c r="AC28" s="198">
        <f>_xll.qlSimpleQuoteSetValue(F28,AB28/10000,Trigger)</f>
        <v>0</v>
      </c>
      <c r="AD28" s="169"/>
    </row>
    <row r="29" spans="1:30" x14ac:dyDescent="0.2">
      <c r="A29" s="53"/>
      <c r="B29" s="52" t="s">
        <v>65</v>
      </c>
      <c r="C29" s="51" t="str">
        <f t="shared" si="3"/>
        <v>3L</v>
      </c>
      <c r="D29" s="50" t="str">
        <f t="shared" si="4"/>
        <v>1L</v>
      </c>
      <c r="E29" s="49" t="str">
        <f t="shared" si="0"/>
        <v>USD3L1L21Y_Quote</v>
      </c>
      <c r="F29" s="49" t="str">
        <f>_xll.qlSimpleQuote(E29,,RateTickValue,Permanent,Trigger,ObjectOverwrite)</f>
        <v>USD3L1L21Y_Quote#0000</v>
      </c>
      <c r="G29" s="48" t="str">
        <f>_xll.ohRangeRetrieveError(F29)</f>
        <v/>
      </c>
      <c r="H29" s="47"/>
      <c r="N29" s="96">
        <v>21</v>
      </c>
      <c r="O29" s="205" t="s">
        <v>65</v>
      </c>
      <c r="P29" s="254" t="str">
        <v>3L</v>
      </c>
      <c r="Q29" s="254" t="str">
        <v>1L</v>
      </c>
      <c r="R29" s="252" t="str">
        <f t="shared" si="1"/>
        <v>USD3L1L21Y</v>
      </c>
      <c r="S29" s="204" t="str">
        <v>USD3L1L21Y=ICAP</v>
      </c>
      <c r="T29" s="324" t="s">
        <v>213</v>
      </c>
      <c r="U29" s="324" t="s">
        <v>213</v>
      </c>
      <c r="V29" s="324" t="e">
        <f>_xll.qlMidEquivalent(T29,U29)</f>
        <v>#NUM!</v>
      </c>
      <c r="W29" s="199" t="b">
        <f t="shared" si="2"/>
        <v>0</v>
      </c>
      <c r="X29" s="325">
        <v>4.9033426841999495</v>
      </c>
      <c r="Y29" s="201"/>
      <c r="Z29" s="322">
        <v>4.9033426841999495</v>
      </c>
      <c r="AA29" s="201"/>
      <c r="AB29" s="433">
        <v>4.9033426841999495</v>
      </c>
      <c r="AC29" s="198">
        <f>_xll.qlSimpleQuoteSetValue(F29,AB29/10000,Trigger)</f>
        <v>-2.1129393064020507E-7</v>
      </c>
      <c r="AD29" s="169"/>
    </row>
    <row r="30" spans="1:30" x14ac:dyDescent="0.2">
      <c r="A30" s="53"/>
      <c r="B30" s="52" t="s">
        <v>64</v>
      </c>
      <c r="C30" s="51" t="str">
        <f t="shared" si="3"/>
        <v>3L</v>
      </c>
      <c r="D30" s="50" t="str">
        <f t="shared" si="4"/>
        <v>1L</v>
      </c>
      <c r="E30" s="49" t="str">
        <f t="shared" si="0"/>
        <v>USD3L1L22Y_Quote</v>
      </c>
      <c r="F30" s="49" t="str">
        <f>_xll.qlSimpleQuote(E30,,RateTickValue,Permanent,Trigger,ObjectOverwrite)</f>
        <v>USD3L1L22Y_Quote#0000</v>
      </c>
      <c r="G30" s="48" t="str">
        <f>_xll.ohRangeRetrieveError(F30)</f>
        <v/>
      </c>
      <c r="H30" s="47"/>
      <c r="N30" s="96">
        <v>22</v>
      </c>
      <c r="O30" s="205" t="s">
        <v>64</v>
      </c>
      <c r="P30" s="254" t="str">
        <v>3L</v>
      </c>
      <c r="Q30" s="254" t="str">
        <v>1L</v>
      </c>
      <c r="R30" s="252" t="str">
        <f t="shared" si="1"/>
        <v>USD3L1L22Y</v>
      </c>
      <c r="S30" s="204" t="str">
        <v>USD3L1L22Y=ICAP</v>
      </c>
      <c r="T30" s="324" t="s">
        <v>213</v>
      </c>
      <c r="U30" s="324" t="s">
        <v>213</v>
      </c>
      <c r="V30" s="324" t="e">
        <f>_xll.qlMidEquivalent(T30,U30)</f>
        <v>#NUM!</v>
      </c>
      <c r="W30" s="199" t="b">
        <f t="shared" si="2"/>
        <v>0</v>
      </c>
      <c r="X30" s="325">
        <v>4.8143783552499375</v>
      </c>
      <c r="Y30" s="201"/>
      <c r="Z30" s="322">
        <v>4.8143783552499375</v>
      </c>
      <c r="AA30" s="201"/>
      <c r="AB30" s="433">
        <v>4.8143783552499375</v>
      </c>
      <c r="AC30" s="198">
        <f>_xll.qlSimpleQuoteSetValue(F30,AB30/10000,Trigger)</f>
        <v>-2.6411741330020213E-7</v>
      </c>
      <c r="AD30" s="169"/>
    </row>
    <row r="31" spans="1:30" x14ac:dyDescent="0.2">
      <c r="A31" s="53"/>
      <c r="B31" s="52" t="s">
        <v>63</v>
      </c>
      <c r="C31" s="51" t="str">
        <f t="shared" si="3"/>
        <v>3L</v>
      </c>
      <c r="D31" s="50" t="str">
        <f t="shared" si="4"/>
        <v>1L</v>
      </c>
      <c r="E31" s="49" t="str">
        <f t="shared" si="0"/>
        <v>USD3L1L23Y_Quote</v>
      </c>
      <c r="F31" s="49" t="str">
        <f>_xll.qlSimpleQuote(E31,,RateTickValue,Permanent,Trigger,ObjectOverwrite)</f>
        <v>USD3L1L23Y_Quote#0000</v>
      </c>
      <c r="G31" s="48" t="str">
        <f>_xll.ohRangeRetrieveError(F31)</f>
        <v/>
      </c>
      <c r="H31" s="47"/>
      <c r="N31" s="96">
        <v>23</v>
      </c>
      <c r="O31" s="205" t="s">
        <v>63</v>
      </c>
      <c r="P31" s="254" t="str">
        <v>3L</v>
      </c>
      <c r="Q31" s="254" t="str">
        <v>1L</v>
      </c>
      <c r="R31" s="252" t="str">
        <f t="shared" si="1"/>
        <v>USD3L1L23Y</v>
      </c>
      <c r="S31" s="204" t="str">
        <v>USD3L1L23Y=ICAP</v>
      </c>
      <c r="T31" s="324" t="s">
        <v>213</v>
      </c>
      <c r="U31" s="324" t="s">
        <v>213</v>
      </c>
      <c r="V31" s="324" t="e">
        <f>_xll.qlMidEquivalent(T31,U31)</f>
        <v>#NUM!</v>
      </c>
      <c r="W31" s="199" t="b">
        <f t="shared" si="2"/>
        <v>0</v>
      </c>
      <c r="X31" s="325">
        <v>4.7337426841999495</v>
      </c>
      <c r="Y31" s="201"/>
      <c r="Z31" s="322">
        <v>4.7337426841999495</v>
      </c>
      <c r="AA31" s="201"/>
      <c r="AB31" s="433">
        <v>4.7337426841999495</v>
      </c>
      <c r="AC31" s="198">
        <f>_xll.qlSimpleQuoteSetValue(F31,AB31/10000,Trigger)</f>
        <v>-2.1129393064020507E-7</v>
      </c>
      <c r="AD31" s="169"/>
    </row>
    <row r="32" spans="1:30" x14ac:dyDescent="0.2">
      <c r="A32" s="53"/>
      <c r="B32" s="52" t="s">
        <v>62</v>
      </c>
      <c r="C32" s="51" t="str">
        <f t="shared" si="3"/>
        <v>3L</v>
      </c>
      <c r="D32" s="50" t="str">
        <f t="shared" si="4"/>
        <v>1L</v>
      </c>
      <c r="E32" s="49" t="str">
        <f t="shared" si="0"/>
        <v>USD3L1L24Y_Quote</v>
      </c>
      <c r="F32" s="49" t="str">
        <f>_xll.qlSimpleQuote(E32,,RateTickValue,Permanent,Trigger,ObjectOverwrite)</f>
        <v>USD3L1L24Y_Quote#0000</v>
      </c>
      <c r="G32" s="48" t="str">
        <f>_xll.ohRangeRetrieveError(F32)</f>
        <v/>
      </c>
      <c r="H32" s="47"/>
      <c r="N32" s="96">
        <v>24</v>
      </c>
      <c r="O32" s="205" t="s">
        <v>62</v>
      </c>
      <c r="P32" s="254" t="str">
        <v>3L</v>
      </c>
      <c r="Q32" s="254" t="str">
        <v>1L</v>
      </c>
      <c r="R32" s="252" t="str">
        <f t="shared" si="1"/>
        <v>USD3L1L24Y</v>
      </c>
      <c r="S32" s="204" t="str">
        <v>USD3L1L24Y=ICAP</v>
      </c>
      <c r="T32" s="324" t="s">
        <v>213</v>
      </c>
      <c r="U32" s="324" t="s">
        <v>213</v>
      </c>
      <c r="V32" s="324" t="e">
        <f>_xll.qlMidEquivalent(T32,U32)</f>
        <v>#NUM!</v>
      </c>
      <c r="W32" s="199" t="b">
        <f t="shared" si="2"/>
        <v>0</v>
      </c>
      <c r="X32" s="325">
        <v>4.6620713420999742</v>
      </c>
      <c r="Y32" s="201"/>
      <c r="Z32" s="322">
        <v>4.6620713420999742</v>
      </c>
      <c r="AA32" s="201"/>
      <c r="AB32" s="433">
        <v>4.6620713420999742</v>
      </c>
      <c r="AC32" s="198">
        <f>_xll.qlSimpleQuoteSetValue(F32,AB32/10000,Trigger)</f>
        <v>-1.0564696532010254E-7</v>
      </c>
      <c r="AD32" s="169"/>
    </row>
    <row r="33" spans="1:30" x14ac:dyDescent="0.2">
      <c r="A33" s="53"/>
      <c r="B33" s="52" t="s">
        <v>61</v>
      </c>
      <c r="C33" s="51" t="str">
        <f t="shared" si="3"/>
        <v>3L</v>
      </c>
      <c r="D33" s="50" t="str">
        <f t="shared" si="4"/>
        <v>1L</v>
      </c>
      <c r="E33" s="49" t="str">
        <f t="shared" si="0"/>
        <v>USD3L1L25Y_Quote</v>
      </c>
      <c r="F33" s="49" t="str">
        <f>_xll.qlSimpleQuote(E33,,RateTickValue,Permanent,Trigger,ObjectOverwrite)</f>
        <v>USD3L1L25Y_Quote#0000</v>
      </c>
      <c r="G33" s="48" t="str">
        <f>_xll.ohRangeRetrieveError(F33)</f>
        <v/>
      </c>
      <c r="H33" s="47"/>
      <c r="N33" s="96">
        <v>25</v>
      </c>
      <c r="O33" s="205" t="s">
        <v>61</v>
      </c>
      <c r="P33" s="254" t="str">
        <v>3L</v>
      </c>
      <c r="Q33" s="254" t="str">
        <v>1L</v>
      </c>
      <c r="R33" s="252" t="str">
        <f t="shared" si="1"/>
        <v>USD3L1L25Y</v>
      </c>
      <c r="S33" s="204" t="str">
        <v>USD3L1L25Y=ICAP</v>
      </c>
      <c r="T33" s="324">
        <v>4.5999999999999996</v>
      </c>
      <c r="U33" s="324">
        <v>0</v>
      </c>
      <c r="V33" s="324">
        <f>_xll.qlMidEquivalent(T33,U33)</f>
        <v>4.5999999999999996</v>
      </c>
      <c r="W33" s="199" t="b">
        <f t="shared" si="2"/>
        <v>1</v>
      </c>
      <c r="X33" s="325">
        <v>4.5999999999999996</v>
      </c>
      <c r="Y33" s="201"/>
      <c r="Z33" s="322">
        <v>4.5999999999999996</v>
      </c>
      <c r="AA33" s="201"/>
      <c r="AB33" s="433">
        <v>4.5999999999999996</v>
      </c>
      <c r="AC33" s="198">
        <f>_xll.qlSimpleQuoteSetValue(F33,AB33/10000,Trigger)</f>
        <v>0</v>
      </c>
      <c r="AD33" s="169"/>
    </row>
    <row r="34" spans="1:30" x14ac:dyDescent="0.2">
      <c r="A34" s="53"/>
      <c r="B34" s="52" t="s">
        <v>60</v>
      </c>
      <c r="C34" s="51" t="str">
        <f t="shared" si="3"/>
        <v>3L</v>
      </c>
      <c r="D34" s="50" t="str">
        <f t="shared" si="4"/>
        <v>1L</v>
      </c>
      <c r="E34" s="49" t="str">
        <f t="shared" si="0"/>
        <v>USD3L1L26Y_Quote</v>
      </c>
      <c r="F34" s="49" t="str">
        <f>_xll.qlSimpleQuote(E34,,RateTickValue,Permanent,Trigger,ObjectOverwrite)</f>
        <v>USD3L1L26Y_Quote#0000</v>
      </c>
      <c r="G34" s="48" t="str">
        <f>_xll.ohRangeRetrieveError(F34)</f>
        <v/>
      </c>
      <c r="H34" s="47"/>
      <c r="N34" s="96">
        <v>26</v>
      </c>
      <c r="O34" s="205" t="s">
        <v>60</v>
      </c>
      <c r="P34" s="254" t="str">
        <v>3L</v>
      </c>
      <c r="Q34" s="254" t="str">
        <v>1L</v>
      </c>
      <c r="R34" s="252" t="str">
        <f t="shared" si="1"/>
        <v>USD3L1L26Y</v>
      </c>
      <c r="S34" s="204" t="str">
        <v>USD3L1L26Y=ICAP</v>
      </c>
      <c r="T34" s="324" t="s">
        <v>213</v>
      </c>
      <c r="U34" s="324" t="s">
        <v>213</v>
      </c>
      <c r="V34" s="324" t="e">
        <f>_xll.qlMidEquivalent(T34,U34)</f>
        <v>#NUM!</v>
      </c>
      <c r="W34" s="199" t="b">
        <f t="shared" si="2"/>
        <v>0</v>
      </c>
      <c r="X34" s="325">
        <v>4.5477171947400148</v>
      </c>
      <c r="Y34" s="201"/>
      <c r="Z34" s="322">
        <v>4.5477171947400148</v>
      </c>
      <c r="AA34" s="201"/>
      <c r="AB34" s="433">
        <v>4.5477171947400148</v>
      </c>
      <c r="AC34" s="198">
        <f>_xll.qlSimpleQuoteSetValue(F34,AB34/10000,Trigger)</f>
        <v>6.3388179192039838E-8</v>
      </c>
      <c r="AD34" s="169"/>
    </row>
    <row r="35" spans="1:30" x14ac:dyDescent="0.2">
      <c r="A35" s="53"/>
      <c r="B35" s="52" t="s">
        <v>59</v>
      </c>
      <c r="C35" s="51" t="str">
        <f t="shared" si="3"/>
        <v>3L</v>
      </c>
      <c r="D35" s="50" t="str">
        <f t="shared" si="4"/>
        <v>1L</v>
      </c>
      <c r="E35" s="49" t="str">
        <f t="shared" si="0"/>
        <v>USD3L1L27Y_Quote</v>
      </c>
      <c r="F35" s="49" t="str">
        <f>_xll.qlSimpleQuote(E35,,RateTickValue,Permanent,Trigger,ObjectOverwrite)</f>
        <v>USD3L1L27Y_Quote#0000</v>
      </c>
      <c r="G35" s="48" t="str">
        <f>_xll.ohRangeRetrieveError(F35)</f>
        <v/>
      </c>
      <c r="H35" s="47"/>
      <c r="N35" s="96">
        <v>27</v>
      </c>
      <c r="O35" s="205" t="s">
        <v>59</v>
      </c>
      <c r="P35" s="254" t="str">
        <v>3L</v>
      </c>
      <c r="Q35" s="254" t="str">
        <v>1L</v>
      </c>
      <c r="R35" s="252" t="str">
        <f t="shared" si="1"/>
        <v>USD3L1L27Y</v>
      </c>
      <c r="S35" s="204" t="str">
        <v>USD3L1L27Y=ICAP</v>
      </c>
      <c r="T35" s="324" t="s">
        <v>213</v>
      </c>
      <c r="U35" s="324" t="s">
        <v>213</v>
      </c>
      <c r="V35" s="324" t="e">
        <f>_xll.qlMidEquivalent(T35,U35)</f>
        <v>#NUM!</v>
      </c>
      <c r="W35" s="199" t="b">
        <f t="shared" si="2"/>
        <v>0</v>
      </c>
      <c r="X35" s="325">
        <v>4.5036229263200198</v>
      </c>
      <c r="Y35" s="201"/>
      <c r="Z35" s="322">
        <v>4.5036229263200198</v>
      </c>
      <c r="AA35" s="201"/>
      <c r="AB35" s="433">
        <v>4.5036229263200198</v>
      </c>
      <c r="AC35" s="198">
        <f>_xll.qlSimpleQuoteSetValue(F35,AB35/10000,Trigger)</f>
        <v>8.4517572256071188E-8</v>
      </c>
      <c r="AD35" s="169"/>
    </row>
    <row r="36" spans="1:30" x14ac:dyDescent="0.2">
      <c r="A36" s="53"/>
      <c r="B36" s="52" t="s">
        <v>58</v>
      </c>
      <c r="C36" s="51" t="str">
        <f t="shared" si="3"/>
        <v>3L</v>
      </c>
      <c r="D36" s="50" t="str">
        <f t="shared" si="4"/>
        <v>1L</v>
      </c>
      <c r="E36" s="49" t="str">
        <f t="shared" si="0"/>
        <v>USD3L1L28Y_Quote</v>
      </c>
      <c r="F36" s="49" t="str">
        <f>_xll.qlSimpleQuote(E36,,RateTickValue,Permanent,Trigger,ObjectOverwrite)</f>
        <v>USD3L1L28Y_Quote#0000</v>
      </c>
      <c r="G36" s="48" t="str">
        <f>_xll.ohRangeRetrieveError(F36)</f>
        <v/>
      </c>
      <c r="H36" s="47"/>
      <c r="N36" s="96">
        <v>28</v>
      </c>
      <c r="O36" s="205" t="s">
        <v>58</v>
      </c>
      <c r="P36" s="254" t="str">
        <v>3L</v>
      </c>
      <c r="Q36" s="254" t="str">
        <v>1L</v>
      </c>
      <c r="R36" s="252" t="str">
        <f t="shared" si="1"/>
        <v>USD3L1L28Y</v>
      </c>
      <c r="S36" s="204" t="str">
        <v>USD3L1L28Y=ICAP</v>
      </c>
      <c r="T36" s="324" t="s">
        <v>213</v>
      </c>
      <c r="U36" s="324" t="s">
        <v>213</v>
      </c>
      <c r="V36" s="324" t="e">
        <f>_xll.qlMidEquivalent(T36,U36)</f>
        <v>#NUM!</v>
      </c>
      <c r="W36" s="199" t="b">
        <f t="shared" si="2"/>
        <v>0</v>
      </c>
      <c r="X36" s="325">
        <v>4.4656700605300177</v>
      </c>
      <c r="Y36" s="201"/>
      <c r="Z36" s="322">
        <v>4.4656700605300177</v>
      </c>
      <c r="AA36" s="201"/>
      <c r="AB36" s="433">
        <v>4.4656700605300177</v>
      </c>
      <c r="AC36" s="198">
        <f>_xll.qlSimpleQuoteSetValue(F36,AB36/10000,Trigger)</f>
        <v>7.3952875724082618E-8</v>
      </c>
      <c r="AD36" s="169"/>
    </row>
    <row r="37" spans="1:30" x14ac:dyDescent="0.2">
      <c r="A37" s="53"/>
      <c r="B37" s="52" t="s">
        <v>57</v>
      </c>
      <c r="C37" s="51" t="str">
        <f t="shared" si="3"/>
        <v>3L</v>
      </c>
      <c r="D37" s="50" t="str">
        <f t="shared" si="4"/>
        <v>1L</v>
      </c>
      <c r="E37" s="49" t="str">
        <f t="shared" si="0"/>
        <v>USD3L1L29Y_Quote</v>
      </c>
      <c r="F37" s="49" t="str">
        <f>_xll.qlSimpleQuote(E37,,RateTickValue,Permanent,Trigger,ObjectOverwrite)</f>
        <v>USD3L1L29Y_Quote#0000</v>
      </c>
      <c r="G37" s="48" t="str">
        <f>_xll.ohRangeRetrieveError(F37)</f>
        <v/>
      </c>
      <c r="H37" s="47"/>
      <c r="N37" s="96">
        <v>29</v>
      </c>
      <c r="O37" s="205" t="s">
        <v>57</v>
      </c>
      <c r="P37" s="254" t="str">
        <v>3L</v>
      </c>
      <c r="Q37" s="254" t="str">
        <v>1L</v>
      </c>
      <c r="R37" s="252" t="str">
        <f t="shared" si="1"/>
        <v>USD3L1L29Y</v>
      </c>
      <c r="S37" s="204" t="str">
        <v>USD3L1L29Y=ICAP</v>
      </c>
      <c r="T37" s="324" t="s">
        <v>213</v>
      </c>
      <c r="U37" s="324" t="s">
        <v>213</v>
      </c>
      <c r="V37" s="324" t="e">
        <f>_xll.qlMidEquivalent(T37,U37)</f>
        <v>#NUM!</v>
      </c>
      <c r="W37" s="199" t="b">
        <f t="shared" si="2"/>
        <v>0</v>
      </c>
      <c r="X37" s="325">
        <v>4.4318114631600105</v>
      </c>
      <c r="Y37" s="201"/>
      <c r="Z37" s="322">
        <v>4.4318114631600105</v>
      </c>
      <c r="AA37" s="201"/>
      <c r="AB37" s="433">
        <v>4.4318114631600105</v>
      </c>
      <c r="AC37" s="198">
        <f>_xll.qlSimpleQuoteSetValue(F37,AB37/10000,Trigger)</f>
        <v>4.2258786128062699E-8</v>
      </c>
      <c r="AD37" s="169"/>
    </row>
    <row r="38" spans="1:30" x14ac:dyDescent="0.2">
      <c r="A38" s="53"/>
      <c r="B38" s="52" t="s">
        <v>56</v>
      </c>
      <c r="C38" s="51" t="str">
        <f t="shared" si="3"/>
        <v>3L</v>
      </c>
      <c r="D38" s="50" t="str">
        <f t="shared" si="4"/>
        <v>1L</v>
      </c>
      <c r="E38" s="49" t="str">
        <f t="shared" si="0"/>
        <v>USD3L1L30Y_Quote</v>
      </c>
      <c r="F38" s="49" t="str">
        <f>_xll.qlSimpleQuote(E38,,RateTickValue,Permanent,Trigger,ObjectOverwrite)</f>
        <v>USD3L1L30Y_Quote#0000</v>
      </c>
      <c r="G38" s="48" t="str">
        <f>_xll.ohRangeRetrieveError(F38)</f>
        <v/>
      </c>
      <c r="H38" s="47"/>
      <c r="N38" s="96">
        <v>30</v>
      </c>
      <c r="O38" s="205" t="s">
        <v>56</v>
      </c>
      <c r="P38" s="254" t="str">
        <v>3L</v>
      </c>
      <c r="Q38" s="254" t="str">
        <v>1L</v>
      </c>
      <c r="R38" s="252" t="str">
        <f t="shared" si="1"/>
        <v>USD3L1L30Y</v>
      </c>
      <c r="S38" s="204" t="str">
        <v>USD3L1L30Y=ICAP</v>
      </c>
      <c r="T38" s="324">
        <v>4.4000000000000004</v>
      </c>
      <c r="U38" s="324">
        <v>0</v>
      </c>
      <c r="V38" s="324">
        <f>_xll.qlMidEquivalent(T38,U38)</f>
        <v>4.4000000000000004</v>
      </c>
      <c r="W38" s="199" t="b">
        <f t="shared" si="2"/>
        <v>1</v>
      </c>
      <c r="X38" s="325">
        <v>4.4000000000000004</v>
      </c>
      <c r="Y38" s="201"/>
      <c r="Z38" s="322">
        <v>4.4000000000000004</v>
      </c>
      <c r="AA38" s="201"/>
      <c r="AB38" s="433">
        <v>4.4000000000000004</v>
      </c>
      <c r="AC38" s="198">
        <f>_xll.qlSimpleQuoteSetValue(F38,AB38/10000,Trigger)</f>
        <v>0</v>
      </c>
      <c r="AD38" s="169"/>
    </row>
    <row r="39" spans="1:30" x14ac:dyDescent="0.2">
      <c r="A39" s="53"/>
      <c r="B39" s="52" t="s">
        <v>51</v>
      </c>
      <c r="C39" s="51" t="str">
        <f t="shared" si="3"/>
        <v>3L</v>
      </c>
      <c r="D39" s="50" t="str">
        <f t="shared" si="4"/>
        <v>1L</v>
      </c>
      <c r="E39" s="49" t="str">
        <f t="shared" si="0"/>
        <v>USD3L1L35Y_Quote</v>
      </c>
      <c r="F39" s="49" t="str">
        <f>_xll.qlSimpleQuote(E39,,RateTickValue,Permanent,Trigger,ObjectOverwrite)</f>
        <v>USD3L1L35Y_Quote#0000</v>
      </c>
      <c r="G39" s="48" t="str">
        <f>_xll.ohRangeRetrieveError(F39)</f>
        <v/>
      </c>
      <c r="H39" s="47"/>
      <c r="N39" s="96">
        <v>35</v>
      </c>
      <c r="O39" s="205" t="s">
        <v>51</v>
      </c>
      <c r="P39" s="254" t="str">
        <v>3L</v>
      </c>
      <c r="Q39" s="254" t="str">
        <v>1L</v>
      </c>
      <c r="R39" s="252" t="str">
        <f t="shared" si="1"/>
        <v>USD3L1L35Y</v>
      </c>
      <c r="S39" s="204" t="str">
        <v>USD3L1L35Y=ICAP</v>
      </c>
      <c r="T39" s="324" t="s">
        <v>213</v>
      </c>
      <c r="U39" s="324" t="s">
        <v>213</v>
      </c>
      <c r="V39" s="324" t="e">
        <f>_xll.qlMidEquivalent(T39,U39)</f>
        <v>#NUM!</v>
      </c>
      <c r="W39" s="199" t="b">
        <f t="shared" si="2"/>
        <v>0</v>
      </c>
      <c r="X39" s="323">
        <f>X38</f>
        <v>4.4000000000000004</v>
      </c>
      <c r="Y39" s="201"/>
      <c r="Z39" s="322">
        <v>4.4000000000000004</v>
      </c>
      <c r="AA39" s="201"/>
      <c r="AB39" s="433">
        <v>4.4000000000000004</v>
      </c>
      <c r="AC39" s="198">
        <f>_xll.qlSimpleQuoteSetValue(F39,AB39/10000,Trigger)</f>
        <v>0</v>
      </c>
      <c r="AD39" s="169"/>
    </row>
    <row r="40" spans="1:30" x14ac:dyDescent="0.2">
      <c r="A40" s="53"/>
      <c r="B40" s="52" t="s">
        <v>46</v>
      </c>
      <c r="C40" s="51" t="str">
        <f t="shared" si="3"/>
        <v>3L</v>
      </c>
      <c r="D40" s="50" t="str">
        <f t="shared" si="4"/>
        <v>1L</v>
      </c>
      <c r="E40" s="49" t="str">
        <f t="shared" si="0"/>
        <v>USD3L1L40Y_Quote</v>
      </c>
      <c r="F40" s="49" t="str">
        <f>_xll.qlSimpleQuote(E40,,RateTickValue,Permanent,Trigger,ObjectOverwrite)</f>
        <v>USD3L1L40Y_Quote#0000</v>
      </c>
      <c r="G40" s="48" t="str">
        <f>_xll.ohRangeRetrieveError(F40)</f>
        <v/>
      </c>
      <c r="H40" s="47"/>
      <c r="N40" s="96">
        <v>40</v>
      </c>
      <c r="O40" s="205" t="s">
        <v>46</v>
      </c>
      <c r="P40" s="254" t="str">
        <v>3L</v>
      </c>
      <c r="Q40" s="254" t="str">
        <v>1L</v>
      </c>
      <c r="R40" s="252" t="str">
        <f t="shared" si="1"/>
        <v>USD3L1L40Y</v>
      </c>
      <c r="S40" s="204" t="str">
        <v>USD3L1L40Y=ICAP</v>
      </c>
      <c r="T40" s="324" t="s">
        <v>213</v>
      </c>
      <c r="U40" s="324" t="s">
        <v>213</v>
      </c>
      <c r="V40" s="324" t="e">
        <f>_xll.qlMidEquivalent(T40,U40)</f>
        <v>#NUM!</v>
      </c>
      <c r="W40" s="199" t="b">
        <f t="shared" si="2"/>
        <v>0</v>
      </c>
      <c r="X40" s="323">
        <f>X39</f>
        <v>4.4000000000000004</v>
      </c>
      <c r="Y40" s="201"/>
      <c r="Z40" s="322">
        <v>4.4000000000000004</v>
      </c>
      <c r="AA40" s="201"/>
      <c r="AB40" s="433">
        <v>4.4000000000000004</v>
      </c>
      <c r="AC40" s="198">
        <f>_xll.qlSimpleQuoteSetValue(F40,AB40/10000,Trigger)</f>
        <v>0</v>
      </c>
      <c r="AD40" s="169"/>
    </row>
    <row r="41" spans="1:30" x14ac:dyDescent="0.2">
      <c r="A41" s="53"/>
      <c r="B41" s="52" t="s">
        <v>36</v>
      </c>
      <c r="C41" s="51" t="str">
        <f t="shared" si="3"/>
        <v>3L</v>
      </c>
      <c r="D41" s="50" t="str">
        <f t="shared" si="4"/>
        <v>1L</v>
      </c>
      <c r="E41" s="49" t="str">
        <f t="shared" si="0"/>
        <v>USD3L1L50Y_Quote</v>
      </c>
      <c r="F41" s="49" t="str">
        <f>_xll.qlSimpleQuote(E41,,RateTickValue,Permanent,Trigger,ObjectOverwrite)</f>
        <v>USD3L1L50Y_Quote#0000</v>
      </c>
      <c r="G41" s="48" t="str">
        <f>_xll.ohRangeRetrieveError(F41)</f>
        <v/>
      </c>
      <c r="H41" s="47"/>
      <c r="N41" s="96">
        <v>50</v>
      </c>
      <c r="O41" s="205" t="s">
        <v>36</v>
      </c>
      <c r="P41" s="254" t="str">
        <v>3L</v>
      </c>
      <c r="Q41" s="254" t="str">
        <v>1L</v>
      </c>
      <c r="R41" s="252" t="str">
        <f t="shared" si="1"/>
        <v>USD3L1L50Y</v>
      </c>
      <c r="S41" s="204" t="str">
        <v>USD3L1L50Y=ICAP</v>
      </c>
      <c r="T41" s="324" t="s">
        <v>213</v>
      </c>
      <c r="U41" s="324" t="s">
        <v>213</v>
      </c>
      <c r="V41" s="324" t="e">
        <f>_xll.qlMidEquivalent(T41,U41)</f>
        <v>#NUM!</v>
      </c>
      <c r="W41" s="199" t="b">
        <f t="shared" si="2"/>
        <v>0</v>
      </c>
      <c r="X41" s="323">
        <f>X40</f>
        <v>4.4000000000000004</v>
      </c>
      <c r="Y41" s="201"/>
      <c r="Z41" s="322">
        <v>4.4000000000000004</v>
      </c>
      <c r="AA41" s="201"/>
      <c r="AB41" s="433">
        <v>4.4000000000000004</v>
      </c>
      <c r="AC41" s="198">
        <f>_xll.qlSimpleQuoteSetValue(F41,AB41/10000,Trigger)</f>
        <v>0</v>
      </c>
      <c r="AD41" s="169"/>
    </row>
    <row r="42" spans="1:30" x14ac:dyDescent="0.2">
      <c r="A42" s="53"/>
      <c r="B42" s="52" t="s">
        <v>26</v>
      </c>
      <c r="C42" s="51" t="str">
        <f t="shared" si="3"/>
        <v>3L</v>
      </c>
      <c r="D42" s="50" t="str">
        <f t="shared" si="4"/>
        <v>1L</v>
      </c>
      <c r="E42" s="49" t="str">
        <f t="shared" si="0"/>
        <v>USD3L1L60Y_Quote</v>
      </c>
      <c r="F42" s="49" t="str">
        <f>_xll.qlSimpleQuote(E42,,RateTickValue,Permanent,Trigger,ObjectOverwrite)</f>
        <v>USD3L1L60Y_Quote#0000</v>
      </c>
      <c r="G42" s="48" t="str">
        <f>_xll.ohRangeRetrieveError(F42)</f>
        <v/>
      </c>
      <c r="H42" s="47"/>
      <c r="N42" s="96">
        <v>60</v>
      </c>
      <c r="O42" s="217" t="s">
        <v>26</v>
      </c>
      <c r="P42" s="249" t="str">
        <v>3L</v>
      </c>
      <c r="Q42" s="249" t="str">
        <v>1L</v>
      </c>
      <c r="R42" s="247" t="str">
        <f t="shared" si="1"/>
        <v>USD3L1L60Y</v>
      </c>
      <c r="S42" s="216" t="str">
        <v>USD3L1L60Y=ICAP</v>
      </c>
      <c r="T42" s="321" t="s">
        <v>213</v>
      </c>
      <c r="U42" s="321" t="s">
        <v>213</v>
      </c>
      <c r="V42" s="321" t="e">
        <f>_xll.qlMidEquivalent(T42,U42)</f>
        <v>#NUM!</v>
      </c>
      <c r="W42" s="212" t="b">
        <f t="shared" si="2"/>
        <v>0</v>
      </c>
      <c r="X42" s="320">
        <f>X41</f>
        <v>4.4000000000000004</v>
      </c>
      <c r="Y42" s="201"/>
      <c r="Z42" s="319">
        <v>4.4000000000000004</v>
      </c>
      <c r="AA42" s="201"/>
      <c r="AB42" s="434">
        <v>4.4000000000000004</v>
      </c>
      <c r="AC42" s="211">
        <f>_xll.qlSimpleQuoteSetValue(F42,AB42/10000,Trigger)</f>
        <v>0</v>
      </c>
      <c r="AD42" s="169"/>
    </row>
    <row r="43" spans="1:30" ht="12" thickBot="1" x14ac:dyDescent="0.25">
      <c r="A43" s="46"/>
      <c r="B43" s="45"/>
      <c r="C43" s="45"/>
      <c r="D43" s="45"/>
      <c r="E43" s="45"/>
      <c r="F43" s="44"/>
      <c r="G43" s="44"/>
      <c r="H43" s="43"/>
      <c r="N43" s="22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7"/>
    </row>
  </sheetData>
  <conditionalFormatting sqref="AC5:AC42">
    <cfRule type="cellIs" dxfId="31" priority="1" stopIfTrue="1" operator="greaterThan">
      <formula>0</formula>
    </cfRule>
    <cfRule type="cellIs" dxfId="30" priority="2" stopIfTrue="1" operator="lessThan">
      <formula>0</formula>
    </cfRule>
  </conditionalFormatting>
  <dataValidations disablePrompts="1"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43"/>
  <sheetViews>
    <sheetView workbookViewId="0">
      <selection activeCell="A3" sqref="A3"/>
    </sheetView>
  </sheetViews>
  <sheetFormatPr defaultRowHeight="12.75" x14ac:dyDescent="0.2"/>
  <cols>
    <col min="1" max="1" width="2.7109375" style="12" customWidth="1"/>
    <col min="2" max="2" width="6.5703125" style="12" bestFit="1" customWidth="1"/>
    <col min="3" max="4" width="2.7109375" style="12" bestFit="1" customWidth="1"/>
    <col min="5" max="5" width="17.85546875" style="12" bestFit="1" customWidth="1"/>
    <col min="6" max="6" width="19.7109375" style="12" bestFit="1" customWidth="1"/>
    <col min="7" max="7" width="36.28515625" style="12" customWidth="1"/>
    <col min="8" max="9" width="2.7109375" style="12" customWidth="1"/>
    <col min="10" max="12" width="3.5703125" style="12" customWidth="1"/>
    <col min="13" max="13" width="2.7109375" style="12" customWidth="1"/>
    <col min="14" max="17" width="9.140625" style="12"/>
    <col min="18" max="18" width="10.28515625" style="12" bestFit="1" customWidth="1"/>
    <col min="19" max="19" width="14.5703125" style="12" bestFit="1" customWidth="1"/>
    <col min="20" max="24" width="9.140625" style="12"/>
    <col min="25" max="25" width="2.7109375" style="12" customWidth="1"/>
    <col min="26" max="26" width="9.140625" style="12"/>
    <col min="27" max="27" width="2.7109375" style="12" customWidth="1"/>
    <col min="28" max="29" width="9.140625" style="12"/>
    <col min="30" max="31" width="2.7109375" style="12" customWidth="1"/>
    <col min="32" max="16384" width="9.140625" style="12"/>
  </cols>
  <sheetData>
    <row r="1" spans="1:36" x14ac:dyDescent="0.2">
      <c r="N1" s="265" t="s">
        <v>280</v>
      </c>
      <c r="O1" s="150"/>
      <c r="P1" s="150"/>
      <c r="Q1" s="150"/>
      <c r="R1" s="150"/>
      <c r="S1" s="150" t="s">
        <v>259</v>
      </c>
      <c r="T1" s="150"/>
      <c r="U1" s="150"/>
      <c r="V1" s="150"/>
      <c r="W1" s="150"/>
      <c r="X1" s="150"/>
      <c r="Y1" s="150"/>
      <c r="Z1" s="150"/>
      <c r="AA1" s="150"/>
      <c r="AB1" s="150"/>
      <c r="AC1" s="150"/>
      <c r="AD1" s="147"/>
      <c r="AE1" s="13"/>
      <c r="AF1" s="13"/>
      <c r="AG1" s="13"/>
      <c r="AH1" s="13"/>
      <c r="AI1" s="13"/>
      <c r="AJ1" s="13"/>
    </row>
    <row r="2" spans="1:36" x14ac:dyDescent="0.2">
      <c r="N2" s="234"/>
      <c r="O2" s="111"/>
      <c r="P2" s="201"/>
      <c r="Q2" s="201"/>
      <c r="R2" s="201"/>
      <c r="S2" s="118" t="str">
        <f>[0]!Contributor</f>
        <v>ICAP</v>
      </c>
      <c r="T2" s="201"/>
      <c r="U2" s="201"/>
      <c r="V2" s="201"/>
      <c r="W2" s="201"/>
      <c r="X2" s="111"/>
      <c r="Y2" s="201"/>
      <c r="Z2" s="201"/>
      <c r="AA2" s="201"/>
      <c r="AB2" s="201"/>
      <c r="AC2" s="111"/>
      <c r="AD2" s="23"/>
      <c r="AE2" s="13"/>
      <c r="AF2" s="13"/>
      <c r="AG2" s="13"/>
      <c r="AH2" s="13"/>
      <c r="AI2" s="13"/>
      <c r="AJ2" s="13"/>
    </row>
    <row r="3" spans="1:36" x14ac:dyDescent="0.2">
      <c r="A3" s="76" t="s">
        <v>118</v>
      </c>
      <c r="B3" s="71"/>
      <c r="C3" s="71"/>
      <c r="D3" s="71"/>
      <c r="E3" s="72"/>
      <c r="F3" s="73"/>
      <c r="G3" s="72"/>
      <c r="H3" s="68"/>
      <c r="N3" s="96"/>
      <c r="O3" s="201"/>
      <c r="P3" s="111"/>
      <c r="Q3" s="111"/>
      <c r="R3" s="111"/>
      <c r="S3" s="111" t="str">
        <f>_xll.qlInterpolation(,InterpolationType,_xll.ohFilter(N5:N42,W5:W42),_xll.ohFilter(V5:V42,W5:W42))</f>
        <v>obj_00709#0000</v>
      </c>
      <c r="T3" s="111"/>
      <c r="U3" s="111"/>
      <c r="V3" s="111"/>
      <c r="W3" s="111"/>
      <c r="X3" s="111"/>
      <c r="Y3" s="201"/>
      <c r="Z3" s="201"/>
      <c r="AA3" s="201"/>
      <c r="AB3" s="111"/>
      <c r="AC3" s="231">
        <f>_xll.ohTrigger(AC5:AC42)</f>
        <v>2</v>
      </c>
      <c r="AD3" s="169"/>
      <c r="AE3" s="13"/>
      <c r="AF3" s="13"/>
      <c r="AG3" s="13"/>
      <c r="AH3" s="13"/>
      <c r="AI3" s="13"/>
      <c r="AJ3" s="13"/>
    </row>
    <row r="4" spans="1:36" ht="23.25" thickBot="1" x14ac:dyDescent="0.25">
      <c r="A4" s="53"/>
      <c r="B4" s="66" t="s">
        <v>109</v>
      </c>
      <c r="C4" s="67"/>
      <c r="D4" s="66"/>
      <c r="E4" s="65" t="str">
        <f>Currency&amp;"_010_Sw"&amp;$C$6&amp;$D$6&amp;".xml"</f>
        <v>USD_010_Sw6L3L.xml</v>
      </c>
      <c r="F4" s="64" t="str">
        <f>IF(Serialize,_xll.ohObjectSave(F5:F42,SerializationPath&amp;E4,FileOverwrite,Serialize),"---")</f>
        <v>---</v>
      </c>
      <c r="G4" s="48" t="str">
        <f>_xll.ohRangeRetrieveError(F4)</f>
        <v/>
      </c>
      <c r="H4" s="47"/>
      <c r="N4" s="96"/>
      <c r="O4" s="263"/>
      <c r="P4" s="145"/>
      <c r="Q4" s="145"/>
      <c r="R4" s="145"/>
      <c r="S4" s="196" t="str">
        <f>_xll.RData(S5:S42,T4:U4,"RTFEED:IDN",ReutersRtMode,,T5)</f>
        <v>Updated at 16:43:51</v>
      </c>
      <c r="T4" s="262" t="s">
        <v>201</v>
      </c>
      <c r="U4" s="262" t="s">
        <v>200</v>
      </c>
      <c r="V4" s="262" t="s">
        <v>257</v>
      </c>
      <c r="W4" s="262"/>
      <c r="X4" s="227" t="s">
        <v>256</v>
      </c>
      <c r="Y4" s="201"/>
      <c r="Z4" s="229" t="s">
        <v>231</v>
      </c>
      <c r="AA4" s="201"/>
      <c r="AB4" s="431" t="s">
        <v>229</v>
      </c>
      <c r="AC4" s="67" t="s">
        <v>228</v>
      </c>
      <c r="AD4" s="169"/>
      <c r="AE4" s="13"/>
      <c r="AF4" s="13"/>
      <c r="AG4" s="13"/>
      <c r="AH4" s="13"/>
      <c r="AI4" s="13"/>
      <c r="AJ4" s="260" t="s">
        <v>258</v>
      </c>
    </row>
    <row r="5" spans="1:36" x14ac:dyDescent="0.2">
      <c r="A5" s="53"/>
      <c r="B5" s="63" t="s">
        <v>14</v>
      </c>
      <c r="C5" s="51" t="str">
        <f>VLOOKUP(Currency,$J$10:$L$14,2)</f>
        <v>6L</v>
      </c>
      <c r="D5" s="50" t="str">
        <f>VLOOKUP(Currency,$J$10:$L$14,3)</f>
        <v>3L</v>
      </c>
      <c r="E5" s="49" t="str">
        <f t="shared" ref="E5:E42" si="0">IF(ISBLANK(C5),"#",Currency&amp;$C5&amp;$D5&amp;$B5&amp;QuoteSuffix)</f>
        <v>USD6L3L6M_Quote</v>
      </c>
      <c r="F5" s="49" t="str">
        <f>_xll.qlSimpleQuote(E5,,RateTickValue,Permanent,Trigger,ObjectOverwrite)</f>
        <v>USD6L3L6M_Quote#0000</v>
      </c>
      <c r="G5" s="48" t="str">
        <f>_xll.ohRangeRetrieveError(F5)</f>
        <v/>
      </c>
      <c r="H5" s="47"/>
      <c r="N5" s="326">
        <v>0.5</v>
      </c>
      <c r="O5" s="205" t="s">
        <v>14</v>
      </c>
      <c r="P5" s="254" t="str">
        <f t="array" ref="P5:P42">VLOOKUP(Currency,Conventions,2)</f>
        <v>6L</v>
      </c>
      <c r="Q5" s="254" t="str">
        <f t="array" ref="Q5:Q42">VLOOKUP(Currency,Conventions,3)</f>
        <v>3L</v>
      </c>
      <c r="R5" s="252" t="str">
        <f t="shared" ref="R5:R42" si="1">Currency&amp;$P5&amp;$Q5&amp;$O5</f>
        <v>USD6L3L6M</v>
      </c>
      <c r="S5" s="204" t="str">
        <f t="array" ref="S5:S42">IF(UPPER(Contributor)="ICAP",Currency&amp;P5:P42&amp;Q5:Q42&amp;O5:O42,Currency&amp;Q5:Q42&amp;P5:P42&amp;O5:O42)&amp;"="&amp;VLOOKUP(Contributor,ContributorTable,2,FALSE)</f>
        <v>USD6L3L6M=ICAP</v>
      </c>
      <c r="T5" s="324">
        <v>9.5</v>
      </c>
      <c r="U5" s="324">
        <v>0</v>
      </c>
      <c r="V5" s="324">
        <f>_xll.qlMidEquivalent(T5,U5)</f>
        <v>9.5</v>
      </c>
      <c r="W5" s="199" t="b">
        <f t="shared" ref="W5:W42" si="2">IF(ISNUMBER(V5),TRUE,FALSE)</f>
        <v>1</v>
      </c>
      <c r="X5" s="325">
        <f t="array" ref="X5:X38">_xll.qlInterpolationInterpolate(S3,N5:N42)</f>
        <v>9.5</v>
      </c>
      <c r="Y5" s="201"/>
      <c r="Z5" s="322">
        <v>9.5</v>
      </c>
      <c r="AA5" s="201"/>
      <c r="AB5" s="433">
        <f t="array" ref="AB5:AB42">QuoteLive</f>
        <v>9.5</v>
      </c>
      <c r="AC5" s="198">
        <f>_xll.qlSimpleQuoteSetValue(F5,AB5/10000,Trigger)</f>
        <v>-1.9999999999999944E-5</v>
      </c>
      <c r="AD5" s="169"/>
      <c r="AE5" s="13"/>
      <c r="AF5" s="62" t="s">
        <v>105</v>
      </c>
      <c r="AG5" s="61" t="s">
        <v>98</v>
      </c>
      <c r="AH5" s="60" t="s">
        <v>99</v>
      </c>
      <c r="AI5" s="13" t="str">
        <f t="shared" ref="AI5:AI42" si="3">O5</f>
        <v>6M</v>
      </c>
      <c r="AJ5" s="318" t="e">
        <f>((Swap6M!AB5-Swap3M!AB5)*100-AB5)/10000</f>
        <v>#NUM!</v>
      </c>
    </row>
    <row r="6" spans="1:36" x14ac:dyDescent="0.2">
      <c r="A6" s="53"/>
      <c r="B6" s="63" t="s">
        <v>8</v>
      </c>
      <c r="C6" s="51" t="str">
        <f t="shared" ref="C6:C42" si="4">C5</f>
        <v>6L</v>
      </c>
      <c r="D6" s="50" t="str">
        <f t="shared" ref="D6:D42" si="5">D5</f>
        <v>3L</v>
      </c>
      <c r="E6" s="49" t="str">
        <f t="shared" si="0"/>
        <v>USD6L3L1Y_Quote</v>
      </c>
      <c r="F6" s="49" t="str">
        <f>_xll.qlSimpleQuote(E6,,RateTickValue,Permanent,Trigger,ObjectOverwrite)</f>
        <v>USD6L3L1Y_Quote#0000</v>
      </c>
      <c r="G6" s="48" t="str">
        <f>_xll.ohRangeRetrieveError(F6)</f>
        <v/>
      </c>
      <c r="H6" s="47"/>
      <c r="N6" s="326">
        <v>1</v>
      </c>
      <c r="O6" s="205" t="s">
        <v>8</v>
      </c>
      <c r="P6" s="254" t="str">
        <v>6L</v>
      </c>
      <c r="Q6" s="254" t="str">
        <v>3L</v>
      </c>
      <c r="R6" s="252" t="str">
        <f t="shared" si="1"/>
        <v>USD6L3L1Y</v>
      </c>
      <c r="S6" s="204" t="str">
        <v>USD6L3L1Y=ICAP</v>
      </c>
      <c r="T6" s="324">
        <v>9.3000000000000007</v>
      </c>
      <c r="U6" s="324">
        <v>0</v>
      </c>
      <c r="V6" s="324">
        <f>_xll.qlMidEquivalent(T6,U6)</f>
        <v>9.3000000000000007</v>
      </c>
      <c r="W6" s="199" t="b">
        <f t="shared" si="2"/>
        <v>1</v>
      </c>
      <c r="X6" s="325">
        <v>9.3000000000000007</v>
      </c>
      <c r="Y6" s="201"/>
      <c r="Z6" s="322">
        <v>9.3000000000000007</v>
      </c>
      <c r="AA6" s="201"/>
      <c r="AB6" s="433">
        <v>9.3000000000000007</v>
      </c>
      <c r="AC6" s="198">
        <f>_xll.qlSimpleQuoteSetValue(F6,AB6/10000,Trigger)</f>
        <v>-1.0000000000000026E-5</v>
      </c>
      <c r="AD6" s="169"/>
      <c r="AE6" s="13"/>
      <c r="AF6" s="59" t="s">
        <v>104</v>
      </c>
      <c r="AG6" s="58" t="s">
        <v>110</v>
      </c>
      <c r="AH6" s="57" t="s">
        <v>102</v>
      </c>
      <c r="AI6" s="13" t="str">
        <f t="shared" si="3"/>
        <v>1Y</v>
      </c>
      <c r="AJ6" s="318" t="e">
        <f>((Swap6M!AB6-Swap3M!AB6)*100-AB6)/10000</f>
        <v>#NUM!</v>
      </c>
    </row>
    <row r="7" spans="1:36" x14ac:dyDescent="0.2">
      <c r="A7" s="53"/>
      <c r="B7" s="63" t="s">
        <v>108</v>
      </c>
      <c r="C7" s="51" t="str">
        <f t="shared" si="4"/>
        <v>6L</v>
      </c>
      <c r="D7" s="50" t="str">
        <f t="shared" si="5"/>
        <v>3L</v>
      </c>
      <c r="E7" s="49" t="str">
        <f t="shared" si="0"/>
        <v>USD6L3L15M_Quote</v>
      </c>
      <c r="F7" s="49" t="str">
        <f>_xll.qlSimpleQuote(E7,,RateTickValue,Permanent,Trigger,ObjectOverwrite)</f>
        <v>USD6L3L15M_Quote#0000</v>
      </c>
      <c r="G7" s="48" t="str">
        <f>_xll.ohRangeRetrieveError(F7)</f>
        <v/>
      </c>
      <c r="H7" s="47"/>
      <c r="N7" s="326">
        <v>1.25</v>
      </c>
      <c r="O7" s="205" t="s">
        <v>108</v>
      </c>
      <c r="P7" s="254" t="str">
        <v>6L</v>
      </c>
      <c r="Q7" s="254" t="str">
        <v>3L</v>
      </c>
      <c r="R7" s="252" t="str">
        <f t="shared" si="1"/>
        <v>USD6L3L15M</v>
      </c>
      <c r="S7" s="204" t="str">
        <v>USD6L3L15M=ICAP</v>
      </c>
      <c r="T7" s="324" t="s">
        <v>213</v>
      </c>
      <c r="U7" s="324" t="s">
        <v>213</v>
      </c>
      <c r="V7" s="324" t="e">
        <f>_xll.qlMidEquivalent(T7,U7)</f>
        <v>#NUM!</v>
      </c>
      <c r="W7" s="199" t="b">
        <f t="shared" si="2"/>
        <v>0</v>
      </c>
      <c r="X7" s="325">
        <v>9.2200577722313426</v>
      </c>
      <c r="Y7" s="201"/>
      <c r="Z7" s="322">
        <v>9.2200577722313426</v>
      </c>
      <c r="AA7" s="201"/>
      <c r="AB7" s="433">
        <v>9.2200577722313426</v>
      </c>
      <c r="AC7" s="198">
        <f>_xll.qlSimpleQuoteSetValue(F7,AB7/10000,Trigger)</f>
        <v>-6.0018035518792775E-6</v>
      </c>
      <c r="AD7" s="169"/>
      <c r="AE7" s="13"/>
      <c r="AF7" s="59" t="s">
        <v>101</v>
      </c>
      <c r="AG7" s="58" t="s">
        <v>98</v>
      </c>
      <c r="AH7" s="57" t="s">
        <v>99</v>
      </c>
      <c r="AI7" s="13" t="str">
        <f t="shared" si="3"/>
        <v>15M</v>
      </c>
      <c r="AJ7" s="318" t="e">
        <f>((Swap6M!AB7-Swap3M!AB7)*100-AB7)/10000</f>
        <v>#NUM!</v>
      </c>
    </row>
    <row r="8" spans="1:36" x14ac:dyDescent="0.2">
      <c r="A8" s="53"/>
      <c r="B8" s="63" t="s">
        <v>107</v>
      </c>
      <c r="C8" s="51" t="str">
        <f t="shared" si="4"/>
        <v>6L</v>
      </c>
      <c r="D8" s="50" t="str">
        <f t="shared" si="5"/>
        <v>3L</v>
      </c>
      <c r="E8" s="49" t="str">
        <f t="shared" si="0"/>
        <v>USD6L3L18M_Quote</v>
      </c>
      <c r="F8" s="49" t="str">
        <f>_xll.qlSimpleQuote(E8,,RateTickValue,Permanent,Trigger,ObjectOverwrite)</f>
        <v>USD6L3L18M_Quote#0000</v>
      </c>
      <c r="G8" s="48" t="str">
        <f>_xll.ohRangeRetrieveError(F8)</f>
        <v/>
      </c>
      <c r="H8" s="47"/>
      <c r="N8" s="326">
        <v>1.5</v>
      </c>
      <c r="O8" s="205" t="s">
        <v>107</v>
      </c>
      <c r="P8" s="254" t="str">
        <v>6L</v>
      </c>
      <c r="Q8" s="254" t="str">
        <v>3L</v>
      </c>
      <c r="R8" s="252" t="str">
        <f t="shared" si="1"/>
        <v>USD6L3L18M</v>
      </c>
      <c r="S8" s="204" t="str">
        <v>USD6L3L18M=ICAP</v>
      </c>
      <c r="T8" s="324" t="s">
        <v>213</v>
      </c>
      <c r="U8" s="324" t="s">
        <v>213</v>
      </c>
      <c r="V8" s="324" t="e">
        <f>_xll.qlMidEquivalent(T8,U8)</f>
        <v>#NUM!</v>
      </c>
      <c r="W8" s="199" t="b">
        <f t="shared" si="2"/>
        <v>0</v>
      </c>
      <c r="X8" s="325">
        <v>9.1567180197611933</v>
      </c>
      <c r="Y8" s="201"/>
      <c r="Z8" s="322">
        <v>9.1567180197611933</v>
      </c>
      <c r="AA8" s="201"/>
      <c r="AB8" s="433">
        <v>9.1567180197611933</v>
      </c>
      <c r="AC8" s="198">
        <f>_xll.qlSimpleQuoteSetValue(F8,AB8/10000,Trigger)</f>
        <v>-2.8349364905594235E-6</v>
      </c>
      <c r="AD8" s="169"/>
      <c r="AE8" s="13"/>
      <c r="AF8" s="59" t="s">
        <v>100</v>
      </c>
      <c r="AG8" s="58" t="s">
        <v>98</v>
      </c>
      <c r="AH8" s="57" t="s">
        <v>99</v>
      </c>
      <c r="AI8" s="13" t="str">
        <f t="shared" si="3"/>
        <v>18M</v>
      </c>
      <c r="AJ8" s="318" t="e">
        <f>((Swap6M!AB8-Swap3M!AB8)*100-AB8)/10000</f>
        <v>#NUM!</v>
      </c>
    </row>
    <row r="9" spans="1:36" ht="13.5" thickBot="1" x14ac:dyDescent="0.25">
      <c r="A9" s="53"/>
      <c r="B9" s="63" t="s">
        <v>106</v>
      </c>
      <c r="C9" s="51" t="str">
        <f t="shared" si="4"/>
        <v>6L</v>
      </c>
      <c r="D9" s="50" t="str">
        <f t="shared" si="5"/>
        <v>3L</v>
      </c>
      <c r="E9" s="49" t="str">
        <f t="shared" si="0"/>
        <v>USD6L3L21M_Quote</v>
      </c>
      <c r="F9" s="49" t="str">
        <f>_xll.qlSimpleQuote(E9,,RateTickValue,Permanent,Trigger,ObjectOverwrite)</f>
        <v>USD6L3L21M_Quote#0000</v>
      </c>
      <c r="G9" s="48" t="str">
        <f>_xll.ohRangeRetrieveError(F9)</f>
        <v/>
      </c>
      <c r="H9" s="47"/>
      <c r="N9" s="326">
        <v>1.75</v>
      </c>
      <c r="O9" s="205" t="s">
        <v>106</v>
      </c>
      <c r="P9" s="254" t="str">
        <v>6L</v>
      </c>
      <c r="Q9" s="254" t="str">
        <v>3L</v>
      </c>
      <c r="R9" s="252" t="str">
        <f t="shared" si="1"/>
        <v>USD6L3L21M</v>
      </c>
      <c r="S9" s="204" t="str">
        <v>USD6L3L21M=ICAP</v>
      </c>
      <c r="T9" s="324" t="s">
        <v>213</v>
      </c>
      <c r="U9" s="324" t="s">
        <v>213</v>
      </c>
      <c r="V9" s="324" t="e">
        <f>_xll.qlMidEquivalent(T9,U9)</f>
        <v>#NUM!</v>
      </c>
      <c r="W9" s="199" t="b">
        <f t="shared" si="2"/>
        <v>0</v>
      </c>
      <c r="X9" s="325">
        <v>9.1150192574104469</v>
      </c>
      <c r="Y9" s="201"/>
      <c r="Z9" s="322">
        <v>9.1150192574104469</v>
      </c>
      <c r="AA9" s="201"/>
      <c r="AB9" s="433">
        <v>9.1150192574104469</v>
      </c>
      <c r="AC9" s="198">
        <f>_xll.qlSimpleQuoteSetValue(F9,AB9/10000,Trigger)</f>
        <v>-7.5060118395970168E-7</v>
      </c>
      <c r="AD9" s="169"/>
      <c r="AE9" s="13"/>
      <c r="AF9" s="56" t="s">
        <v>95</v>
      </c>
      <c r="AG9" s="55" t="s">
        <v>99</v>
      </c>
      <c r="AH9" s="54" t="s">
        <v>98</v>
      </c>
      <c r="AI9" s="13" t="str">
        <f t="shared" si="3"/>
        <v>21M</v>
      </c>
      <c r="AJ9" s="318" t="e">
        <f>((Swap6M!AB9-Swap3M!AB9)*100-AB9)/10000</f>
        <v>#NUM!</v>
      </c>
    </row>
    <row r="10" spans="1:36" x14ac:dyDescent="0.2">
      <c r="A10" s="53"/>
      <c r="B10" s="52" t="s">
        <v>84</v>
      </c>
      <c r="C10" s="51" t="str">
        <f t="shared" si="4"/>
        <v>6L</v>
      </c>
      <c r="D10" s="50" t="str">
        <f t="shared" si="5"/>
        <v>3L</v>
      </c>
      <c r="E10" s="49" t="str">
        <f t="shared" si="0"/>
        <v>USD6L3L2Y_Quote</v>
      </c>
      <c r="F10" s="49" t="str">
        <f>_xll.qlSimpleQuote(E10,,RateTickValue,Permanent,Trigger,ObjectOverwrite)</f>
        <v>USD6L3L2Y_Quote#0000</v>
      </c>
      <c r="G10" s="48" t="str">
        <f>_xll.ohRangeRetrieveError(F10)</f>
        <v/>
      </c>
      <c r="H10" s="47"/>
      <c r="J10" s="62" t="s">
        <v>105</v>
      </c>
      <c r="K10" s="61" t="s">
        <v>98</v>
      </c>
      <c r="L10" s="60" t="s">
        <v>99</v>
      </c>
      <c r="N10" s="96">
        <v>2</v>
      </c>
      <c r="O10" s="205" t="s">
        <v>84</v>
      </c>
      <c r="P10" s="254" t="str">
        <v>6L</v>
      </c>
      <c r="Q10" s="254" t="str">
        <v>3L</v>
      </c>
      <c r="R10" s="252" t="str">
        <f t="shared" si="1"/>
        <v>USD6L3L2Y</v>
      </c>
      <c r="S10" s="204" t="str">
        <v>USD6L3L2Y=ICAP</v>
      </c>
      <c r="T10" s="324">
        <v>9.1</v>
      </c>
      <c r="U10" s="324">
        <v>0</v>
      </c>
      <c r="V10" s="324">
        <f>_xll.qlMidEquivalent(T10,U10)</f>
        <v>9.1</v>
      </c>
      <c r="W10" s="199" t="b">
        <f t="shared" si="2"/>
        <v>1</v>
      </c>
      <c r="X10" s="325">
        <v>9.1</v>
      </c>
      <c r="Y10" s="201"/>
      <c r="Z10" s="322">
        <v>9.1</v>
      </c>
      <c r="AA10" s="201"/>
      <c r="AB10" s="433">
        <v>9.1</v>
      </c>
      <c r="AC10" s="198">
        <f>_xll.qlSimpleQuoteSetValue(F10,AB10/10000,Trigger)</f>
        <v>0</v>
      </c>
      <c r="AD10" s="169"/>
      <c r="AE10" s="13"/>
      <c r="AF10" s="13"/>
      <c r="AG10" s="13"/>
      <c r="AH10" s="13"/>
      <c r="AI10" s="13" t="str">
        <f t="shared" si="3"/>
        <v>2Y</v>
      </c>
      <c r="AJ10" s="318" t="e">
        <f>((Swap6M!AB10-Swap3M!AB10)*100-AB10)/10000</f>
        <v>#NUM!</v>
      </c>
    </row>
    <row r="11" spans="1:36" x14ac:dyDescent="0.2">
      <c r="A11" s="53"/>
      <c r="B11" s="52" t="s">
        <v>83</v>
      </c>
      <c r="C11" s="51" t="str">
        <f t="shared" si="4"/>
        <v>6L</v>
      </c>
      <c r="D11" s="50" t="str">
        <f t="shared" si="5"/>
        <v>3L</v>
      </c>
      <c r="E11" s="49" t="str">
        <f t="shared" si="0"/>
        <v>USD6L3L3Y_Quote</v>
      </c>
      <c r="F11" s="49" t="str">
        <f>_xll.qlSimpleQuote(E11,,RateTickValue,Permanent,Trigger,ObjectOverwrite)</f>
        <v>USD6L3L3Y_Quote#0000</v>
      </c>
      <c r="G11" s="48" t="str">
        <f>_xll.ohRangeRetrieveError(F11)</f>
        <v/>
      </c>
      <c r="H11" s="47"/>
      <c r="J11" s="59" t="s">
        <v>104</v>
      </c>
      <c r="K11" s="58" t="s">
        <v>110</v>
      </c>
      <c r="L11" s="57" t="s">
        <v>102</v>
      </c>
      <c r="N11" s="96">
        <v>3</v>
      </c>
      <c r="O11" s="205" t="s">
        <v>83</v>
      </c>
      <c r="P11" s="254" t="str">
        <v>6L</v>
      </c>
      <c r="Q11" s="254" t="str">
        <v>3L</v>
      </c>
      <c r="R11" s="252" t="str">
        <f t="shared" si="1"/>
        <v>USD6L3L3Y</v>
      </c>
      <c r="S11" s="204" t="str">
        <v>USD6L3L3Y=ICAP</v>
      </c>
      <c r="T11" s="324">
        <v>9.1</v>
      </c>
      <c r="U11" s="324">
        <v>0</v>
      </c>
      <c r="V11" s="324">
        <f>_xll.qlMidEquivalent(T11,U11)</f>
        <v>9.1</v>
      </c>
      <c r="W11" s="199" t="b">
        <f t="shared" si="2"/>
        <v>1</v>
      </c>
      <c r="X11" s="325">
        <v>9.1</v>
      </c>
      <c r="Y11" s="201"/>
      <c r="Z11" s="322">
        <v>9.1</v>
      </c>
      <c r="AA11" s="201"/>
      <c r="AB11" s="433">
        <v>9.1</v>
      </c>
      <c r="AC11" s="198">
        <f>_xll.qlSimpleQuoteSetValue(F11,AB11/10000,Trigger)</f>
        <v>0</v>
      </c>
      <c r="AD11" s="169"/>
      <c r="AE11" s="13"/>
      <c r="AF11" s="13"/>
      <c r="AG11" s="13"/>
      <c r="AH11" s="13"/>
      <c r="AI11" s="13" t="str">
        <f t="shared" si="3"/>
        <v>3Y</v>
      </c>
      <c r="AJ11" s="318" t="e">
        <f>((Swap6M!AB11-Swap3M!AB11)*100-AB11)/10000</f>
        <v>#NUM!</v>
      </c>
    </row>
    <row r="12" spans="1:36" x14ac:dyDescent="0.2">
      <c r="A12" s="53"/>
      <c r="B12" s="52" t="s">
        <v>82</v>
      </c>
      <c r="C12" s="51" t="str">
        <f t="shared" si="4"/>
        <v>6L</v>
      </c>
      <c r="D12" s="50" t="str">
        <f t="shared" si="5"/>
        <v>3L</v>
      </c>
      <c r="E12" s="49" t="str">
        <f t="shared" si="0"/>
        <v>USD6L3L4Y_Quote</v>
      </c>
      <c r="F12" s="49" t="str">
        <f>_xll.qlSimpleQuote(E12,,RateTickValue,Permanent,Trigger,ObjectOverwrite)</f>
        <v>USD6L3L4Y_Quote#0000</v>
      </c>
      <c r="G12" s="48" t="str">
        <f>_xll.ohRangeRetrieveError(F12)</f>
        <v/>
      </c>
      <c r="H12" s="47"/>
      <c r="J12" s="59" t="s">
        <v>101</v>
      </c>
      <c r="K12" s="58" t="s">
        <v>98</v>
      </c>
      <c r="L12" s="57" t="s">
        <v>99</v>
      </c>
      <c r="N12" s="96">
        <v>4</v>
      </c>
      <c r="O12" s="205" t="s">
        <v>82</v>
      </c>
      <c r="P12" s="254" t="str">
        <v>6L</v>
      </c>
      <c r="Q12" s="254" t="str">
        <v>3L</v>
      </c>
      <c r="R12" s="252" t="str">
        <f t="shared" si="1"/>
        <v>USD6L3L4Y</v>
      </c>
      <c r="S12" s="204" t="str">
        <v>USD6L3L4Y=ICAP</v>
      </c>
      <c r="T12" s="324">
        <v>9.1</v>
      </c>
      <c r="U12" s="324">
        <v>0</v>
      </c>
      <c r="V12" s="324">
        <f>_xll.qlMidEquivalent(T12,U12)</f>
        <v>9.1</v>
      </c>
      <c r="W12" s="199" t="b">
        <f t="shared" si="2"/>
        <v>1</v>
      </c>
      <c r="X12" s="325">
        <v>9.1</v>
      </c>
      <c r="Y12" s="201"/>
      <c r="Z12" s="322">
        <v>9.1</v>
      </c>
      <c r="AA12" s="201"/>
      <c r="AB12" s="433">
        <v>9.1</v>
      </c>
      <c r="AC12" s="198">
        <f>_xll.qlSimpleQuoteSetValue(F12,AB12/10000,Trigger)</f>
        <v>0</v>
      </c>
      <c r="AD12" s="169"/>
      <c r="AE12" s="13"/>
      <c r="AF12" s="13"/>
      <c r="AG12" s="13"/>
      <c r="AH12" s="13"/>
      <c r="AI12" s="13" t="str">
        <f t="shared" si="3"/>
        <v>4Y</v>
      </c>
      <c r="AJ12" s="318" t="e">
        <f>((Swap6M!AB12-Swap3M!AB12)*100-AB12)/10000</f>
        <v>#NUM!</v>
      </c>
    </row>
    <row r="13" spans="1:36" x14ac:dyDescent="0.2">
      <c r="A13" s="53"/>
      <c r="B13" s="52" t="s">
        <v>81</v>
      </c>
      <c r="C13" s="51" t="str">
        <f t="shared" si="4"/>
        <v>6L</v>
      </c>
      <c r="D13" s="50" t="str">
        <f t="shared" si="5"/>
        <v>3L</v>
      </c>
      <c r="E13" s="49" t="str">
        <f t="shared" si="0"/>
        <v>USD6L3L5Y_Quote</v>
      </c>
      <c r="F13" s="49" t="str">
        <f>_xll.qlSimpleQuote(E13,,RateTickValue,Permanent,Trigger,ObjectOverwrite)</f>
        <v>USD6L3L5Y_Quote#0000</v>
      </c>
      <c r="G13" s="48" t="str">
        <f>_xll.ohRangeRetrieveError(F13)</f>
        <v/>
      </c>
      <c r="H13" s="47"/>
      <c r="J13" s="59" t="s">
        <v>100</v>
      </c>
      <c r="K13" s="58" t="s">
        <v>98</v>
      </c>
      <c r="L13" s="57" t="s">
        <v>99</v>
      </c>
      <c r="N13" s="96">
        <v>5</v>
      </c>
      <c r="O13" s="205" t="s">
        <v>81</v>
      </c>
      <c r="P13" s="254" t="str">
        <v>6L</v>
      </c>
      <c r="Q13" s="254" t="str">
        <v>3L</v>
      </c>
      <c r="R13" s="252" t="str">
        <f t="shared" si="1"/>
        <v>USD6L3L5Y</v>
      </c>
      <c r="S13" s="204" t="str">
        <v>USD6L3L5Y=ICAP</v>
      </c>
      <c r="T13" s="324">
        <v>9.1</v>
      </c>
      <c r="U13" s="324">
        <v>0</v>
      </c>
      <c r="V13" s="324">
        <f>_xll.qlMidEquivalent(T13,U13)</f>
        <v>9.1</v>
      </c>
      <c r="W13" s="199" t="b">
        <f t="shared" si="2"/>
        <v>1</v>
      </c>
      <c r="X13" s="325">
        <v>9.1</v>
      </c>
      <c r="Y13" s="201"/>
      <c r="Z13" s="322">
        <v>9.1</v>
      </c>
      <c r="AA13" s="201"/>
      <c r="AB13" s="433">
        <v>9.1</v>
      </c>
      <c r="AC13" s="198">
        <f>_xll.qlSimpleQuoteSetValue(F13,AB13/10000,Trigger)</f>
        <v>0</v>
      </c>
      <c r="AD13" s="169"/>
      <c r="AE13" s="13"/>
      <c r="AF13" s="13"/>
      <c r="AG13" s="13"/>
      <c r="AH13" s="13"/>
      <c r="AI13" s="13" t="str">
        <f t="shared" si="3"/>
        <v>5Y</v>
      </c>
      <c r="AJ13" s="318" t="e">
        <f>((Swap6M!AB13-Swap3M!AB13)*100-AB13)/10000</f>
        <v>#NUM!</v>
      </c>
    </row>
    <row r="14" spans="1:36" ht="13.5" thickBot="1" x14ac:dyDescent="0.25">
      <c r="A14" s="53"/>
      <c r="B14" s="52" t="s">
        <v>80</v>
      </c>
      <c r="C14" s="51" t="str">
        <f t="shared" si="4"/>
        <v>6L</v>
      </c>
      <c r="D14" s="50" t="str">
        <f t="shared" si="5"/>
        <v>3L</v>
      </c>
      <c r="E14" s="49" t="str">
        <f t="shared" si="0"/>
        <v>USD6L3L6Y_Quote</v>
      </c>
      <c r="F14" s="49" t="str">
        <f>_xll.qlSimpleQuote(E14,,RateTickValue,Permanent,Trigger,ObjectOverwrite)</f>
        <v>USD6L3L6Y_Quote#0000</v>
      </c>
      <c r="G14" s="48" t="str">
        <f>_xll.ohRangeRetrieveError(F14)</f>
        <v/>
      </c>
      <c r="H14" s="47"/>
      <c r="J14" s="56" t="s">
        <v>95</v>
      </c>
      <c r="K14" s="55" t="s">
        <v>99</v>
      </c>
      <c r="L14" s="54" t="s">
        <v>98</v>
      </c>
      <c r="N14" s="96">
        <v>6</v>
      </c>
      <c r="O14" s="205" t="s">
        <v>80</v>
      </c>
      <c r="P14" s="254" t="str">
        <v>6L</v>
      </c>
      <c r="Q14" s="254" t="str">
        <v>3L</v>
      </c>
      <c r="R14" s="252" t="str">
        <f t="shared" si="1"/>
        <v>USD6L3L6Y</v>
      </c>
      <c r="S14" s="204" t="str">
        <v>USD6L3L6Y=ICAP</v>
      </c>
      <c r="T14" s="324">
        <v>9.1999999999999993</v>
      </c>
      <c r="U14" s="324">
        <v>0</v>
      </c>
      <c r="V14" s="324">
        <f>_xll.qlMidEquivalent(T14,U14)</f>
        <v>9.1999999999999993</v>
      </c>
      <c r="W14" s="199" t="b">
        <f t="shared" si="2"/>
        <v>1</v>
      </c>
      <c r="X14" s="325">
        <v>9.1999999999999993</v>
      </c>
      <c r="Y14" s="201"/>
      <c r="Z14" s="322">
        <v>9.1999999999999993</v>
      </c>
      <c r="AA14" s="201"/>
      <c r="AB14" s="433">
        <v>9.1999999999999993</v>
      </c>
      <c r="AC14" s="198">
        <f>_xll.qlSimpleQuoteSetValue(F14,AB14/10000,Trigger)</f>
        <v>0</v>
      </c>
      <c r="AD14" s="169"/>
      <c r="AE14" s="13"/>
      <c r="AF14" s="13"/>
      <c r="AG14" s="13"/>
      <c r="AH14" s="13"/>
      <c r="AI14" s="13" t="str">
        <f t="shared" si="3"/>
        <v>6Y</v>
      </c>
      <c r="AJ14" s="318" t="e">
        <f>((Swap6M!AB14-Swap3M!AB14)*100-AB14)/10000</f>
        <v>#NUM!</v>
      </c>
    </row>
    <row r="15" spans="1:36" x14ac:dyDescent="0.2">
      <c r="A15" s="53"/>
      <c r="B15" s="52" t="s">
        <v>79</v>
      </c>
      <c r="C15" s="51" t="str">
        <f t="shared" si="4"/>
        <v>6L</v>
      </c>
      <c r="D15" s="50" t="str">
        <f t="shared" si="5"/>
        <v>3L</v>
      </c>
      <c r="E15" s="49" t="str">
        <f t="shared" si="0"/>
        <v>USD6L3L7Y_Quote</v>
      </c>
      <c r="F15" s="49" t="str">
        <f>_xll.qlSimpleQuote(E15,,RateTickValue,Permanent,Trigger,ObjectOverwrite)</f>
        <v>USD6L3L7Y_Quote#0000</v>
      </c>
      <c r="G15" s="48" t="str">
        <f>_xll.ohRangeRetrieveError(F15)</f>
        <v/>
      </c>
      <c r="H15" s="47"/>
      <c r="N15" s="96">
        <v>7</v>
      </c>
      <c r="O15" s="205" t="s">
        <v>79</v>
      </c>
      <c r="P15" s="254" t="str">
        <v>6L</v>
      </c>
      <c r="Q15" s="254" t="str">
        <v>3L</v>
      </c>
      <c r="R15" s="252" t="str">
        <f t="shared" si="1"/>
        <v>USD6L3L7Y</v>
      </c>
      <c r="S15" s="204" t="str">
        <v>USD6L3L7Y=ICAP</v>
      </c>
      <c r="T15" s="324">
        <v>9.4</v>
      </c>
      <c r="U15" s="324">
        <v>0</v>
      </c>
      <c r="V15" s="324">
        <f>_xll.qlMidEquivalent(T15,U15)</f>
        <v>9.4</v>
      </c>
      <c r="W15" s="199" t="b">
        <f t="shared" si="2"/>
        <v>1</v>
      </c>
      <c r="X15" s="325">
        <v>9.4</v>
      </c>
      <c r="Y15" s="201"/>
      <c r="Z15" s="322">
        <v>9.4</v>
      </c>
      <c r="AA15" s="201"/>
      <c r="AB15" s="433">
        <v>9.4</v>
      </c>
      <c r="AC15" s="198">
        <f>_xll.qlSimpleQuoteSetValue(F15,AB15/10000,Trigger)</f>
        <v>0</v>
      </c>
      <c r="AD15" s="169"/>
      <c r="AE15" s="13"/>
      <c r="AF15" s="13"/>
      <c r="AG15" s="13"/>
      <c r="AH15" s="13"/>
      <c r="AI15" s="13" t="str">
        <f t="shared" si="3"/>
        <v>7Y</v>
      </c>
      <c r="AJ15" s="318" t="e">
        <f>((Swap6M!AB15-Swap3M!AB15)*100-AB15)/10000</f>
        <v>#NUM!</v>
      </c>
    </row>
    <row r="16" spans="1:36" x14ac:dyDescent="0.2">
      <c r="A16" s="53"/>
      <c r="B16" s="52" t="s">
        <v>78</v>
      </c>
      <c r="C16" s="51" t="str">
        <f t="shared" si="4"/>
        <v>6L</v>
      </c>
      <c r="D16" s="50" t="str">
        <f t="shared" si="5"/>
        <v>3L</v>
      </c>
      <c r="E16" s="49" t="str">
        <f t="shared" si="0"/>
        <v>USD6L3L8Y_Quote</v>
      </c>
      <c r="F16" s="49" t="str">
        <f>_xll.qlSimpleQuote(E16,,RateTickValue,Permanent,Trigger,ObjectOverwrite)</f>
        <v>USD6L3L8Y_Quote#0000</v>
      </c>
      <c r="G16" s="48" t="str">
        <f>_xll.ohRangeRetrieveError(F16)</f>
        <v/>
      </c>
      <c r="H16" s="47"/>
      <c r="N16" s="96">
        <v>8</v>
      </c>
      <c r="O16" s="205" t="s">
        <v>78</v>
      </c>
      <c r="P16" s="254" t="str">
        <v>6L</v>
      </c>
      <c r="Q16" s="254" t="str">
        <v>3L</v>
      </c>
      <c r="R16" s="252" t="str">
        <f t="shared" si="1"/>
        <v>USD6L3L8Y</v>
      </c>
      <c r="S16" s="204" t="str">
        <v>USD6L3L8Y=ICAP</v>
      </c>
      <c r="T16" s="324">
        <v>9.6999999999999993</v>
      </c>
      <c r="U16" s="324">
        <v>0</v>
      </c>
      <c r="V16" s="324">
        <f>_xll.qlMidEquivalent(T16,U16)</f>
        <v>9.6999999999999993</v>
      </c>
      <c r="W16" s="199" t="b">
        <f t="shared" si="2"/>
        <v>1</v>
      </c>
      <c r="X16" s="325">
        <v>9.6999999999999993</v>
      </c>
      <c r="Y16" s="201"/>
      <c r="Z16" s="322">
        <v>9.6999999999999993</v>
      </c>
      <c r="AA16" s="201"/>
      <c r="AB16" s="433">
        <v>9.6999999999999993</v>
      </c>
      <c r="AC16" s="198">
        <f>_xll.qlSimpleQuoteSetValue(F16,AB16/10000,Trigger)</f>
        <v>0</v>
      </c>
      <c r="AD16" s="169"/>
      <c r="AE16" s="13"/>
      <c r="AF16" s="13"/>
      <c r="AG16" s="13"/>
      <c r="AH16" s="13"/>
      <c r="AI16" s="13" t="str">
        <f t="shared" si="3"/>
        <v>8Y</v>
      </c>
      <c r="AJ16" s="318" t="e">
        <f>((Swap6M!AB16-Swap3M!AB16)*100-AB16)/10000</f>
        <v>#NUM!</v>
      </c>
    </row>
    <row r="17" spans="1:36" x14ac:dyDescent="0.2">
      <c r="A17" s="53"/>
      <c r="B17" s="52" t="s">
        <v>77</v>
      </c>
      <c r="C17" s="51" t="str">
        <f t="shared" si="4"/>
        <v>6L</v>
      </c>
      <c r="D17" s="50" t="str">
        <f t="shared" si="5"/>
        <v>3L</v>
      </c>
      <c r="E17" s="49" t="str">
        <f t="shared" si="0"/>
        <v>USD6L3L9Y_Quote</v>
      </c>
      <c r="F17" s="49" t="str">
        <f>_xll.qlSimpleQuote(E17,,RateTickValue,Permanent,Trigger,ObjectOverwrite)</f>
        <v>USD6L3L9Y_Quote#0000</v>
      </c>
      <c r="G17" s="48" t="str">
        <f>_xll.ohRangeRetrieveError(F17)</f>
        <v/>
      </c>
      <c r="H17" s="47"/>
      <c r="N17" s="96">
        <v>9</v>
      </c>
      <c r="O17" s="205" t="s">
        <v>77</v>
      </c>
      <c r="P17" s="254" t="str">
        <v>6L</v>
      </c>
      <c r="Q17" s="254" t="str">
        <v>3L</v>
      </c>
      <c r="R17" s="252" t="str">
        <f t="shared" si="1"/>
        <v>USD6L3L9Y</v>
      </c>
      <c r="S17" s="204" t="str">
        <v>USD6L3L9Y=ICAP</v>
      </c>
      <c r="T17" s="324">
        <v>9.9</v>
      </c>
      <c r="U17" s="324">
        <v>0</v>
      </c>
      <c r="V17" s="324">
        <f>_xll.qlMidEquivalent(T17,U17)</f>
        <v>9.9</v>
      </c>
      <c r="W17" s="199" t="b">
        <f t="shared" si="2"/>
        <v>1</v>
      </c>
      <c r="X17" s="325">
        <v>9.9</v>
      </c>
      <c r="Y17" s="201"/>
      <c r="Z17" s="322">
        <v>9.9</v>
      </c>
      <c r="AA17" s="201"/>
      <c r="AB17" s="433">
        <v>9.9</v>
      </c>
      <c r="AC17" s="198">
        <f>_xll.qlSimpleQuoteSetValue(F17,AB17/10000,Trigger)</f>
        <v>0</v>
      </c>
      <c r="AD17" s="169"/>
      <c r="AE17" s="13"/>
      <c r="AF17" s="13"/>
      <c r="AG17" s="13"/>
      <c r="AH17" s="13"/>
      <c r="AI17" s="13" t="str">
        <f t="shared" si="3"/>
        <v>9Y</v>
      </c>
      <c r="AJ17" s="318" t="e">
        <f>((Swap6M!AB17-Swap3M!AB17)*100-AB17)/10000</f>
        <v>#NUM!</v>
      </c>
    </row>
    <row r="18" spans="1:36" x14ac:dyDescent="0.2">
      <c r="A18" s="53"/>
      <c r="B18" s="52" t="s">
        <v>76</v>
      </c>
      <c r="C18" s="51" t="str">
        <f t="shared" si="4"/>
        <v>6L</v>
      </c>
      <c r="D18" s="50" t="str">
        <f t="shared" si="5"/>
        <v>3L</v>
      </c>
      <c r="E18" s="49" t="str">
        <f t="shared" si="0"/>
        <v>USD6L3L10Y_Quote</v>
      </c>
      <c r="F18" s="49" t="str">
        <f>_xll.qlSimpleQuote(E18,,RateTickValue,Permanent,Trigger,ObjectOverwrite)</f>
        <v>USD6L3L10Y_Quote#0000</v>
      </c>
      <c r="G18" s="48" t="str">
        <f>_xll.ohRangeRetrieveError(F18)</f>
        <v/>
      </c>
      <c r="H18" s="47"/>
      <c r="N18" s="96">
        <v>10</v>
      </c>
      <c r="O18" s="205" t="s">
        <v>76</v>
      </c>
      <c r="P18" s="254" t="str">
        <v>6L</v>
      </c>
      <c r="Q18" s="254" t="str">
        <v>3L</v>
      </c>
      <c r="R18" s="252" t="str">
        <f t="shared" si="1"/>
        <v>USD6L3L10Y</v>
      </c>
      <c r="S18" s="204" t="str">
        <v>USD6L3L10Y=ICAP</v>
      </c>
      <c r="T18" s="324">
        <v>10</v>
      </c>
      <c r="U18" s="324">
        <v>0</v>
      </c>
      <c r="V18" s="324">
        <f>_xll.qlMidEquivalent(T18,U18)</f>
        <v>10</v>
      </c>
      <c r="W18" s="199" t="b">
        <f t="shared" si="2"/>
        <v>1</v>
      </c>
      <c r="X18" s="325">
        <v>10</v>
      </c>
      <c r="Y18" s="201"/>
      <c r="Z18" s="322">
        <v>10</v>
      </c>
      <c r="AA18" s="201"/>
      <c r="AB18" s="433">
        <v>10</v>
      </c>
      <c r="AC18" s="198">
        <f>_xll.qlSimpleQuoteSetValue(F18,AB18/10000,Trigger)</f>
        <v>0</v>
      </c>
      <c r="AD18" s="169"/>
      <c r="AE18" s="13"/>
      <c r="AF18" s="13"/>
      <c r="AG18" s="13"/>
      <c r="AH18" s="13"/>
      <c r="AI18" s="13" t="str">
        <f t="shared" si="3"/>
        <v>10Y</v>
      </c>
      <c r="AJ18" s="318" t="e">
        <f>((Swap6M!AB18-Swap3M!AB18)*100-AB18)/10000</f>
        <v>#NUM!</v>
      </c>
    </row>
    <row r="19" spans="1:36" x14ac:dyDescent="0.2">
      <c r="A19" s="53"/>
      <c r="B19" s="52" t="s">
        <v>75</v>
      </c>
      <c r="C19" s="51" t="str">
        <f t="shared" si="4"/>
        <v>6L</v>
      </c>
      <c r="D19" s="50" t="str">
        <f t="shared" si="5"/>
        <v>3L</v>
      </c>
      <c r="E19" s="49" t="str">
        <f t="shared" si="0"/>
        <v>USD6L3L11Y_Quote</v>
      </c>
      <c r="F19" s="49" t="str">
        <f>_xll.qlSimpleQuote(E19,,RateTickValue,Permanent,Trigger,ObjectOverwrite)</f>
        <v>USD6L3L11Y_Quote#0000</v>
      </c>
      <c r="G19" s="48" t="str">
        <f>_xll.ohRangeRetrieveError(F19)</f>
        <v/>
      </c>
      <c r="H19" s="47"/>
      <c r="N19" s="96">
        <v>11</v>
      </c>
      <c r="O19" s="205" t="s">
        <v>75</v>
      </c>
      <c r="P19" s="254" t="str">
        <v>6L</v>
      </c>
      <c r="Q19" s="254" t="str">
        <v>3L</v>
      </c>
      <c r="R19" s="252" t="str">
        <f t="shared" si="1"/>
        <v>USD6L3L11Y</v>
      </c>
      <c r="S19" s="204" t="str">
        <v>USD6L3L11Y=ICAP</v>
      </c>
      <c r="T19" s="324" t="s">
        <v>213</v>
      </c>
      <c r="U19" s="324" t="s">
        <v>213</v>
      </c>
      <c r="V19" s="324" t="e">
        <f>_xll.qlMidEquivalent(T19,U19)</f>
        <v>#NUM!</v>
      </c>
      <c r="W19" s="199" t="b">
        <f t="shared" si="2"/>
        <v>0</v>
      </c>
      <c r="X19" s="325">
        <v>10.102859980330365</v>
      </c>
      <c r="Y19" s="201"/>
      <c r="Z19" s="322">
        <v>10.102859980330365</v>
      </c>
      <c r="AA19" s="201"/>
      <c r="AB19" s="433">
        <v>10.102859980330365</v>
      </c>
      <c r="AC19" s="198">
        <f>_xll.qlSimpleQuoteSetValue(F19,AB19/10000,Trigger)</f>
        <v>4.0166997766072354E-11</v>
      </c>
      <c r="AD19" s="169"/>
      <c r="AE19" s="13"/>
      <c r="AF19" s="13"/>
      <c r="AG19" s="13"/>
      <c r="AH19" s="13"/>
      <c r="AI19" s="13" t="str">
        <f t="shared" si="3"/>
        <v>11Y</v>
      </c>
      <c r="AJ19" s="318" t="e">
        <f>((Swap6M!AB19-Swap3M!AB19)*100-AB19)/10000</f>
        <v>#NUM!</v>
      </c>
    </row>
    <row r="20" spans="1:36" x14ac:dyDescent="0.2">
      <c r="A20" s="53"/>
      <c r="B20" s="52" t="s">
        <v>74</v>
      </c>
      <c r="C20" s="51" t="str">
        <f t="shared" si="4"/>
        <v>6L</v>
      </c>
      <c r="D20" s="50" t="str">
        <f t="shared" si="5"/>
        <v>3L</v>
      </c>
      <c r="E20" s="49" t="str">
        <f t="shared" si="0"/>
        <v>USD6L3L12Y_Quote</v>
      </c>
      <c r="F20" s="49" t="str">
        <f>_xll.qlSimpleQuote(E20,,RateTickValue,Permanent,Trigger,ObjectOverwrite)</f>
        <v>USD6L3L12Y_Quote#0000</v>
      </c>
      <c r="G20" s="48" t="str">
        <f>_xll.ohRangeRetrieveError(F20)</f>
        <v/>
      </c>
      <c r="H20" s="47"/>
      <c r="N20" s="96">
        <v>12</v>
      </c>
      <c r="O20" s="205" t="s">
        <v>74</v>
      </c>
      <c r="P20" s="254" t="str">
        <v>6L</v>
      </c>
      <c r="Q20" s="254" t="str">
        <v>3L</v>
      </c>
      <c r="R20" s="252" t="str">
        <f t="shared" si="1"/>
        <v>USD6L3L12Y</v>
      </c>
      <c r="S20" s="204" t="str">
        <v>USD6L3L12Y=ICAP</v>
      </c>
      <c r="T20" s="324">
        <v>10.199999999999999</v>
      </c>
      <c r="U20" s="324">
        <v>0</v>
      </c>
      <c r="V20" s="324">
        <f>_xll.qlMidEquivalent(T20,U20)</f>
        <v>10.199999999999999</v>
      </c>
      <c r="W20" s="199" t="b">
        <f t="shared" si="2"/>
        <v>1</v>
      </c>
      <c r="X20" s="325">
        <v>10.199999999999999</v>
      </c>
      <c r="Y20" s="201"/>
      <c r="Z20" s="322">
        <v>10.199999999999999</v>
      </c>
      <c r="AA20" s="201"/>
      <c r="AB20" s="433">
        <v>10.199999999999999</v>
      </c>
      <c r="AC20" s="198">
        <f>_xll.qlSimpleQuoteSetValue(F20,AB20/10000,Trigger)</f>
        <v>0</v>
      </c>
      <c r="AD20" s="169"/>
      <c r="AE20" s="13"/>
      <c r="AF20" s="13"/>
      <c r="AG20" s="13"/>
      <c r="AH20" s="13"/>
      <c r="AI20" s="13" t="str">
        <f t="shared" si="3"/>
        <v>12Y</v>
      </c>
      <c r="AJ20" s="318" t="e">
        <f>((Swap6M!AB20-Swap3M!AB20)*100-AB20)/10000</f>
        <v>#NUM!</v>
      </c>
    </row>
    <row r="21" spans="1:36" x14ac:dyDescent="0.2">
      <c r="A21" s="53"/>
      <c r="B21" s="52" t="s">
        <v>73</v>
      </c>
      <c r="C21" s="51" t="str">
        <f t="shared" si="4"/>
        <v>6L</v>
      </c>
      <c r="D21" s="50" t="str">
        <f t="shared" si="5"/>
        <v>3L</v>
      </c>
      <c r="E21" s="49" t="str">
        <f t="shared" si="0"/>
        <v>USD6L3L13Y_Quote</v>
      </c>
      <c r="F21" s="49" t="str">
        <f>_xll.qlSimpleQuote(E21,,RateTickValue,Permanent,Trigger,ObjectOverwrite)</f>
        <v>USD6L3L13Y_Quote#0000</v>
      </c>
      <c r="G21" s="48" t="str">
        <f>_xll.ohRangeRetrieveError(F21)</f>
        <v/>
      </c>
      <c r="H21" s="47"/>
      <c r="N21" s="96">
        <v>13</v>
      </c>
      <c r="O21" s="205" t="s">
        <v>73</v>
      </c>
      <c r="P21" s="254" t="str">
        <v>6L</v>
      </c>
      <c r="Q21" s="254" t="str">
        <v>3L</v>
      </c>
      <c r="R21" s="252" t="str">
        <f t="shared" si="1"/>
        <v>USD6L3L13Y</v>
      </c>
      <c r="S21" s="204" t="str">
        <v>USD6L3L13Y=ICAP</v>
      </c>
      <c r="T21" s="324" t="s">
        <v>213</v>
      </c>
      <c r="U21" s="324" t="s">
        <v>213</v>
      </c>
      <c r="V21" s="324" t="e">
        <f>_xll.qlMidEquivalent(T21,U21)</f>
        <v>#NUM!</v>
      </c>
      <c r="W21" s="199" t="b">
        <f t="shared" si="2"/>
        <v>0</v>
      </c>
      <c r="X21" s="325">
        <v>10.259846191095283</v>
      </c>
      <c r="Y21" s="201"/>
      <c r="Z21" s="322">
        <v>10.259846191095283</v>
      </c>
      <c r="AA21" s="201"/>
      <c r="AB21" s="433">
        <v>10.259846191095283</v>
      </c>
      <c r="AC21" s="198">
        <f>_xll.qlSimpleQuoteSetValue(F21,AB21/10000,Trigger)</f>
        <v>-2.0213955509440495E-11</v>
      </c>
      <c r="AD21" s="169"/>
      <c r="AE21" s="13"/>
      <c r="AF21" s="13"/>
      <c r="AG21" s="13"/>
      <c r="AH21" s="13"/>
      <c r="AI21" s="13" t="str">
        <f t="shared" si="3"/>
        <v>13Y</v>
      </c>
      <c r="AJ21" s="318" t="e">
        <f>((Swap6M!AB21-Swap3M!AB21)*100-AB21)/10000</f>
        <v>#NUM!</v>
      </c>
    </row>
    <row r="22" spans="1:36" x14ac:dyDescent="0.2">
      <c r="A22" s="53"/>
      <c r="B22" s="52" t="s">
        <v>72</v>
      </c>
      <c r="C22" s="51" t="str">
        <f t="shared" si="4"/>
        <v>6L</v>
      </c>
      <c r="D22" s="50" t="str">
        <f t="shared" si="5"/>
        <v>3L</v>
      </c>
      <c r="E22" s="49" t="str">
        <f t="shared" si="0"/>
        <v>USD6L3L14Y_Quote</v>
      </c>
      <c r="F22" s="49" t="str">
        <f>_xll.qlSimpleQuote(E22,,RateTickValue,Permanent,Trigger,ObjectOverwrite)</f>
        <v>USD6L3L14Y_Quote#0000</v>
      </c>
      <c r="G22" s="48" t="str">
        <f>_xll.ohRangeRetrieveError(F22)</f>
        <v/>
      </c>
      <c r="H22" s="47"/>
      <c r="N22" s="96">
        <v>14</v>
      </c>
      <c r="O22" s="205" t="s">
        <v>72</v>
      </c>
      <c r="P22" s="254" t="str">
        <v>6L</v>
      </c>
      <c r="Q22" s="254" t="str">
        <v>3L</v>
      </c>
      <c r="R22" s="252" t="str">
        <f t="shared" si="1"/>
        <v>USD6L3L14Y</v>
      </c>
      <c r="S22" s="204" t="str">
        <v>USD6L3L14Y=ICAP</v>
      </c>
      <c r="T22" s="324" t="s">
        <v>213</v>
      </c>
      <c r="U22" s="324" t="s">
        <v>213</v>
      </c>
      <c r="V22" s="324" t="e">
        <f>_xll.qlMidEquivalent(T22,U22)</f>
        <v>#NUM!</v>
      </c>
      <c r="W22" s="199" t="b">
        <f t="shared" si="2"/>
        <v>0</v>
      </c>
      <c r="X22" s="325">
        <v>10.288151364312403</v>
      </c>
      <c r="Y22" s="201"/>
      <c r="Z22" s="322">
        <v>10.288151364312403</v>
      </c>
      <c r="AA22" s="201"/>
      <c r="AB22" s="433">
        <v>10.288151364312403</v>
      </c>
      <c r="AC22" s="198">
        <f>_xll.qlSimpleQuoteSetValue(F22,AB22/10000,Trigger)</f>
        <v>-1.4391457426807253E-11</v>
      </c>
      <c r="AD22" s="169"/>
      <c r="AE22" s="13"/>
      <c r="AF22" s="13"/>
      <c r="AG22" s="13"/>
      <c r="AH22" s="13"/>
      <c r="AI22" s="13" t="str">
        <f t="shared" si="3"/>
        <v>14Y</v>
      </c>
      <c r="AJ22" s="318" t="e">
        <f>((Swap6M!AB22-Swap3M!AB22)*100-AB22)/10000</f>
        <v>#NUM!</v>
      </c>
    </row>
    <row r="23" spans="1:36" x14ac:dyDescent="0.2">
      <c r="A23" s="53"/>
      <c r="B23" s="52" t="s">
        <v>71</v>
      </c>
      <c r="C23" s="51" t="str">
        <f t="shared" si="4"/>
        <v>6L</v>
      </c>
      <c r="D23" s="50" t="str">
        <f t="shared" si="5"/>
        <v>3L</v>
      </c>
      <c r="E23" s="49" t="str">
        <f t="shared" si="0"/>
        <v>USD6L3L15Y_Quote</v>
      </c>
      <c r="F23" s="49" t="str">
        <f>_xll.qlSimpleQuote(E23,,RateTickValue,Permanent,Trigger,ObjectOverwrite)</f>
        <v>USD6L3L15Y_Quote#0000</v>
      </c>
      <c r="G23" s="48" t="str">
        <f>_xll.ohRangeRetrieveError(F23)</f>
        <v/>
      </c>
      <c r="H23" s="47"/>
      <c r="N23" s="96">
        <v>15</v>
      </c>
      <c r="O23" s="205" t="s">
        <v>71</v>
      </c>
      <c r="P23" s="254" t="str">
        <v>6L</v>
      </c>
      <c r="Q23" s="254" t="str">
        <v>3L</v>
      </c>
      <c r="R23" s="252" t="str">
        <f t="shared" si="1"/>
        <v>USD6L3L15Y</v>
      </c>
      <c r="S23" s="204" t="str">
        <v>USD6L3L15Y=ICAP</v>
      </c>
      <c r="T23" s="324">
        <v>10.3</v>
      </c>
      <c r="U23" s="324">
        <v>0</v>
      </c>
      <c r="V23" s="324">
        <f>_xll.qlMidEquivalent(T23,U23)</f>
        <v>10.3</v>
      </c>
      <c r="W23" s="199" t="b">
        <f t="shared" si="2"/>
        <v>1</v>
      </c>
      <c r="X23" s="325">
        <v>10.3</v>
      </c>
      <c r="Y23" s="201"/>
      <c r="Z23" s="322">
        <v>10.3</v>
      </c>
      <c r="AA23" s="201"/>
      <c r="AB23" s="433">
        <v>10.3</v>
      </c>
      <c r="AC23" s="198">
        <f>_xll.qlSimpleQuoteSetValue(F23,AB23/10000,Trigger)</f>
        <v>0</v>
      </c>
      <c r="AD23" s="169"/>
      <c r="AE23" s="13"/>
      <c r="AF23" s="13"/>
      <c r="AG23" s="13"/>
      <c r="AH23" s="13"/>
      <c r="AI23" s="13" t="str">
        <f t="shared" si="3"/>
        <v>15Y</v>
      </c>
      <c r="AJ23" s="318" t="e">
        <f>((Swap6M!AB23-Swap3M!AB23)*100-AB23)/10000</f>
        <v>#NUM!</v>
      </c>
    </row>
    <row r="24" spans="1:36" x14ac:dyDescent="0.2">
      <c r="A24" s="53"/>
      <c r="B24" s="52" t="s">
        <v>70</v>
      </c>
      <c r="C24" s="51" t="str">
        <f t="shared" si="4"/>
        <v>6L</v>
      </c>
      <c r="D24" s="50" t="str">
        <f t="shared" si="5"/>
        <v>3L</v>
      </c>
      <c r="E24" s="49" t="str">
        <f t="shared" si="0"/>
        <v>USD6L3L16Y_Quote</v>
      </c>
      <c r="F24" s="49" t="str">
        <f>_xll.qlSimpleQuote(E24,,RateTickValue,Permanent,Trigger,ObjectOverwrite)</f>
        <v>USD6L3L16Y_Quote#0000</v>
      </c>
      <c r="G24" s="48" t="str">
        <f>_xll.ohRangeRetrieveError(F24)</f>
        <v/>
      </c>
      <c r="H24" s="47"/>
      <c r="N24" s="96">
        <v>16</v>
      </c>
      <c r="O24" s="205" t="s">
        <v>70</v>
      </c>
      <c r="P24" s="254" t="str">
        <v>6L</v>
      </c>
      <c r="Q24" s="254" t="str">
        <v>3L</v>
      </c>
      <c r="R24" s="252" t="str">
        <f t="shared" si="1"/>
        <v>USD6L3L16Y</v>
      </c>
      <c r="S24" s="204" t="str">
        <v>USD6L3L16Y=ICAP</v>
      </c>
      <c r="T24" s="324" t="s">
        <v>213</v>
      </c>
      <c r="U24" s="324" t="s">
        <v>213</v>
      </c>
      <c r="V24" s="324" t="e">
        <f>_xll.qlMidEquivalent(T24,U24)</f>
        <v>#NUM!</v>
      </c>
      <c r="W24" s="199" t="b">
        <f t="shared" si="2"/>
        <v>0</v>
      </c>
      <c r="X24" s="325">
        <v>10.307753763085136</v>
      </c>
      <c r="Y24" s="201"/>
      <c r="Z24" s="322">
        <v>10.307753763085136</v>
      </c>
      <c r="AA24" s="201"/>
      <c r="AB24" s="433">
        <v>10.307753763085136</v>
      </c>
      <c r="AC24" s="198">
        <f>_xll.qlSimpleQuoteSetValue(F24,AB24/10000,Trigger)</f>
        <v>8.7798878410649817E-12</v>
      </c>
      <c r="AD24" s="169"/>
      <c r="AE24" s="13"/>
      <c r="AF24" s="13"/>
      <c r="AG24" s="13"/>
      <c r="AH24" s="13"/>
      <c r="AI24" s="13" t="str">
        <f t="shared" si="3"/>
        <v>16Y</v>
      </c>
      <c r="AJ24" s="318" t="e">
        <f>((Swap6M!AB24-Swap3M!AB24)*100-AB24)/10000</f>
        <v>#NUM!</v>
      </c>
    </row>
    <row r="25" spans="1:36" x14ac:dyDescent="0.2">
      <c r="A25" s="53"/>
      <c r="B25" s="52" t="s">
        <v>69</v>
      </c>
      <c r="C25" s="51" t="str">
        <f t="shared" si="4"/>
        <v>6L</v>
      </c>
      <c r="D25" s="50" t="str">
        <f t="shared" si="5"/>
        <v>3L</v>
      </c>
      <c r="E25" s="49" t="str">
        <f t="shared" si="0"/>
        <v>USD6L3L17Y_Quote</v>
      </c>
      <c r="F25" s="49" t="str">
        <f>_xll.qlSimpleQuote(E25,,RateTickValue,Permanent,Trigger,ObjectOverwrite)</f>
        <v>USD6L3L17Y_Quote#0000</v>
      </c>
      <c r="G25" s="48" t="str">
        <f>_xll.ohRangeRetrieveError(F25)</f>
        <v/>
      </c>
      <c r="H25" s="47"/>
      <c r="N25" s="96">
        <v>17</v>
      </c>
      <c r="O25" s="205" t="s">
        <v>69</v>
      </c>
      <c r="P25" s="254" t="str">
        <v>6L</v>
      </c>
      <c r="Q25" s="254" t="str">
        <v>3L</v>
      </c>
      <c r="R25" s="252" t="str">
        <f t="shared" si="1"/>
        <v>USD6L3L17Y</v>
      </c>
      <c r="S25" s="204" t="str">
        <v>USD6L3L17Y=ICAP</v>
      </c>
      <c r="T25" s="324" t="s">
        <v>213</v>
      </c>
      <c r="U25" s="324" t="s">
        <v>213</v>
      </c>
      <c r="V25" s="324" t="e">
        <f>_xll.qlMidEquivalent(T25,U25)</f>
        <v>#NUM!</v>
      </c>
      <c r="W25" s="199" t="b">
        <f t="shared" si="2"/>
        <v>0</v>
      </c>
      <c r="X25" s="325">
        <v>10.312883056808548</v>
      </c>
      <c r="Y25" s="201"/>
      <c r="Z25" s="322">
        <v>10.312883056808548</v>
      </c>
      <c r="AA25" s="201"/>
      <c r="AB25" s="433">
        <v>10.312883056808548</v>
      </c>
      <c r="AC25" s="198">
        <f>_xll.qlSimpleQuoteSetValue(F25,AB25/10000,Trigger)</f>
        <v>1.0915536053160424E-11</v>
      </c>
      <c r="AD25" s="169"/>
      <c r="AE25" s="13"/>
      <c r="AF25" s="13"/>
      <c r="AG25" s="13"/>
      <c r="AH25" s="13"/>
      <c r="AI25" s="13" t="str">
        <f t="shared" si="3"/>
        <v>17Y</v>
      </c>
      <c r="AJ25" s="318" t="e">
        <f>((Swap6M!AB25-Swap3M!AB25)*100-AB25)/10000</f>
        <v>#NUM!</v>
      </c>
    </row>
    <row r="26" spans="1:36" x14ac:dyDescent="0.2">
      <c r="A26" s="53"/>
      <c r="B26" s="52" t="s">
        <v>68</v>
      </c>
      <c r="C26" s="51" t="str">
        <f t="shared" si="4"/>
        <v>6L</v>
      </c>
      <c r="D26" s="50" t="str">
        <f t="shared" si="5"/>
        <v>3L</v>
      </c>
      <c r="E26" s="49" t="str">
        <f t="shared" si="0"/>
        <v>USD6L3L18Y_Quote</v>
      </c>
      <c r="F26" s="49" t="str">
        <f>_xll.qlSimpleQuote(E26,,RateTickValue,Permanent,Trigger,ObjectOverwrite)</f>
        <v>USD6L3L18Y_Quote#0000</v>
      </c>
      <c r="G26" s="48" t="str">
        <f>_xll.ohRangeRetrieveError(F26)</f>
        <v/>
      </c>
      <c r="H26" s="47"/>
      <c r="N26" s="96">
        <v>18</v>
      </c>
      <c r="O26" s="205" t="s">
        <v>68</v>
      </c>
      <c r="P26" s="254" t="str">
        <v>6L</v>
      </c>
      <c r="Q26" s="254" t="str">
        <v>3L</v>
      </c>
      <c r="R26" s="252" t="str">
        <f t="shared" si="1"/>
        <v>USD6L3L18Y</v>
      </c>
      <c r="S26" s="204" t="str">
        <v>USD6L3L18Y=ICAP</v>
      </c>
      <c r="T26" s="324" t="s">
        <v>213</v>
      </c>
      <c r="U26" s="324" t="s">
        <v>213</v>
      </c>
      <c r="V26" s="324" t="e">
        <f>_xll.qlMidEquivalent(T26,U26)</f>
        <v>#NUM!</v>
      </c>
      <c r="W26" s="199" t="b">
        <f t="shared" si="2"/>
        <v>0</v>
      </c>
      <c r="X26" s="325">
        <v>10.314135468989392</v>
      </c>
      <c r="Y26" s="201"/>
      <c r="Z26" s="322">
        <v>10.314135468989392</v>
      </c>
      <c r="AA26" s="201"/>
      <c r="AB26" s="433">
        <v>10.314135468989392</v>
      </c>
      <c r="AC26" s="198">
        <f>_xll.qlSimpleQuoteSetValue(F26,AB26/10000,Trigger)</f>
        <v>8.6612407784042444E-12</v>
      </c>
      <c r="AD26" s="169"/>
      <c r="AE26" s="13"/>
      <c r="AF26" s="13"/>
      <c r="AG26" s="13"/>
      <c r="AH26" s="13"/>
      <c r="AI26" s="13" t="str">
        <f t="shared" si="3"/>
        <v>18Y</v>
      </c>
      <c r="AJ26" s="318" t="e">
        <f>((Swap6M!AB26-Swap3M!AB26)*100-AB26)/10000</f>
        <v>#NUM!</v>
      </c>
    </row>
    <row r="27" spans="1:36" x14ac:dyDescent="0.2">
      <c r="A27" s="53"/>
      <c r="B27" s="52" t="s">
        <v>67</v>
      </c>
      <c r="C27" s="51" t="str">
        <f t="shared" si="4"/>
        <v>6L</v>
      </c>
      <c r="D27" s="50" t="str">
        <f t="shared" si="5"/>
        <v>3L</v>
      </c>
      <c r="E27" s="49" t="str">
        <f t="shared" si="0"/>
        <v>USD6L3L19Y_Quote</v>
      </c>
      <c r="F27" s="49" t="str">
        <f>_xll.qlSimpleQuote(E27,,RateTickValue,Permanent,Trigger,ObjectOverwrite)</f>
        <v>USD6L3L19Y_Quote#0000</v>
      </c>
      <c r="G27" s="48" t="str">
        <f>_xll.ohRangeRetrieveError(F27)</f>
        <v/>
      </c>
      <c r="H27" s="47"/>
      <c r="N27" s="96">
        <v>19</v>
      </c>
      <c r="O27" s="205" t="s">
        <v>67</v>
      </c>
      <c r="P27" s="254" t="str">
        <v>6L</v>
      </c>
      <c r="Q27" s="254" t="str">
        <v>3L</v>
      </c>
      <c r="R27" s="252" t="str">
        <f t="shared" si="1"/>
        <v>USD6L3L19Y</v>
      </c>
      <c r="S27" s="204" t="str">
        <v>USD6L3L19Y=ICAP</v>
      </c>
      <c r="T27" s="324" t="s">
        <v>213</v>
      </c>
      <c r="U27" s="324" t="s">
        <v>213</v>
      </c>
      <c r="V27" s="324" t="e">
        <f>_xll.qlMidEquivalent(T27,U27)</f>
        <v>#NUM!</v>
      </c>
      <c r="W27" s="199" t="b">
        <f t="shared" si="2"/>
        <v>0</v>
      </c>
      <c r="X27" s="325">
        <v>10.310258587446825</v>
      </c>
      <c r="Y27" s="201"/>
      <c r="Z27" s="322">
        <v>10.310258587446825</v>
      </c>
      <c r="AA27" s="201"/>
      <c r="AB27" s="433">
        <v>10.310258587446825</v>
      </c>
      <c r="AC27" s="198">
        <f>_xll.qlSimpleQuoteSetValue(F27,AB27/10000,Trigger)</f>
        <v>4.2712966410313191E-12</v>
      </c>
      <c r="AD27" s="169"/>
      <c r="AE27" s="13"/>
      <c r="AF27" s="13"/>
      <c r="AG27" s="13"/>
      <c r="AH27" s="13"/>
      <c r="AI27" s="13" t="str">
        <f t="shared" si="3"/>
        <v>19Y</v>
      </c>
      <c r="AJ27" s="318" t="e">
        <f>((Swap6M!AB27-Swap3M!AB27)*100-AB27)/10000</f>
        <v>#NUM!</v>
      </c>
    </row>
    <row r="28" spans="1:36" x14ac:dyDescent="0.2">
      <c r="A28" s="53"/>
      <c r="B28" s="52" t="s">
        <v>66</v>
      </c>
      <c r="C28" s="51" t="str">
        <f t="shared" si="4"/>
        <v>6L</v>
      </c>
      <c r="D28" s="50" t="str">
        <f t="shared" si="5"/>
        <v>3L</v>
      </c>
      <c r="E28" s="49" t="str">
        <f t="shared" si="0"/>
        <v>USD6L3L20Y_Quote</v>
      </c>
      <c r="F28" s="49" t="str">
        <f>_xll.qlSimpleQuote(E28,,RateTickValue,Permanent,Trigger,ObjectOverwrite)</f>
        <v>USD6L3L20Y_Quote#0000</v>
      </c>
      <c r="G28" s="48" t="str">
        <f>_xll.ohRangeRetrieveError(F28)</f>
        <v/>
      </c>
      <c r="H28" s="47"/>
      <c r="N28" s="96">
        <v>20</v>
      </c>
      <c r="O28" s="205" t="s">
        <v>66</v>
      </c>
      <c r="P28" s="254" t="str">
        <v>6L</v>
      </c>
      <c r="Q28" s="254" t="str">
        <v>3L</v>
      </c>
      <c r="R28" s="252" t="str">
        <f t="shared" si="1"/>
        <v>USD6L3L20Y</v>
      </c>
      <c r="S28" s="204" t="str">
        <v>USD6L3L20Y=ICAP</v>
      </c>
      <c r="T28" s="324">
        <v>10.3</v>
      </c>
      <c r="U28" s="324">
        <v>0</v>
      </c>
      <c r="V28" s="324">
        <f>_xll.qlMidEquivalent(T28,U28)</f>
        <v>10.3</v>
      </c>
      <c r="W28" s="199" t="b">
        <f t="shared" si="2"/>
        <v>1</v>
      </c>
      <c r="X28" s="325">
        <v>10.3</v>
      </c>
      <c r="Y28" s="201"/>
      <c r="Z28" s="322">
        <v>10.3</v>
      </c>
      <c r="AA28" s="201"/>
      <c r="AB28" s="433">
        <v>10.3</v>
      </c>
      <c r="AC28" s="198">
        <f>_xll.qlSimpleQuoteSetValue(F28,AB28/10000,Trigger)</f>
        <v>0</v>
      </c>
      <c r="AD28" s="169"/>
      <c r="AE28" s="13"/>
      <c r="AF28" s="13"/>
      <c r="AG28" s="13"/>
      <c r="AH28" s="13"/>
      <c r="AI28" s="13" t="str">
        <f t="shared" si="3"/>
        <v>20Y</v>
      </c>
      <c r="AJ28" s="318" t="e">
        <f>((Swap6M!AB28-Swap3M!AB28)*100-AB28)/10000</f>
        <v>#NUM!</v>
      </c>
    </row>
    <row r="29" spans="1:36" x14ac:dyDescent="0.2">
      <c r="A29" s="53"/>
      <c r="B29" s="52" t="s">
        <v>65</v>
      </c>
      <c r="C29" s="51" t="str">
        <f t="shared" si="4"/>
        <v>6L</v>
      </c>
      <c r="D29" s="50" t="str">
        <f t="shared" si="5"/>
        <v>3L</v>
      </c>
      <c r="E29" s="49" t="str">
        <f t="shared" si="0"/>
        <v>USD6L3L21Y_Quote</v>
      </c>
      <c r="F29" s="49" t="str">
        <f>_xll.qlSimpleQuote(E29,,RateTickValue,Permanent,Trigger,ObjectOverwrite)</f>
        <v>USD6L3L21Y_Quote#0000</v>
      </c>
      <c r="G29" s="48" t="str">
        <f>_xll.ohRangeRetrieveError(F29)</f>
        <v/>
      </c>
      <c r="H29" s="47"/>
      <c r="N29" s="96">
        <v>21</v>
      </c>
      <c r="O29" s="205" t="s">
        <v>65</v>
      </c>
      <c r="P29" s="254" t="str">
        <v>6L</v>
      </c>
      <c r="Q29" s="254" t="str">
        <v>3L</v>
      </c>
      <c r="R29" s="252" t="str">
        <f t="shared" si="1"/>
        <v>USD6L3L21Y</v>
      </c>
      <c r="S29" s="204" t="str">
        <v>USD6L3L21Y=ICAP</v>
      </c>
      <c r="T29" s="324" t="s">
        <v>213</v>
      </c>
      <c r="U29" s="324" t="s">
        <v>213</v>
      </c>
      <c r="V29" s="324" t="e">
        <f>_xll.qlMidEquivalent(T29,U29)</f>
        <v>#NUM!</v>
      </c>
      <c r="W29" s="199" t="b">
        <f t="shared" si="2"/>
        <v>0</v>
      </c>
      <c r="X29" s="325">
        <v>10.280725176879425</v>
      </c>
      <c r="Y29" s="201"/>
      <c r="Z29" s="322">
        <v>10.280725176879425</v>
      </c>
      <c r="AA29" s="201"/>
      <c r="AB29" s="433">
        <v>10.280725176879425</v>
      </c>
      <c r="AC29" s="198">
        <f>_xll.qlSimpleQuoteSetValue(F29,AB29/10000,Trigger)</f>
        <v>-2.2147463984295568E-12</v>
      </c>
      <c r="AD29" s="169"/>
      <c r="AE29" s="13"/>
      <c r="AF29" s="13"/>
      <c r="AG29" s="13"/>
      <c r="AH29" s="13"/>
      <c r="AI29" s="13" t="str">
        <f t="shared" si="3"/>
        <v>21Y</v>
      </c>
      <c r="AJ29" s="318" t="e">
        <f>((Swap6M!AB29-Swap3M!AB29)*100-AB29)/10000</f>
        <v>#NUM!</v>
      </c>
    </row>
    <row r="30" spans="1:36" x14ac:dyDescent="0.2">
      <c r="A30" s="53"/>
      <c r="B30" s="52" t="s">
        <v>64</v>
      </c>
      <c r="C30" s="51" t="str">
        <f t="shared" si="4"/>
        <v>6L</v>
      </c>
      <c r="D30" s="50" t="str">
        <f t="shared" si="5"/>
        <v>3L</v>
      </c>
      <c r="E30" s="49" t="str">
        <f t="shared" si="0"/>
        <v>USD6L3L22Y_Quote</v>
      </c>
      <c r="F30" s="49" t="str">
        <f>_xll.qlSimpleQuote(E30,,RateTickValue,Permanent,Trigger,ObjectOverwrite)</f>
        <v>USD6L3L22Y_Quote#0000</v>
      </c>
      <c r="G30" s="48" t="str">
        <f>_xll.ohRangeRetrieveError(F30)</f>
        <v/>
      </c>
      <c r="H30" s="47"/>
      <c r="N30" s="96">
        <v>22</v>
      </c>
      <c r="O30" s="205" t="s">
        <v>64</v>
      </c>
      <c r="P30" s="254" t="str">
        <v>6L</v>
      </c>
      <c r="Q30" s="254" t="str">
        <v>3L</v>
      </c>
      <c r="R30" s="252" t="str">
        <f t="shared" si="1"/>
        <v>USD6L3L22Y</v>
      </c>
      <c r="S30" s="204" t="str">
        <v>USD6L3L22Y=ICAP</v>
      </c>
      <c r="T30" s="324" t="s">
        <v>213</v>
      </c>
      <c r="U30" s="324" t="s">
        <v>213</v>
      </c>
      <c r="V30" s="324" t="e">
        <f>_xll.qlMidEquivalent(T30,U30)</f>
        <v>#NUM!</v>
      </c>
      <c r="W30" s="199" t="b">
        <f t="shared" si="2"/>
        <v>0</v>
      </c>
      <c r="X30" s="325">
        <v>10.254815823989354</v>
      </c>
      <c r="Y30" s="201"/>
      <c r="Z30" s="322">
        <v>10.254815823989354</v>
      </c>
      <c r="AA30" s="201"/>
      <c r="AB30" s="433">
        <v>10.254815823989354</v>
      </c>
      <c r="AC30" s="198">
        <f>_xll.qlSimpleQuoteSetValue(F30,AB30/10000,Trigger)</f>
        <v>-2.4915896169180884E-12</v>
      </c>
      <c r="AD30" s="169"/>
      <c r="AE30" s="13"/>
      <c r="AF30" s="13"/>
      <c r="AG30" s="13"/>
      <c r="AH30" s="13"/>
      <c r="AI30" s="13" t="str">
        <f t="shared" si="3"/>
        <v>22Y</v>
      </c>
      <c r="AJ30" s="318" t="e">
        <f>((Swap6M!AB30-Swap3M!AB30)*100-AB30)/10000</f>
        <v>#NUM!</v>
      </c>
    </row>
    <row r="31" spans="1:36" x14ac:dyDescent="0.2">
      <c r="A31" s="53"/>
      <c r="B31" s="52" t="s">
        <v>63</v>
      </c>
      <c r="C31" s="51" t="str">
        <f t="shared" si="4"/>
        <v>6L</v>
      </c>
      <c r="D31" s="50" t="str">
        <f t="shared" si="5"/>
        <v>3L</v>
      </c>
      <c r="E31" s="49" t="str">
        <f t="shared" si="0"/>
        <v>USD6L3L23Y_Quote</v>
      </c>
      <c r="F31" s="49" t="str">
        <f>_xll.qlSimpleQuote(E31,,RateTickValue,Permanent,Trigger,ObjectOverwrite)</f>
        <v>USD6L3L23Y_Quote#0000</v>
      </c>
      <c r="G31" s="48" t="str">
        <f>_xll.ohRangeRetrieveError(F31)</f>
        <v/>
      </c>
      <c r="H31" s="47"/>
      <c r="N31" s="96">
        <v>23</v>
      </c>
      <c r="O31" s="205" t="s">
        <v>63</v>
      </c>
      <c r="P31" s="254" t="str">
        <v>6L</v>
      </c>
      <c r="Q31" s="254" t="str">
        <v>3L</v>
      </c>
      <c r="R31" s="252" t="str">
        <f t="shared" si="1"/>
        <v>USD6L3L23Y</v>
      </c>
      <c r="S31" s="204" t="str">
        <v>USD6L3L23Y=ICAP</v>
      </c>
      <c r="T31" s="324" t="s">
        <v>213</v>
      </c>
      <c r="U31" s="324" t="s">
        <v>213</v>
      </c>
      <c r="V31" s="324" t="e">
        <f>_xll.qlMidEquivalent(T31,U31)</f>
        <v>#NUM!</v>
      </c>
      <c r="W31" s="199" t="b">
        <f t="shared" si="2"/>
        <v>0</v>
      </c>
      <c r="X31" s="325">
        <v>10.228543882659569</v>
      </c>
      <c r="Y31" s="201"/>
      <c r="Z31" s="322">
        <v>10.228543882659569</v>
      </c>
      <c r="AA31" s="201"/>
      <c r="AB31" s="433">
        <v>10.228543882659569</v>
      </c>
      <c r="AC31" s="198">
        <f>_xll.qlSimpleQuoteSetValue(F31,AB31/10000,Trigger)</f>
        <v>-1.6610599614524935E-12</v>
      </c>
      <c r="AD31" s="169"/>
      <c r="AE31" s="13"/>
      <c r="AF31" s="13"/>
      <c r="AG31" s="13"/>
      <c r="AH31" s="13"/>
      <c r="AI31" s="13" t="str">
        <f t="shared" si="3"/>
        <v>23Y</v>
      </c>
      <c r="AJ31" s="318" t="e">
        <f>((Swap6M!AB31-Swap3M!AB31)*100-AB31)/10000</f>
        <v>#NUM!</v>
      </c>
    </row>
    <row r="32" spans="1:36" x14ac:dyDescent="0.2">
      <c r="A32" s="53"/>
      <c r="B32" s="52" t="s">
        <v>62</v>
      </c>
      <c r="C32" s="51" t="str">
        <f t="shared" si="4"/>
        <v>6L</v>
      </c>
      <c r="D32" s="50" t="str">
        <f t="shared" si="5"/>
        <v>3L</v>
      </c>
      <c r="E32" s="49" t="str">
        <f t="shared" si="0"/>
        <v>USD6L3L24Y_Quote</v>
      </c>
      <c r="F32" s="49" t="str">
        <f>_xll.qlSimpleQuote(E32,,RateTickValue,Permanent,Trigger,ObjectOverwrite)</f>
        <v>USD6L3L24Y_Quote#0000</v>
      </c>
      <c r="G32" s="48" t="str">
        <f>_xll.ohRangeRetrieveError(F32)</f>
        <v/>
      </c>
      <c r="H32" s="47"/>
      <c r="N32" s="96">
        <v>24</v>
      </c>
      <c r="O32" s="205" t="s">
        <v>62</v>
      </c>
      <c r="P32" s="254" t="str">
        <v>6L</v>
      </c>
      <c r="Q32" s="254" t="str">
        <v>3L</v>
      </c>
      <c r="R32" s="252" t="str">
        <f t="shared" si="1"/>
        <v>USD6L3L24Y</v>
      </c>
      <c r="S32" s="204" t="str">
        <v>USD6L3L24Y=ICAP</v>
      </c>
      <c r="T32" s="324" t="s">
        <v>213</v>
      </c>
      <c r="U32" s="324" t="s">
        <v>213</v>
      </c>
      <c r="V32" s="324" t="e">
        <f>_xll.qlMidEquivalent(T32,U32)</f>
        <v>#NUM!</v>
      </c>
      <c r="W32" s="199" t="b">
        <f t="shared" si="2"/>
        <v>0</v>
      </c>
      <c r="X32" s="325">
        <v>10.208181294219855</v>
      </c>
      <c r="Y32" s="201"/>
      <c r="Z32" s="322">
        <v>10.208181294219855</v>
      </c>
      <c r="AA32" s="201"/>
      <c r="AB32" s="433">
        <v>10.208181294219855</v>
      </c>
      <c r="AC32" s="198">
        <f>_xll.qlSimpleQuoteSetValue(F32,AB32/10000,Trigger)</f>
        <v>-5.5368687065793232E-13</v>
      </c>
      <c r="AD32" s="169"/>
      <c r="AE32" s="13"/>
      <c r="AF32" s="13"/>
      <c r="AG32" s="13"/>
      <c r="AH32" s="13"/>
      <c r="AI32" s="13" t="str">
        <f t="shared" si="3"/>
        <v>24Y</v>
      </c>
      <c r="AJ32" s="318" t="e">
        <f>((Swap6M!AB32-Swap3M!AB32)*100-AB32)/10000</f>
        <v>#NUM!</v>
      </c>
    </row>
    <row r="33" spans="1:36" x14ac:dyDescent="0.2">
      <c r="A33" s="53"/>
      <c r="B33" s="52" t="s">
        <v>61</v>
      </c>
      <c r="C33" s="51" t="str">
        <f t="shared" si="4"/>
        <v>6L</v>
      </c>
      <c r="D33" s="50" t="str">
        <f t="shared" si="5"/>
        <v>3L</v>
      </c>
      <c r="E33" s="49" t="str">
        <f t="shared" si="0"/>
        <v>USD6L3L25Y_Quote</v>
      </c>
      <c r="F33" s="49" t="str">
        <f>_xll.qlSimpleQuote(E33,,RateTickValue,Permanent,Trigger,ObjectOverwrite)</f>
        <v>USD6L3L25Y_Quote#0000</v>
      </c>
      <c r="G33" s="48" t="str">
        <f>_xll.ohRangeRetrieveError(F33)</f>
        <v/>
      </c>
      <c r="H33" s="47"/>
      <c r="N33" s="96">
        <v>25</v>
      </c>
      <c r="O33" s="205" t="s">
        <v>61</v>
      </c>
      <c r="P33" s="254" t="str">
        <v>6L</v>
      </c>
      <c r="Q33" s="254" t="str">
        <v>3L</v>
      </c>
      <c r="R33" s="252" t="str">
        <f t="shared" si="1"/>
        <v>USD6L3L25Y</v>
      </c>
      <c r="S33" s="204" t="str">
        <v>USD6L3L25Y=ICAP</v>
      </c>
      <c r="T33" s="324">
        <v>10.199999999999999</v>
      </c>
      <c r="U33" s="324">
        <v>0</v>
      </c>
      <c r="V33" s="324">
        <f>_xll.qlMidEquivalent(T33,U33)</f>
        <v>10.199999999999999</v>
      </c>
      <c r="W33" s="199" t="b">
        <f t="shared" si="2"/>
        <v>1</v>
      </c>
      <c r="X33" s="325">
        <v>10.199999999999999</v>
      </c>
      <c r="Y33" s="201"/>
      <c r="Z33" s="322">
        <v>10.199999999999999</v>
      </c>
      <c r="AA33" s="201"/>
      <c r="AB33" s="433">
        <v>10.199999999999999</v>
      </c>
      <c r="AC33" s="198">
        <f>_xll.qlSimpleQuoteSetValue(F33,AB33/10000,Trigger)</f>
        <v>0</v>
      </c>
      <c r="AD33" s="169"/>
      <c r="AE33" s="13"/>
      <c r="AF33" s="13"/>
      <c r="AG33" s="13"/>
      <c r="AH33" s="13"/>
      <c r="AI33" s="13" t="str">
        <f t="shared" si="3"/>
        <v>25Y</v>
      </c>
      <c r="AJ33" s="318" t="e">
        <f>((Swap6M!AB33-Swap3M!AB33)*100-AB33)/10000</f>
        <v>#NUM!</v>
      </c>
    </row>
    <row r="34" spans="1:36" x14ac:dyDescent="0.2">
      <c r="A34" s="53"/>
      <c r="B34" s="52" t="s">
        <v>60</v>
      </c>
      <c r="C34" s="51" t="str">
        <f t="shared" si="4"/>
        <v>6L</v>
      </c>
      <c r="D34" s="50" t="str">
        <f t="shared" si="5"/>
        <v>3L</v>
      </c>
      <c r="E34" s="49" t="str">
        <f t="shared" si="0"/>
        <v>USD6L3L26Y_Quote</v>
      </c>
      <c r="F34" s="49" t="str">
        <f>_xll.qlSimpleQuote(E34,,RateTickValue,Permanent,Trigger,ObjectOverwrite)</f>
        <v>USD6L3L26Y_Quote#0000</v>
      </c>
      <c r="G34" s="48" t="str">
        <f>_xll.ohRangeRetrieveError(F34)</f>
        <v/>
      </c>
      <c r="H34" s="47"/>
      <c r="N34" s="96">
        <v>26</v>
      </c>
      <c r="O34" s="205" t="s">
        <v>60</v>
      </c>
      <c r="P34" s="254" t="str">
        <v>6L</v>
      </c>
      <c r="Q34" s="254" t="str">
        <v>3L</v>
      </c>
      <c r="R34" s="252" t="str">
        <f t="shared" si="1"/>
        <v>USD6L3L26Y</v>
      </c>
      <c r="S34" s="204" t="str">
        <v>USD6L3L26Y=ICAP</v>
      </c>
      <c r="T34" s="324" t="s">
        <v>213</v>
      </c>
      <c r="U34" s="324" t="s">
        <v>213</v>
      </c>
      <c r="V34" s="324" t="e">
        <f>_xll.qlMidEquivalent(T34,U34)</f>
        <v>#NUM!</v>
      </c>
      <c r="W34" s="199" t="b">
        <f t="shared" si="2"/>
        <v>0</v>
      </c>
      <c r="X34" s="325">
        <v>10.199999999999999</v>
      </c>
      <c r="Y34" s="201"/>
      <c r="Z34" s="322">
        <v>10.199999999999999</v>
      </c>
      <c r="AA34" s="201"/>
      <c r="AB34" s="433">
        <v>10.199999999999999</v>
      </c>
      <c r="AC34" s="198">
        <f>_xll.qlSimpleQuoteSetValue(F34,AB34/10000,Trigger)</f>
        <v>0</v>
      </c>
      <c r="AD34" s="169"/>
      <c r="AE34" s="13"/>
      <c r="AF34" s="13"/>
      <c r="AG34" s="13"/>
      <c r="AH34" s="13"/>
      <c r="AI34" s="13" t="str">
        <f t="shared" si="3"/>
        <v>26Y</v>
      </c>
      <c r="AJ34" s="318" t="e">
        <f>((Swap6M!AB34-Swap3M!AB34)*100-AB34)/10000</f>
        <v>#NUM!</v>
      </c>
    </row>
    <row r="35" spans="1:36" x14ac:dyDescent="0.2">
      <c r="A35" s="53"/>
      <c r="B35" s="52" t="s">
        <v>59</v>
      </c>
      <c r="C35" s="51" t="str">
        <f t="shared" si="4"/>
        <v>6L</v>
      </c>
      <c r="D35" s="50" t="str">
        <f t="shared" si="5"/>
        <v>3L</v>
      </c>
      <c r="E35" s="49" t="str">
        <f t="shared" si="0"/>
        <v>USD6L3L27Y_Quote</v>
      </c>
      <c r="F35" s="49" t="str">
        <f>_xll.qlSimpleQuote(E35,,RateTickValue,Permanent,Trigger,ObjectOverwrite)</f>
        <v>USD6L3L27Y_Quote#0000</v>
      </c>
      <c r="G35" s="48" t="str">
        <f>_xll.ohRangeRetrieveError(F35)</f>
        <v/>
      </c>
      <c r="H35" s="47"/>
      <c r="N35" s="96">
        <v>27</v>
      </c>
      <c r="O35" s="205" t="s">
        <v>59</v>
      </c>
      <c r="P35" s="254" t="str">
        <v>6L</v>
      </c>
      <c r="Q35" s="254" t="str">
        <v>3L</v>
      </c>
      <c r="R35" s="252" t="str">
        <f t="shared" si="1"/>
        <v>USD6L3L27Y</v>
      </c>
      <c r="S35" s="204" t="str">
        <v>USD6L3L27Y=ICAP</v>
      </c>
      <c r="T35" s="324" t="s">
        <v>213</v>
      </c>
      <c r="U35" s="324" t="s">
        <v>213</v>
      </c>
      <c r="V35" s="324" t="e">
        <f>_xll.qlMidEquivalent(T35,U35)</f>
        <v>#NUM!</v>
      </c>
      <c r="W35" s="199" t="b">
        <f t="shared" si="2"/>
        <v>0</v>
      </c>
      <c r="X35" s="325">
        <v>10.199999999999999</v>
      </c>
      <c r="Y35" s="201"/>
      <c r="Z35" s="322">
        <v>10.199999999999999</v>
      </c>
      <c r="AA35" s="201"/>
      <c r="AB35" s="433">
        <v>10.199999999999999</v>
      </c>
      <c r="AC35" s="198">
        <f>_xll.qlSimpleQuoteSetValue(F35,AB35/10000,Trigger)</f>
        <v>0</v>
      </c>
      <c r="AD35" s="169"/>
      <c r="AE35" s="13"/>
      <c r="AF35" s="13"/>
      <c r="AG35" s="13"/>
      <c r="AH35" s="13"/>
      <c r="AI35" s="13" t="str">
        <f t="shared" si="3"/>
        <v>27Y</v>
      </c>
      <c r="AJ35" s="318" t="e">
        <f>((Swap6M!AB35-Swap3M!AB35)*100-AB35)/10000</f>
        <v>#NUM!</v>
      </c>
    </row>
    <row r="36" spans="1:36" x14ac:dyDescent="0.2">
      <c r="A36" s="53"/>
      <c r="B36" s="52" t="s">
        <v>58</v>
      </c>
      <c r="C36" s="51" t="str">
        <f t="shared" si="4"/>
        <v>6L</v>
      </c>
      <c r="D36" s="50" t="str">
        <f t="shared" si="5"/>
        <v>3L</v>
      </c>
      <c r="E36" s="49" t="str">
        <f t="shared" si="0"/>
        <v>USD6L3L28Y_Quote</v>
      </c>
      <c r="F36" s="49" t="str">
        <f>_xll.qlSimpleQuote(E36,,RateTickValue,Permanent,Trigger,ObjectOverwrite)</f>
        <v>USD6L3L28Y_Quote#0000</v>
      </c>
      <c r="G36" s="48" t="str">
        <f>_xll.ohRangeRetrieveError(F36)</f>
        <v/>
      </c>
      <c r="H36" s="47"/>
      <c r="N36" s="96">
        <v>28</v>
      </c>
      <c r="O36" s="205" t="s">
        <v>58</v>
      </c>
      <c r="P36" s="254" t="str">
        <v>6L</v>
      </c>
      <c r="Q36" s="254" t="str">
        <v>3L</v>
      </c>
      <c r="R36" s="252" t="str">
        <f t="shared" si="1"/>
        <v>USD6L3L28Y</v>
      </c>
      <c r="S36" s="204" t="str">
        <v>USD6L3L28Y=ICAP</v>
      </c>
      <c r="T36" s="324" t="s">
        <v>213</v>
      </c>
      <c r="U36" s="324" t="s">
        <v>213</v>
      </c>
      <c r="V36" s="324" t="e">
        <f>_xll.qlMidEquivalent(T36,U36)</f>
        <v>#NUM!</v>
      </c>
      <c r="W36" s="199" t="b">
        <f t="shared" si="2"/>
        <v>0</v>
      </c>
      <c r="X36" s="325">
        <v>10.199999999999999</v>
      </c>
      <c r="Y36" s="201"/>
      <c r="Z36" s="322">
        <v>10.199999999999999</v>
      </c>
      <c r="AA36" s="201"/>
      <c r="AB36" s="433">
        <v>10.199999999999999</v>
      </c>
      <c r="AC36" s="198">
        <f>_xll.qlSimpleQuoteSetValue(F36,AB36/10000,Trigger)</f>
        <v>0</v>
      </c>
      <c r="AD36" s="169"/>
      <c r="AE36" s="13"/>
      <c r="AF36" s="13"/>
      <c r="AG36" s="13"/>
      <c r="AH36" s="13"/>
      <c r="AI36" s="13" t="str">
        <f t="shared" si="3"/>
        <v>28Y</v>
      </c>
      <c r="AJ36" s="318" t="e">
        <f>((Swap6M!AB36-Swap3M!AB36)*100-AB36)/10000</f>
        <v>#NUM!</v>
      </c>
    </row>
    <row r="37" spans="1:36" x14ac:dyDescent="0.2">
      <c r="A37" s="53"/>
      <c r="B37" s="52" t="s">
        <v>57</v>
      </c>
      <c r="C37" s="51" t="str">
        <f t="shared" si="4"/>
        <v>6L</v>
      </c>
      <c r="D37" s="50" t="str">
        <f t="shared" si="5"/>
        <v>3L</v>
      </c>
      <c r="E37" s="49" t="str">
        <f t="shared" si="0"/>
        <v>USD6L3L29Y_Quote</v>
      </c>
      <c r="F37" s="49" t="str">
        <f>_xll.qlSimpleQuote(E37,,RateTickValue,Permanent,Trigger,ObjectOverwrite)</f>
        <v>USD6L3L29Y_Quote#0000</v>
      </c>
      <c r="G37" s="48" t="str">
        <f>_xll.ohRangeRetrieveError(F37)</f>
        <v/>
      </c>
      <c r="H37" s="47"/>
      <c r="N37" s="96">
        <v>29</v>
      </c>
      <c r="O37" s="205" t="s">
        <v>57</v>
      </c>
      <c r="P37" s="254" t="str">
        <v>6L</v>
      </c>
      <c r="Q37" s="254" t="str">
        <v>3L</v>
      </c>
      <c r="R37" s="252" t="str">
        <f t="shared" si="1"/>
        <v>USD6L3L29Y</v>
      </c>
      <c r="S37" s="204" t="str">
        <v>USD6L3L29Y=ICAP</v>
      </c>
      <c r="T37" s="324" t="s">
        <v>213</v>
      </c>
      <c r="U37" s="324" t="s">
        <v>213</v>
      </c>
      <c r="V37" s="324" t="e">
        <f>_xll.qlMidEquivalent(T37,U37)</f>
        <v>#NUM!</v>
      </c>
      <c r="W37" s="199" t="b">
        <f t="shared" si="2"/>
        <v>0</v>
      </c>
      <c r="X37" s="325">
        <v>10.199999999999999</v>
      </c>
      <c r="Y37" s="201"/>
      <c r="Z37" s="322">
        <v>10.199999999999999</v>
      </c>
      <c r="AA37" s="201"/>
      <c r="AB37" s="433">
        <v>10.199999999999999</v>
      </c>
      <c r="AC37" s="198">
        <f>_xll.qlSimpleQuoteSetValue(F37,AB37/10000,Trigger)</f>
        <v>0</v>
      </c>
      <c r="AD37" s="169"/>
      <c r="AE37" s="13"/>
      <c r="AF37" s="13"/>
      <c r="AG37" s="13"/>
      <c r="AH37" s="13"/>
      <c r="AI37" s="13" t="str">
        <f t="shared" si="3"/>
        <v>29Y</v>
      </c>
      <c r="AJ37" s="318" t="e">
        <f>((Swap6M!AB37-Swap3M!AB37)*100-AB37)/10000</f>
        <v>#NUM!</v>
      </c>
    </row>
    <row r="38" spans="1:36" x14ac:dyDescent="0.2">
      <c r="A38" s="53"/>
      <c r="B38" s="52" t="s">
        <v>56</v>
      </c>
      <c r="C38" s="51" t="str">
        <f t="shared" si="4"/>
        <v>6L</v>
      </c>
      <c r="D38" s="50" t="str">
        <f t="shared" si="5"/>
        <v>3L</v>
      </c>
      <c r="E38" s="49" t="str">
        <f t="shared" si="0"/>
        <v>USD6L3L30Y_Quote</v>
      </c>
      <c r="F38" s="49" t="str">
        <f>_xll.qlSimpleQuote(E38,,RateTickValue,Permanent,Trigger,ObjectOverwrite)</f>
        <v>USD6L3L30Y_Quote#0000</v>
      </c>
      <c r="G38" s="48" t="str">
        <f>_xll.ohRangeRetrieveError(F38)</f>
        <v/>
      </c>
      <c r="H38" s="47"/>
      <c r="N38" s="96">
        <v>30</v>
      </c>
      <c r="O38" s="205" t="s">
        <v>56</v>
      </c>
      <c r="P38" s="254" t="str">
        <v>6L</v>
      </c>
      <c r="Q38" s="254" t="str">
        <v>3L</v>
      </c>
      <c r="R38" s="252" t="str">
        <f t="shared" si="1"/>
        <v>USD6L3L30Y</v>
      </c>
      <c r="S38" s="204" t="str">
        <v>USD6L3L30Y=ICAP</v>
      </c>
      <c r="T38" s="324">
        <v>10.199999999999999</v>
      </c>
      <c r="U38" s="324">
        <v>0</v>
      </c>
      <c r="V38" s="324">
        <f>_xll.qlMidEquivalent(T38,U38)</f>
        <v>10.199999999999999</v>
      </c>
      <c r="W38" s="199" t="b">
        <f t="shared" si="2"/>
        <v>1</v>
      </c>
      <c r="X38" s="325">
        <v>10.199999999999999</v>
      </c>
      <c r="Y38" s="201"/>
      <c r="Z38" s="322">
        <v>10.199999999999999</v>
      </c>
      <c r="AA38" s="201"/>
      <c r="AB38" s="433">
        <v>10.199999999999999</v>
      </c>
      <c r="AC38" s="198">
        <f>_xll.qlSimpleQuoteSetValue(F38,AB38/10000,Trigger)</f>
        <v>0</v>
      </c>
      <c r="AD38" s="169"/>
      <c r="AE38" s="13"/>
      <c r="AF38" s="13"/>
      <c r="AG38" s="13"/>
      <c r="AH38" s="13"/>
      <c r="AI38" s="13" t="str">
        <f t="shared" si="3"/>
        <v>30Y</v>
      </c>
      <c r="AJ38" s="318" t="e">
        <f>((Swap6M!AB38-Swap3M!AB38)*100-AB38)/10000</f>
        <v>#NUM!</v>
      </c>
    </row>
    <row r="39" spans="1:36" x14ac:dyDescent="0.2">
      <c r="A39" s="53"/>
      <c r="B39" s="52" t="s">
        <v>51</v>
      </c>
      <c r="C39" s="51" t="str">
        <f t="shared" si="4"/>
        <v>6L</v>
      </c>
      <c r="D39" s="50" t="str">
        <f t="shared" si="5"/>
        <v>3L</v>
      </c>
      <c r="E39" s="49" t="str">
        <f t="shared" si="0"/>
        <v>USD6L3L35Y_Quote</v>
      </c>
      <c r="F39" s="49" t="str">
        <f>_xll.qlSimpleQuote(E39,,RateTickValue,Permanent,Trigger,ObjectOverwrite)</f>
        <v>USD6L3L35Y_Quote#0000</v>
      </c>
      <c r="G39" s="48" t="str">
        <f>_xll.ohRangeRetrieveError(F39)</f>
        <v/>
      </c>
      <c r="H39" s="47"/>
      <c r="N39" s="96">
        <v>35</v>
      </c>
      <c r="O39" s="205" t="s">
        <v>51</v>
      </c>
      <c r="P39" s="254" t="str">
        <v>6L</v>
      </c>
      <c r="Q39" s="254" t="str">
        <v>3L</v>
      </c>
      <c r="R39" s="252" t="str">
        <f t="shared" si="1"/>
        <v>USD6L3L35Y</v>
      </c>
      <c r="S39" s="204" t="str">
        <v>USD6L3L35Y=ICAP</v>
      </c>
      <c r="T39" s="324" t="s">
        <v>213</v>
      </c>
      <c r="U39" s="324" t="s">
        <v>213</v>
      </c>
      <c r="V39" s="324" t="e">
        <f>_xll.qlMidEquivalent(T39,U39)</f>
        <v>#NUM!</v>
      </c>
      <c r="W39" s="199" t="b">
        <f t="shared" si="2"/>
        <v>0</v>
      </c>
      <c r="X39" s="323">
        <f>X38</f>
        <v>10.199999999999999</v>
      </c>
      <c r="Y39" s="201"/>
      <c r="Z39" s="322">
        <v>10.199999999999999</v>
      </c>
      <c r="AA39" s="201"/>
      <c r="AB39" s="433">
        <v>10.199999999999999</v>
      </c>
      <c r="AC39" s="198">
        <f>_xll.qlSimpleQuoteSetValue(F39,AB39/10000,Trigger)</f>
        <v>0</v>
      </c>
      <c r="AD39" s="169"/>
      <c r="AE39" s="13"/>
      <c r="AF39" s="13"/>
      <c r="AG39" s="13"/>
      <c r="AH39" s="13"/>
      <c r="AI39" s="13" t="str">
        <f t="shared" si="3"/>
        <v>35Y</v>
      </c>
      <c r="AJ39" s="318" t="e">
        <f>((Swap6M!AB39-Swap3M!AB39)*100-AB39)/10000</f>
        <v>#NUM!</v>
      </c>
    </row>
    <row r="40" spans="1:36" x14ac:dyDescent="0.2">
      <c r="A40" s="53"/>
      <c r="B40" s="52" t="s">
        <v>46</v>
      </c>
      <c r="C40" s="51" t="str">
        <f t="shared" si="4"/>
        <v>6L</v>
      </c>
      <c r="D40" s="50" t="str">
        <f t="shared" si="5"/>
        <v>3L</v>
      </c>
      <c r="E40" s="49" t="str">
        <f t="shared" si="0"/>
        <v>USD6L3L40Y_Quote</v>
      </c>
      <c r="F40" s="49" t="str">
        <f>_xll.qlSimpleQuote(E40,,RateTickValue,Permanent,Trigger,ObjectOverwrite)</f>
        <v>USD6L3L40Y_Quote#0000</v>
      </c>
      <c r="G40" s="48" t="str">
        <f>_xll.ohRangeRetrieveError(F40)</f>
        <v/>
      </c>
      <c r="H40" s="47"/>
      <c r="N40" s="96">
        <v>40</v>
      </c>
      <c r="O40" s="205" t="s">
        <v>46</v>
      </c>
      <c r="P40" s="254" t="str">
        <v>6L</v>
      </c>
      <c r="Q40" s="254" t="str">
        <v>3L</v>
      </c>
      <c r="R40" s="252" t="str">
        <f t="shared" si="1"/>
        <v>USD6L3L40Y</v>
      </c>
      <c r="S40" s="204" t="str">
        <v>USD6L3L40Y=ICAP</v>
      </c>
      <c r="T40" s="324" t="s">
        <v>213</v>
      </c>
      <c r="U40" s="324" t="s">
        <v>213</v>
      </c>
      <c r="V40" s="324" t="e">
        <f>_xll.qlMidEquivalent(T40,U40)</f>
        <v>#NUM!</v>
      </c>
      <c r="W40" s="199" t="b">
        <f t="shared" si="2"/>
        <v>0</v>
      </c>
      <c r="X40" s="323">
        <f>X39</f>
        <v>10.199999999999999</v>
      </c>
      <c r="Y40" s="201"/>
      <c r="Z40" s="322">
        <v>10.199999999999999</v>
      </c>
      <c r="AA40" s="201"/>
      <c r="AB40" s="433">
        <v>10.199999999999999</v>
      </c>
      <c r="AC40" s="198">
        <f>_xll.qlSimpleQuoteSetValue(F40,AB40/10000,Trigger)</f>
        <v>0</v>
      </c>
      <c r="AD40" s="169"/>
      <c r="AE40" s="13"/>
      <c r="AF40" s="13"/>
      <c r="AG40" s="13"/>
      <c r="AH40" s="13"/>
      <c r="AI40" s="13" t="str">
        <f t="shared" si="3"/>
        <v>40Y</v>
      </c>
      <c r="AJ40" s="318" t="e">
        <f>((Swap6M!AB40-Swap3M!AB40)*100-AB40)/10000</f>
        <v>#NUM!</v>
      </c>
    </row>
    <row r="41" spans="1:36" x14ac:dyDescent="0.2">
      <c r="A41" s="53"/>
      <c r="B41" s="52" t="s">
        <v>36</v>
      </c>
      <c r="C41" s="51" t="str">
        <f t="shared" si="4"/>
        <v>6L</v>
      </c>
      <c r="D41" s="50" t="str">
        <f t="shared" si="5"/>
        <v>3L</v>
      </c>
      <c r="E41" s="49" t="str">
        <f t="shared" si="0"/>
        <v>USD6L3L50Y_Quote</v>
      </c>
      <c r="F41" s="49" t="str">
        <f>_xll.qlSimpleQuote(E41,,RateTickValue,Permanent,Trigger,ObjectOverwrite)</f>
        <v>USD6L3L50Y_Quote#0000</v>
      </c>
      <c r="G41" s="48" t="str">
        <f>_xll.ohRangeRetrieveError(F41)</f>
        <v/>
      </c>
      <c r="H41" s="47"/>
      <c r="N41" s="96">
        <v>50</v>
      </c>
      <c r="O41" s="205" t="s">
        <v>36</v>
      </c>
      <c r="P41" s="254" t="str">
        <v>6L</v>
      </c>
      <c r="Q41" s="254" t="str">
        <v>3L</v>
      </c>
      <c r="R41" s="252" t="str">
        <f t="shared" si="1"/>
        <v>USD6L3L50Y</v>
      </c>
      <c r="S41" s="204" t="str">
        <v>USD6L3L50Y=ICAP</v>
      </c>
      <c r="T41" s="324" t="s">
        <v>213</v>
      </c>
      <c r="U41" s="324" t="s">
        <v>213</v>
      </c>
      <c r="V41" s="324" t="e">
        <f>_xll.qlMidEquivalent(T41,U41)</f>
        <v>#NUM!</v>
      </c>
      <c r="W41" s="199" t="b">
        <f t="shared" si="2"/>
        <v>0</v>
      </c>
      <c r="X41" s="323">
        <f>X40</f>
        <v>10.199999999999999</v>
      </c>
      <c r="Y41" s="201"/>
      <c r="Z41" s="322">
        <v>10.199999999999999</v>
      </c>
      <c r="AA41" s="201"/>
      <c r="AB41" s="433">
        <v>10.199999999999999</v>
      </c>
      <c r="AC41" s="198">
        <f>_xll.qlSimpleQuoteSetValue(F41,AB41/10000,Trigger)</f>
        <v>0</v>
      </c>
      <c r="AD41" s="169"/>
      <c r="AE41" s="13"/>
      <c r="AF41" s="13"/>
      <c r="AG41" s="13"/>
      <c r="AH41" s="13"/>
      <c r="AI41" s="13" t="str">
        <f t="shared" si="3"/>
        <v>50Y</v>
      </c>
      <c r="AJ41" s="318" t="e">
        <f>((Swap6M!AB41-Swap3M!AB41)*100-AB41)/10000</f>
        <v>#NUM!</v>
      </c>
    </row>
    <row r="42" spans="1:36" x14ac:dyDescent="0.2">
      <c r="A42" s="53"/>
      <c r="B42" s="52" t="s">
        <v>26</v>
      </c>
      <c r="C42" s="51" t="str">
        <f t="shared" si="4"/>
        <v>6L</v>
      </c>
      <c r="D42" s="50" t="str">
        <f t="shared" si="5"/>
        <v>3L</v>
      </c>
      <c r="E42" s="49" t="str">
        <f t="shared" si="0"/>
        <v>USD6L3L60Y_Quote</v>
      </c>
      <c r="F42" s="49" t="str">
        <f>_xll.qlSimpleQuote(E42,,RateTickValue,Permanent,Trigger,ObjectOverwrite)</f>
        <v>USD6L3L60Y_Quote#0000</v>
      </c>
      <c r="G42" s="48" t="str">
        <f>_xll.ohRangeRetrieveError(F42)</f>
        <v/>
      </c>
      <c r="H42" s="47"/>
      <c r="N42" s="96">
        <v>60</v>
      </c>
      <c r="O42" s="217" t="s">
        <v>26</v>
      </c>
      <c r="P42" s="249" t="str">
        <v>6L</v>
      </c>
      <c r="Q42" s="249" t="str">
        <v>3L</v>
      </c>
      <c r="R42" s="252" t="str">
        <f t="shared" si="1"/>
        <v>USD6L3L60Y</v>
      </c>
      <c r="S42" s="216" t="str">
        <v>USD6L3L60Y=ICAP</v>
      </c>
      <c r="T42" s="321" t="s">
        <v>213</v>
      </c>
      <c r="U42" s="321" t="s">
        <v>213</v>
      </c>
      <c r="V42" s="321" t="e">
        <f>_xll.qlMidEquivalent(T42,U42)</f>
        <v>#NUM!</v>
      </c>
      <c r="W42" s="212" t="b">
        <f t="shared" si="2"/>
        <v>0</v>
      </c>
      <c r="X42" s="320">
        <f>X41</f>
        <v>10.199999999999999</v>
      </c>
      <c r="Y42" s="201"/>
      <c r="Z42" s="319">
        <v>10.199999999999999</v>
      </c>
      <c r="AA42" s="201"/>
      <c r="AB42" s="434">
        <v>10.199999999999999</v>
      </c>
      <c r="AC42" s="211">
        <f>_xll.qlSimpleQuoteSetValue(F42,AB42/10000,Trigger)</f>
        <v>0</v>
      </c>
      <c r="AD42" s="169"/>
      <c r="AE42" s="13"/>
      <c r="AF42" s="13"/>
      <c r="AG42" s="13"/>
      <c r="AH42" s="13"/>
      <c r="AI42" s="13" t="str">
        <f t="shared" si="3"/>
        <v>60Y</v>
      </c>
      <c r="AJ42" s="318" t="e">
        <f>((Swap6M!AB42-Swap3M!AB42)*100-AB42)/10000</f>
        <v>#NUM!</v>
      </c>
    </row>
    <row r="43" spans="1:36" ht="13.5" thickBot="1" x14ac:dyDescent="0.25">
      <c r="A43" s="46"/>
      <c r="B43" s="45"/>
      <c r="C43" s="45"/>
      <c r="D43" s="45"/>
      <c r="E43" s="45"/>
      <c r="F43" s="44"/>
      <c r="G43" s="44"/>
      <c r="H43" s="43"/>
      <c r="N43" s="22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7"/>
      <c r="AE43" s="13"/>
      <c r="AF43" s="13"/>
      <c r="AG43" s="13"/>
      <c r="AH43" s="13"/>
      <c r="AI43" s="13"/>
      <c r="AJ43" s="13"/>
    </row>
  </sheetData>
  <conditionalFormatting sqref="AC5:AC42">
    <cfRule type="cellIs" dxfId="29" priority="1" stopIfTrue="1" operator="greaterThan">
      <formula>0</formula>
    </cfRule>
    <cfRule type="cellIs" dxfId="28" priority="2" stopIfTrue="1" operator="lessThan">
      <formula>0</formula>
    </cfRule>
  </conditionalFormatting>
  <dataValidations count="2">
    <dataValidation type="list" allowBlank="1" showInputMessage="1" showErrorMessage="1" sqref="S43">
      <formula1>"FirstDerivative,SecondDerivative,Lagrange,NotAKnot,Periodic"</formula1>
    </dataValidation>
    <dataValidation type="list" showInputMessage="1" showErrorMessage="1" sqref="S2">
      <formula1>Contributors</formula1>
    </dataValidation>
  </dataValidations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H43"/>
  <sheetViews>
    <sheetView workbookViewId="0"/>
  </sheetViews>
  <sheetFormatPr defaultRowHeight="12.75" x14ac:dyDescent="0.2"/>
  <cols>
    <col min="1" max="1" width="2.7109375" style="12" customWidth="1"/>
    <col min="2" max="2" width="6.5703125" style="12" bestFit="1" customWidth="1"/>
    <col min="3" max="3" width="3.5703125" style="12" bestFit="1" customWidth="1"/>
    <col min="4" max="4" width="2.7109375" style="12" bestFit="1" customWidth="1"/>
    <col min="5" max="5" width="18.7109375" style="12" bestFit="1" customWidth="1"/>
    <col min="6" max="6" width="20.5703125" style="12" bestFit="1" customWidth="1"/>
    <col min="7" max="7" width="34.42578125" style="12" customWidth="1"/>
    <col min="8" max="9" width="2.7109375" style="12" customWidth="1"/>
    <col min="10" max="10" width="4" style="12" bestFit="1" customWidth="1"/>
    <col min="11" max="11" width="3.5703125" style="12" customWidth="1"/>
    <col min="12" max="12" width="3.5703125" style="12" bestFit="1" customWidth="1"/>
    <col min="13" max="13" width="2.7109375" style="12" customWidth="1"/>
    <col min="14" max="24" width="9.140625" style="12"/>
    <col min="25" max="25" width="2.7109375" style="12" customWidth="1"/>
    <col min="26" max="26" width="9.140625" style="12"/>
    <col min="27" max="27" width="2.7109375" style="12" customWidth="1"/>
    <col min="28" max="29" width="9.140625" style="12"/>
    <col min="30" max="31" width="2.7109375" style="12" customWidth="1"/>
    <col min="32" max="16384" width="9.140625" style="12"/>
  </cols>
  <sheetData>
    <row r="1" spans="1:34" x14ac:dyDescent="0.2">
      <c r="N1" s="265" t="s">
        <v>280</v>
      </c>
      <c r="O1" s="150"/>
      <c r="P1" s="150"/>
      <c r="Q1" s="150"/>
      <c r="R1" s="150"/>
      <c r="S1" s="150"/>
      <c r="T1" s="150"/>
      <c r="U1" s="150"/>
      <c r="V1" s="150"/>
      <c r="W1" s="150"/>
      <c r="X1" s="150"/>
      <c r="Y1" s="150"/>
      <c r="Z1" s="150"/>
      <c r="AA1" s="150"/>
      <c r="AB1" s="150"/>
      <c r="AC1" s="150"/>
      <c r="AD1" s="147"/>
      <c r="AE1" s="13"/>
      <c r="AF1" s="13"/>
      <c r="AG1" s="13"/>
      <c r="AH1" s="13"/>
    </row>
    <row r="2" spans="1:34" x14ac:dyDescent="0.2">
      <c r="N2" s="234"/>
      <c r="O2" s="111"/>
      <c r="P2" s="201"/>
      <c r="Q2" s="201"/>
      <c r="R2" s="201"/>
      <c r="S2" s="118" t="s">
        <v>214</v>
      </c>
      <c r="T2" s="201"/>
      <c r="U2" s="201"/>
      <c r="V2" s="201"/>
      <c r="W2" s="201"/>
      <c r="X2" s="111"/>
      <c r="Y2" s="201"/>
      <c r="Z2" s="201"/>
      <c r="AA2" s="201"/>
      <c r="AB2" s="201"/>
      <c r="AC2" s="111"/>
      <c r="AD2" s="23"/>
      <c r="AE2" s="13"/>
      <c r="AF2" s="13"/>
      <c r="AG2" s="13"/>
      <c r="AH2" s="13"/>
    </row>
    <row r="3" spans="1:34" x14ac:dyDescent="0.2">
      <c r="A3" s="76" t="s">
        <v>118</v>
      </c>
      <c r="B3" s="71"/>
      <c r="C3" s="71"/>
      <c r="D3" s="71"/>
      <c r="E3" s="72"/>
      <c r="F3" s="73"/>
      <c r="G3" s="72"/>
      <c r="H3" s="68"/>
      <c r="N3" s="96"/>
      <c r="O3" s="201"/>
      <c r="P3" s="111"/>
      <c r="Q3" s="111"/>
      <c r="R3" s="111"/>
      <c r="S3" s="111" t="str">
        <f>_xll.qlInterpolation(,InterpolationType,_xll.ohFilter(N5:N42,W5:W42),_xll.ohFilter(V5:V42,W5:W42))</f>
        <v>obj_0070a#0001</v>
      </c>
      <c r="T3" s="111"/>
      <c r="U3" s="111"/>
      <c r="V3" s="111"/>
      <c r="W3" s="111"/>
      <c r="X3" s="111"/>
      <c r="Y3" s="201"/>
      <c r="Z3" s="201"/>
      <c r="AA3" s="201"/>
      <c r="AB3" s="111"/>
      <c r="AC3" s="231">
        <f>_xll.ohTrigger(AC5:AC42)</f>
        <v>3</v>
      </c>
      <c r="AD3" s="169"/>
      <c r="AE3" s="13"/>
      <c r="AF3" s="13"/>
      <c r="AG3" s="13"/>
      <c r="AH3" s="13"/>
    </row>
    <row r="4" spans="1:34" ht="23.25" thickBot="1" x14ac:dyDescent="0.25">
      <c r="A4" s="53"/>
      <c r="B4" s="66" t="s">
        <v>109</v>
      </c>
      <c r="C4" s="67"/>
      <c r="D4" s="66"/>
      <c r="E4" s="65" t="str">
        <f>Currency&amp;"_010_Sw"&amp;$C$9&amp;$D$9&amp;".xml"</f>
        <v>USD_010_Sw12L3L.xml</v>
      </c>
      <c r="F4" s="64" t="str">
        <f>IF(Serialize,_xll.ohObjectSave(F5:F42,SerializationPath&amp;E4,FileOverwrite,Serialize),"---")</f>
        <v>---</v>
      </c>
      <c r="G4" s="48" t="str">
        <f>_xll.ohRangeRetrieveError(F4)</f>
        <v/>
      </c>
      <c r="H4" s="47"/>
      <c r="N4" s="96"/>
      <c r="O4" s="263"/>
      <c r="P4" s="145"/>
      <c r="Q4" s="145"/>
      <c r="R4" s="145"/>
      <c r="S4" s="196" t="str">
        <f>_xll.RData(S5:S42,T4:U4,"RTFEED:IDN",ReutersRtMode,,T5)</f>
        <v>Updated at 16:55:08</v>
      </c>
      <c r="T4" s="262" t="s">
        <v>201</v>
      </c>
      <c r="U4" s="262" t="s">
        <v>200</v>
      </c>
      <c r="V4" s="262" t="s">
        <v>257</v>
      </c>
      <c r="W4" s="262"/>
      <c r="X4" s="227" t="s">
        <v>256</v>
      </c>
      <c r="Y4" s="201"/>
      <c r="Z4" s="229" t="s">
        <v>231</v>
      </c>
      <c r="AA4" s="201"/>
      <c r="AB4" s="431" t="s">
        <v>229</v>
      </c>
      <c r="AC4" s="67" t="s">
        <v>228</v>
      </c>
      <c r="AD4" s="169"/>
      <c r="AE4" s="13"/>
      <c r="AF4" s="13"/>
      <c r="AG4" s="13"/>
      <c r="AH4" s="13"/>
    </row>
    <row r="5" spans="1:34" x14ac:dyDescent="0.2">
      <c r="A5" s="53"/>
      <c r="B5" s="63" t="s">
        <v>14</v>
      </c>
      <c r="C5" s="51" t="str">
        <f>VLOOKUP(Currency,$J$10:$L$14,2)</f>
        <v>12L</v>
      </c>
      <c r="D5" s="50" t="str">
        <f>VLOOKUP(Currency,$J$10:$L$14,3)</f>
        <v>3L</v>
      </c>
      <c r="E5" s="49" t="str">
        <f t="shared" ref="E5:E42" si="0">IF(ISBLANK(C5),"#",Currency&amp;$C5&amp;$D5&amp;$B5&amp;QuoteSuffix)</f>
        <v>USD12L3L6M_Quote</v>
      </c>
      <c r="F5" s="49" t="str">
        <f>_xll.qlSimpleQuote(E5,,RateTickValue,Permanent,Trigger,ObjectOverwrite)</f>
        <v>USD12L3L6M_Quote#0000</v>
      </c>
      <c r="G5" s="48" t="str">
        <f>_xll.ohRangeRetrieveError(F5)</f>
        <v/>
      </c>
      <c r="H5" s="47"/>
      <c r="N5" s="326">
        <v>0.5</v>
      </c>
      <c r="O5" s="205" t="s">
        <v>14</v>
      </c>
      <c r="P5" s="254" t="str">
        <f t="array" ref="P5:P42">VLOOKUP(Currency,Conventions,2)</f>
        <v>12L</v>
      </c>
      <c r="Q5" s="254" t="str">
        <f t="array" ref="Q5:Q42">VLOOKUP(Currency,Conventions,3)</f>
        <v>3L</v>
      </c>
      <c r="R5" s="252" t="str">
        <f t="shared" ref="R5:R42" si="1">Currency&amp;$P5&amp;$Q5&amp;$O5</f>
        <v>USD12L3L6M</v>
      </c>
      <c r="S5" s="204" t="str">
        <f t="array" ref="S5:S42">Instruments&amp;"="&amp;VLOOKUP(Contributor,ContributorTable,2,FALSE)</f>
        <v>USD12L3L6M=ICAP</v>
      </c>
      <c r="T5" s="324" t="s">
        <v>213</v>
      </c>
      <c r="U5" s="324" t="s">
        <v>213</v>
      </c>
      <c r="V5" s="324" t="e">
        <f>_xll.qlMidEquivalent(T5,U5)</f>
        <v>#NUM!</v>
      </c>
      <c r="W5" s="199" t="b">
        <f t="shared" ref="W5:W42" si="2">IF(ISNUMBER(V5),TRUE,FALSE)</f>
        <v>0</v>
      </c>
      <c r="X5" s="325" t="e">
        <f t="array" ref="X5:X38">_xll.qlInterpolationInterpolate(S3,N5:N42)</f>
        <v>#NUM!</v>
      </c>
      <c r="Y5" s="201"/>
      <c r="Z5" s="322" t="e">
        <v>#NUM!</v>
      </c>
      <c r="AA5" s="201"/>
      <c r="AB5" s="433" t="e">
        <f t="array" ref="AB5:AB42">QuoteLive</f>
        <v>#NUM!</v>
      </c>
      <c r="AC5" s="198" t="e">
        <f>_xll.qlSimpleQuoteSetValue(F5,AB5/10000,Trigger)</f>
        <v>#NUM!</v>
      </c>
      <c r="AD5" s="169"/>
      <c r="AE5" s="13"/>
      <c r="AF5" s="62" t="s">
        <v>105</v>
      </c>
      <c r="AG5" s="61" t="s">
        <v>99</v>
      </c>
      <c r="AH5" s="60" t="s">
        <v>111</v>
      </c>
    </row>
    <row r="6" spans="1:34" x14ac:dyDescent="0.2">
      <c r="A6" s="53"/>
      <c r="B6" s="63" t="s">
        <v>8</v>
      </c>
      <c r="C6" s="51" t="str">
        <f t="shared" ref="C6:C42" si="3">C5</f>
        <v>12L</v>
      </c>
      <c r="D6" s="50" t="str">
        <f t="shared" ref="D6:D42" si="4">D5</f>
        <v>3L</v>
      </c>
      <c r="E6" s="49" t="str">
        <f t="shared" si="0"/>
        <v>USD12L3L1Y_Quote</v>
      </c>
      <c r="F6" s="49" t="str">
        <f>_xll.qlSimpleQuote(E6,,RateTickValue,Permanent,Trigger,ObjectOverwrite)</f>
        <v>USD12L3L1Y_Quote#0000</v>
      </c>
      <c r="G6" s="48" t="str">
        <f>_xll.ohRangeRetrieveError(F6)</f>
        <v/>
      </c>
      <c r="H6" s="47"/>
      <c r="N6" s="326">
        <v>1</v>
      </c>
      <c r="O6" s="205" t="s">
        <v>8</v>
      </c>
      <c r="P6" s="254" t="str">
        <v>12L</v>
      </c>
      <c r="Q6" s="254" t="str">
        <v>3L</v>
      </c>
      <c r="R6" s="252" t="str">
        <f t="shared" si="1"/>
        <v>USD12L3L1Y</v>
      </c>
      <c r="S6" s="204" t="str">
        <v>USD12L3L1Y=ICAP</v>
      </c>
      <c r="T6" s="324">
        <v>28.3</v>
      </c>
      <c r="U6" s="324">
        <v>0</v>
      </c>
      <c r="V6" s="324">
        <f>_xll.qlMidEquivalent(T6,U6)</f>
        <v>28.3</v>
      </c>
      <c r="W6" s="199" t="b">
        <f t="shared" si="2"/>
        <v>1</v>
      </c>
      <c r="X6" s="325">
        <v>28.3</v>
      </c>
      <c r="Y6" s="201"/>
      <c r="Z6" s="322">
        <v>28.3</v>
      </c>
      <c r="AA6" s="201"/>
      <c r="AB6" s="433">
        <v>28.3</v>
      </c>
      <c r="AC6" s="198">
        <f>_xll.qlSimpleQuoteSetValue(F6,AB6/10000,Trigger)</f>
        <v>-9.9999999999995925E-6</v>
      </c>
      <c r="AD6" s="169"/>
      <c r="AE6" s="13"/>
      <c r="AF6" s="59" t="s">
        <v>104</v>
      </c>
      <c r="AG6" s="58" t="s">
        <v>102</v>
      </c>
      <c r="AH6" s="57" t="s">
        <v>112</v>
      </c>
    </row>
    <row r="7" spans="1:34" x14ac:dyDescent="0.2">
      <c r="A7" s="53"/>
      <c r="B7" s="63" t="s">
        <v>108</v>
      </c>
      <c r="C7" s="51" t="str">
        <f t="shared" si="3"/>
        <v>12L</v>
      </c>
      <c r="D7" s="50" t="str">
        <f t="shared" si="4"/>
        <v>3L</v>
      </c>
      <c r="E7" s="49" t="str">
        <f t="shared" si="0"/>
        <v>USD12L3L15M_Quote</v>
      </c>
      <c r="F7" s="49" t="str">
        <f>_xll.qlSimpleQuote(E7,,RateTickValue,Permanent,Trigger,ObjectOverwrite)</f>
        <v>USD12L3L15M_Quote#0000</v>
      </c>
      <c r="G7" s="48" t="str">
        <f>_xll.ohRangeRetrieveError(F7)</f>
        <v/>
      </c>
      <c r="H7" s="47"/>
      <c r="N7" s="326">
        <v>1.25</v>
      </c>
      <c r="O7" s="205" t="s">
        <v>108</v>
      </c>
      <c r="P7" s="254" t="str">
        <v>12L</v>
      </c>
      <c r="Q7" s="254" t="str">
        <v>3L</v>
      </c>
      <c r="R7" s="252" t="str">
        <f t="shared" si="1"/>
        <v>USD12L3L15M</v>
      </c>
      <c r="S7" s="204" t="str">
        <v>USD12L3L15M=ICAP</v>
      </c>
      <c r="T7" s="324" t="s">
        <v>213</v>
      </c>
      <c r="U7" s="324" t="s">
        <v>213</v>
      </c>
      <c r="V7" s="324" t="e">
        <f>_xll.qlMidEquivalent(T7,U7)</f>
        <v>#NUM!</v>
      </c>
      <c r="W7" s="199" t="b">
        <f t="shared" si="2"/>
        <v>0</v>
      </c>
      <c r="X7" s="325">
        <v>28.443878285283731</v>
      </c>
      <c r="Y7" s="201"/>
      <c r="Z7" s="322">
        <v>28.443878285283731</v>
      </c>
      <c r="AA7" s="201"/>
      <c r="AB7" s="433">
        <v>28.443878285283731</v>
      </c>
      <c r="AC7" s="198">
        <f>_xll.qlSimpleQuoteSetValue(F7,AB7/10000,Trigger)</f>
        <v>-5.857148199296322E-6</v>
      </c>
      <c r="AD7" s="169"/>
      <c r="AE7" s="13"/>
      <c r="AF7" s="59" t="s">
        <v>101</v>
      </c>
      <c r="AG7" s="58" t="s">
        <v>99</v>
      </c>
      <c r="AH7" s="57" t="s">
        <v>111</v>
      </c>
    </row>
    <row r="8" spans="1:34" x14ac:dyDescent="0.2">
      <c r="A8" s="53"/>
      <c r="B8" s="63" t="s">
        <v>107</v>
      </c>
      <c r="C8" s="51" t="str">
        <f t="shared" si="3"/>
        <v>12L</v>
      </c>
      <c r="D8" s="50" t="str">
        <f t="shared" si="4"/>
        <v>3L</v>
      </c>
      <c r="E8" s="49" t="str">
        <f t="shared" si="0"/>
        <v>USD12L3L18M_Quote</v>
      </c>
      <c r="F8" s="49" t="str">
        <f>_xll.qlSimpleQuote(E8,,RateTickValue,Permanent,Trigger,ObjectOverwrite)</f>
        <v>USD12L3L18M_Quote#0000</v>
      </c>
      <c r="G8" s="48" t="str">
        <f>_xll.ohRangeRetrieveError(F8)</f>
        <v/>
      </c>
      <c r="H8" s="47"/>
      <c r="N8" s="326">
        <v>1.5</v>
      </c>
      <c r="O8" s="205" t="s">
        <v>107</v>
      </c>
      <c r="P8" s="254" t="str">
        <v>12L</v>
      </c>
      <c r="Q8" s="254" t="str">
        <v>3L</v>
      </c>
      <c r="R8" s="252" t="str">
        <f t="shared" si="1"/>
        <v>USD12L3L18M</v>
      </c>
      <c r="S8" s="204" t="str">
        <v>USD12L3L18M=ICAP</v>
      </c>
      <c r="T8" s="324" t="s">
        <v>213</v>
      </c>
      <c r="U8" s="324" t="s">
        <v>213</v>
      </c>
      <c r="V8" s="324" t="e">
        <f>_xll.qlMidEquivalent(T8,U8)</f>
        <v>#NUM!</v>
      </c>
      <c r="W8" s="199" t="b">
        <f t="shared" si="2"/>
        <v>0</v>
      </c>
      <c r="X8" s="325">
        <v>28.570205256453967</v>
      </c>
      <c r="Y8" s="201"/>
      <c r="Z8" s="322">
        <v>28.570205256453967</v>
      </c>
      <c r="AA8" s="201"/>
      <c r="AB8" s="433">
        <v>28.570205256453967</v>
      </c>
      <c r="AC8" s="198">
        <f>_xll.qlSimpleQuoteSetValue(F8,AB8/10000,Trigger)</f>
        <v>-2.3714371188746607E-6</v>
      </c>
      <c r="AD8" s="169"/>
      <c r="AE8" s="13"/>
      <c r="AF8" s="59" t="s">
        <v>100</v>
      </c>
      <c r="AG8" s="58" t="s">
        <v>99</v>
      </c>
      <c r="AH8" s="57" t="s">
        <v>111</v>
      </c>
    </row>
    <row r="9" spans="1:34" ht="13.5" thickBot="1" x14ac:dyDescent="0.25">
      <c r="A9" s="53"/>
      <c r="B9" s="63" t="s">
        <v>106</v>
      </c>
      <c r="C9" s="51" t="str">
        <f t="shared" si="3"/>
        <v>12L</v>
      </c>
      <c r="D9" s="50" t="str">
        <f t="shared" si="4"/>
        <v>3L</v>
      </c>
      <c r="E9" s="49" t="str">
        <f t="shared" si="0"/>
        <v>USD12L3L21M_Quote</v>
      </c>
      <c r="F9" s="49" t="str">
        <f>_xll.qlSimpleQuote(E9,,RateTickValue,Permanent,Trigger,ObjectOverwrite)</f>
        <v>USD12L3L21M_Quote#0000</v>
      </c>
      <c r="G9" s="48" t="str">
        <f>_xll.ohRangeRetrieveError(F9)</f>
        <v/>
      </c>
      <c r="H9" s="47"/>
      <c r="N9" s="326">
        <v>1.75</v>
      </c>
      <c r="O9" s="205" t="s">
        <v>106</v>
      </c>
      <c r="P9" s="254" t="str">
        <v>12L</v>
      </c>
      <c r="Q9" s="254" t="str">
        <v>3L</v>
      </c>
      <c r="R9" s="252" t="str">
        <f t="shared" si="1"/>
        <v>USD12L3L21M</v>
      </c>
      <c r="S9" s="204" t="str">
        <v>USD12L3L21M=ICAP</v>
      </c>
      <c r="T9" s="324" t="s">
        <v>213</v>
      </c>
      <c r="U9" s="324" t="s">
        <v>213</v>
      </c>
      <c r="V9" s="324" t="e">
        <f>_xll.qlMidEquivalent(T9,U9)</f>
        <v>#NUM!</v>
      </c>
      <c r="W9" s="199" t="b">
        <f t="shared" si="2"/>
        <v>0</v>
      </c>
      <c r="X9" s="325">
        <v>28.66142959939722</v>
      </c>
      <c r="Y9" s="201"/>
      <c r="Z9" s="322">
        <v>28.66142959939722</v>
      </c>
      <c r="AA9" s="201"/>
      <c r="AB9" s="433">
        <v>28.66142959939722</v>
      </c>
      <c r="AC9" s="198">
        <f>_xll.qlSimpleQuoteSetValue(F9,AB9/10000,Trigger)</f>
        <v>-2.0000747901535026E-7</v>
      </c>
      <c r="AD9" s="169"/>
      <c r="AE9" s="13"/>
      <c r="AF9" s="56" t="s">
        <v>95</v>
      </c>
      <c r="AG9" s="55" t="s">
        <v>111</v>
      </c>
      <c r="AH9" s="54" t="s">
        <v>98</v>
      </c>
    </row>
    <row r="10" spans="1:34" x14ac:dyDescent="0.2">
      <c r="A10" s="53"/>
      <c r="B10" s="52" t="s">
        <v>84</v>
      </c>
      <c r="C10" s="51" t="str">
        <f t="shared" si="3"/>
        <v>12L</v>
      </c>
      <c r="D10" s="50" t="str">
        <f t="shared" si="4"/>
        <v>3L</v>
      </c>
      <c r="E10" s="49" t="str">
        <f t="shared" si="0"/>
        <v>USD12L3L2Y_Quote</v>
      </c>
      <c r="F10" s="49" t="str">
        <f>_xll.qlSimpleQuote(E10,,RateTickValue,Permanent,Trigger,ObjectOverwrite)</f>
        <v>USD12L3L2Y_Quote#0000</v>
      </c>
      <c r="G10" s="48" t="str">
        <f>_xll.ohRangeRetrieveError(F10)</f>
        <v/>
      </c>
      <c r="H10" s="47"/>
      <c r="J10" s="62" t="s">
        <v>105</v>
      </c>
      <c r="K10" s="61" t="s">
        <v>99</v>
      </c>
      <c r="L10" s="60" t="s">
        <v>111</v>
      </c>
      <c r="N10" s="96">
        <v>2</v>
      </c>
      <c r="O10" s="205" t="s">
        <v>84</v>
      </c>
      <c r="P10" s="254" t="str">
        <v>12L</v>
      </c>
      <c r="Q10" s="254" t="str">
        <v>3L</v>
      </c>
      <c r="R10" s="252" t="str">
        <f t="shared" si="1"/>
        <v>USD12L3L2Y</v>
      </c>
      <c r="S10" s="204" t="str">
        <v>USD12L3L2Y=ICAP</v>
      </c>
      <c r="T10" s="324">
        <v>28.7</v>
      </c>
      <c r="U10" s="324">
        <v>0</v>
      </c>
      <c r="V10" s="324">
        <f>_xll.qlMidEquivalent(T10,U10)</f>
        <v>28.7</v>
      </c>
      <c r="W10" s="199" t="b">
        <f t="shared" si="2"/>
        <v>1</v>
      </c>
      <c r="X10" s="325">
        <v>28.7</v>
      </c>
      <c r="Y10" s="201"/>
      <c r="Z10" s="322">
        <v>28.7</v>
      </c>
      <c r="AA10" s="201"/>
      <c r="AB10" s="433">
        <v>28.7</v>
      </c>
      <c r="AC10" s="198">
        <f>_xll.qlSimpleQuoteSetValue(F10,AB10/10000,Trigger)</f>
        <v>0</v>
      </c>
      <c r="AD10" s="169"/>
      <c r="AE10" s="13"/>
      <c r="AF10" s="13"/>
      <c r="AG10" s="13"/>
      <c r="AH10" s="13"/>
    </row>
    <row r="11" spans="1:34" x14ac:dyDescent="0.2">
      <c r="A11" s="53"/>
      <c r="B11" s="52" t="s">
        <v>83</v>
      </c>
      <c r="C11" s="51" t="str">
        <f t="shared" si="3"/>
        <v>12L</v>
      </c>
      <c r="D11" s="50" t="str">
        <f t="shared" si="4"/>
        <v>3L</v>
      </c>
      <c r="E11" s="49" t="str">
        <f t="shared" si="0"/>
        <v>USD12L3L3Y_Quote</v>
      </c>
      <c r="F11" s="49" t="str">
        <f>_xll.qlSimpleQuote(E11,,RateTickValue,Permanent,Trigger,ObjectOverwrite)</f>
        <v>USD12L3L3Y_Quote#0000</v>
      </c>
      <c r="G11" s="48" t="str">
        <f>_xll.ohRangeRetrieveError(F11)</f>
        <v/>
      </c>
      <c r="H11" s="47"/>
      <c r="J11" s="59" t="s">
        <v>104</v>
      </c>
      <c r="K11" s="58" t="s">
        <v>102</v>
      </c>
      <c r="L11" s="57" t="s">
        <v>112</v>
      </c>
      <c r="N11" s="96">
        <v>3</v>
      </c>
      <c r="O11" s="205" t="s">
        <v>83</v>
      </c>
      <c r="P11" s="254" t="str">
        <v>12L</v>
      </c>
      <c r="Q11" s="254" t="str">
        <v>3L</v>
      </c>
      <c r="R11" s="252" t="str">
        <f t="shared" si="1"/>
        <v>USD12L3L3Y</v>
      </c>
      <c r="S11" s="204" t="str">
        <v>USD12L3L3Y=ICAP</v>
      </c>
      <c r="T11" s="324">
        <v>28.4</v>
      </c>
      <c r="U11" s="324">
        <v>0</v>
      </c>
      <c r="V11" s="324">
        <f>_xll.qlMidEquivalent(T11,U11)</f>
        <v>28.4</v>
      </c>
      <c r="W11" s="199" t="b">
        <f t="shared" si="2"/>
        <v>1</v>
      </c>
      <c r="X11" s="325">
        <v>28.4</v>
      </c>
      <c r="Y11" s="201"/>
      <c r="Z11" s="322">
        <v>28.4</v>
      </c>
      <c r="AA11" s="201"/>
      <c r="AB11" s="433">
        <v>28.4</v>
      </c>
      <c r="AC11" s="198">
        <f>_xll.qlSimpleQuoteSetValue(F11,AB11/10000,Trigger)</f>
        <v>-1.000000000000046E-5</v>
      </c>
      <c r="AD11" s="169"/>
      <c r="AE11" s="13"/>
      <c r="AF11" s="13"/>
      <c r="AG11" s="13"/>
      <c r="AH11" s="13"/>
    </row>
    <row r="12" spans="1:34" x14ac:dyDescent="0.2">
      <c r="A12" s="53"/>
      <c r="B12" s="52" t="s">
        <v>82</v>
      </c>
      <c r="C12" s="51" t="str">
        <f t="shared" si="3"/>
        <v>12L</v>
      </c>
      <c r="D12" s="50" t="str">
        <f t="shared" si="4"/>
        <v>3L</v>
      </c>
      <c r="E12" s="49" t="str">
        <f t="shared" si="0"/>
        <v>USD12L3L4Y_Quote</v>
      </c>
      <c r="F12" s="49" t="str">
        <f>_xll.qlSimpleQuote(E12,,RateTickValue,Permanent,Trigger,ObjectOverwrite)</f>
        <v>USD12L3L4Y_Quote#0000</v>
      </c>
      <c r="G12" s="48" t="str">
        <f>_xll.ohRangeRetrieveError(F12)</f>
        <v/>
      </c>
      <c r="H12" s="47"/>
      <c r="J12" s="59" t="s">
        <v>101</v>
      </c>
      <c r="K12" s="58" t="s">
        <v>99</v>
      </c>
      <c r="L12" s="57" t="s">
        <v>111</v>
      </c>
      <c r="N12" s="96">
        <v>4</v>
      </c>
      <c r="O12" s="205" t="s">
        <v>82</v>
      </c>
      <c r="P12" s="254" t="str">
        <v>12L</v>
      </c>
      <c r="Q12" s="254" t="str">
        <v>3L</v>
      </c>
      <c r="R12" s="252" t="str">
        <f t="shared" si="1"/>
        <v>USD12L3L4Y</v>
      </c>
      <c r="S12" s="204" t="str">
        <v>USD12L3L4Y=ICAP</v>
      </c>
      <c r="T12" s="324">
        <v>28.1</v>
      </c>
      <c r="U12" s="324">
        <v>0</v>
      </c>
      <c r="V12" s="324">
        <f>_xll.qlMidEquivalent(T12,U12)</f>
        <v>28.1</v>
      </c>
      <c r="W12" s="199" t="b">
        <f t="shared" si="2"/>
        <v>1</v>
      </c>
      <c r="X12" s="325">
        <v>28.1</v>
      </c>
      <c r="Y12" s="201"/>
      <c r="Z12" s="322">
        <v>28.1</v>
      </c>
      <c r="AA12" s="201"/>
      <c r="AB12" s="433">
        <v>28.1</v>
      </c>
      <c r="AC12" s="198">
        <f>_xll.qlSimpleQuoteSetValue(F12,AB12/10000,Trigger)</f>
        <v>0</v>
      </c>
      <c r="AD12" s="169"/>
      <c r="AE12" s="13"/>
      <c r="AF12" s="13"/>
      <c r="AG12" s="13"/>
      <c r="AH12" s="13"/>
    </row>
    <row r="13" spans="1:34" x14ac:dyDescent="0.2">
      <c r="A13" s="53"/>
      <c r="B13" s="52" t="s">
        <v>81</v>
      </c>
      <c r="C13" s="51" t="str">
        <f t="shared" si="3"/>
        <v>12L</v>
      </c>
      <c r="D13" s="50" t="str">
        <f t="shared" si="4"/>
        <v>3L</v>
      </c>
      <c r="E13" s="49" t="str">
        <f t="shared" si="0"/>
        <v>USD12L3L5Y_Quote</v>
      </c>
      <c r="F13" s="49" t="str">
        <f>_xll.qlSimpleQuote(E13,,RateTickValue,Permanent,Trigger,ObjectOverwrite)</f>
        <v>USD12L3L5Y_Quote#0000</v>
      </c>
      <c r="G13" s="48" t="str">
        <f>_xll.ohRangeRetrieveError(F13)</f>
        <v/>
      </c>
      <c r="H13" s="47"/>
      <c r="J13" s="59" t="s">
        <v>100</v>
      </c>
      <c r="K13" s="58" t="s">
        <v>99</v>
      </c>
      <c r="L13" s="57" t="s">
        <v>111</v>
      </c>
      <c r="N13" s="96">
        <v>5</v>
      </c>
      <c r="O13" s="205" t="s">
        <v>81</v>
      </c>
      <c r="P13" s="254" t="str">
        <v>12L</v>
      </c>
      <c r="Q13" s="254" t="str">
        <v>3L</v>
      </c>
      <c r="R13" s="252" t="str">
        <f t="shared" si="1"/>
        <v>USD12L3L5Y</v>
      </c>
      <c r="S13" s="204" t="str">
        <v>USD12L3L5Y=ICAP</v>
      </c>
      <c r="T13" s="324">
        <v>27.8</v>
      </c>
      <c r="U13" s="324">
        <v>0</v>
      </c>
      <c r="V13" s="324">
        <f>_xll.qlMidEquivalent(T13,U13)</f>
        <v>27.8</v>
      </c>
      <c r="W13" s="199" t="b">
        <f t="shared" si="2"/>
        <v>1</v>
      </c>
      <c r="X13" s="325">
        <v>27.8</v>
      </c>
      <c r="Y13" s="201"/>
      <c r="Z13" s="322">
        <v>27.8</v>
      </c>
      <c r="AA13" s="201"/>
      <c r="AB13" s="433">
        <v>27.8</v>
      </c>
      <c r="AC13" s="198">
        <f>_xll.qlSimpleQuoteSetValue(F13,AB13/10000,Trigger)</f>
        <v>0</v>
      </c>
      <c r="AD13" s="169"/>
      <c r="AE13" s="13"/>
      <c r="AF13" s="13"/>
      <c r="AG13" s="13"/>
      <c r="AH13" s="13"/>
    </row>
    <row r="14" spans="1:34" ht="13.5" thickBot="1" x14ac:dyDescent="0.25">
      <c r="A14" s="53"/>
      <c r="B14" s="52" t="s">
        <v>80</v>
      </c>
      <c r="C14" s="51" t="str">
        <f t="shared" si="3"/>
        <v>12L</v>
      </c>
      <c r="D14" s="50" t="str">
        <f t="shared" si="4"/>
        <v>3L</v>
      </c>
      <c r="E14" s="49" t="str">
        <f t="shared" si="0"/>
        <v>USD12L3L6Y_Quote</v>
      </c>
      <c r="F14" s="49" t="str">
        <f>_xll.qlSimpleQuote(E14,,RateTickValue,Permanent,Trigger,ObjectOverwrite)</f>
        <v>USD12L3L6Y_Quote#0000</v>
      </c>
      <c r="G14" s="48" t="str">
        <f>_xll.ohRangeRetrieveError(F14)</f>
        <v/>
      </c>
      <c r="H14" s="47"/>
      <c r="J14" s="56" t="s">
        <v>95</v>
      </c>
      <c r="K14" s="55" t="s">
        <v>111</v>
      </c>
      <c r="L14" s="54" t="s">
        <v>98</v>
      </c>
      <c r="N14" s="96">
        <v>6</v>
      </c>
      <c r="O14" s="205" t="s">
        <v>80</v>
      </c>
      <c r="P14" s="254" t="str">
        <v>12L</v>
      </c>
      <c r="Q14" s="254" t="str">
        <v>3L</v>
      </c>
      <c r="R14" s="252" t="str">
        <f t="shared" si="1"/>
        <v>USD12L3L6Y</v>
      </c>
      <c r="S14" s="204" t="str">
        <v>USD12L3L6Y=ICAP</v>
      </c>
      <c r="T14" s="324">
        <v>27.4</v>
      </c>
      <c r="U14" s="324">
        <v>0</v>
      </c>
      <c r="V14" s="324">
        <f>_xll.qlMidEquivalent(T14,U14)</f>
        <v>27.4</v>
      </c>
      <c r="W14" s="199" t="b">
        <f t="shared" si="2"/>
        <v>1</v>
      </c>
      <c r="X14" s="325">
        <v>27.4</v>
      </c>
      <c r="Y14" s="201"/>
      <c r="Z14" s="322">
        <v>27.4</v>
      </c>
      <c r="AA14" s="201"/>
      <c r="AB14" s="433">
        <v>27.4</v>
      </c>
      <c r="AC14" s="198">
        <f>_xll.qlSimpleQuoteSetValue(F14,AB14/10000,Trigger)</f>
        <v>0</v>
      </c>
      <c r="AD14" s="169"/>
      <c r="AE14" s="13"/>
      <c r="AF14" s="13"/>
      <c r="AG14" s="13"/>
      <c r="AH14" s="13"/>
    </row>
    <row r="15" spans="1:34" x14ac:dyDescent="0.2">
      <c r="A15" s="53"/>
      <c r="B15" s="52" t="s">
        <v>79</v>
      </c>
      <c r="C15" s="51" t="str">
        <f t="shared" si="3"/>
        <v>12L</v>
      </c>
      <c r="D15" s="50" t="str">
        <f t="shared" si="4"/>
        <v>3L</v>
      </c>
      <c r="E15" s="49" t="str">
        <f t="shared" si="0"/>
        <v>USD12L3L7Y_Quote</v>
      </c>
      <c r="F15" s="49" t="str">
        <f>_xll.qlSimpleQuote(E15,,RateTickValue,Permanent,Trigger,ObjectOverwrite)</f>
        <v>USD12L3L7Y_Quote#0000</v>
      </c>
      <c r="G15" s="48" t="str">
        <f>_xll.ohRangeRetrieveError(F15)</f>
        <v/>
      </c>
      <c r="H15" s="47"/>
      <c r="N15" s="96">
        <v>7</v>
      </c>
      <c r="O15" s="205" t="s">
        <v>79</v>
      </c>
      <c r="P15" s="254" t="str">
        <v>12L</v>
      </c>
      <c r="Q15" s="254" t="str">
        <v>3L</v>
      </c>
      <c r="R15" s="252" t="str">
        <f t="shared" si="1"/>
        <v>USD12L3L7Y</v>
      </c>
      <c r="S15" s="204" t="str">
        <v>USD12L3L7Y=ICAP</v>
      </c>
      <c r="T15" s="324">
        <v>26.9</v>
      </c>
      <c r="U15" s="324">
        <v>0</v>
      </c>
      <c r="V15" s="324">
        <f>_xll.qlMidEquivalent(T15,U15)</f>
        <v>26.9</v>
      </c>
      <c r="W15" s="199" t="b">
        <f t="shared" si="2"/>
        <v>1</v>
      </c>
      <c r="X15" s="325">
        <v>26.9</v>
      </c>
      <c r="Y15" s="201"/>
      <c r="Z15" s="322">
        <v>26.9</v>
      </c>
      <c r="AA15" s="201"/>
      <c r="AB15" s="433">
        <v>26.9</v>
      </c>
      <c r="AC15" s="198">
        <f>_xll.qlSimpleQuoteSetValue(F15,AB15/10000,Trigger)</f>
        <v>-1.000000000000046E-5</v>
      </c>
      <c r="AD15" s="169"/>
      <c r="AE15" s="13"/>
      <c r="AF15" s="13"/>
      <c r="AG15" s="13"/>
      <c r="AH15" s="13"/>
    </row>
    <row r="16" spans="1:34" x14ac:dyDescent="0.2">
      <c r="A16" s="53"/>
      <c r="B16" s="52" t="s">
        <v>78</v>
      </c>
      <c r="C16" s="51" t="str">
        <f t="shared" si="3"/>
        <v>12L</v>
      </c>
      <c r="D16" s="50" t="str">
        <f t="shared" si="4"/>
        <v>3L</v>
      </c>
      <c r="E16" s="49" t="str">
        <f t="shared" si="0"/>
        <v>USD12L3L8Y_Quote</v>
      </c>
      <c r="F16" s="49" t="str">
        <f>_xll.qlSimpleQuote(E16,,RateTickValue,Permanent,Trigger,ObjectOverwrite)</f>
        <v>USD12L3L8Y_Quote#0000</v>
      </c>
      <c r="G16" s="48" t="str">
        <f>_xll.ohRangeRetrieveError(F16)</f>
        <v/>
      </c>
      <c r="H16" s="47"/>
      <c r="N16" s="96">
        <v>8</v>
      </c>
      <c r="O16" s="205" t="s">
        <v>78</v>
      </c>
      <c r="P16" s="254" t="str">
        <v>12L</v>
      </c>
      <c r="Q16" s="254" t="str">
        <v>3L</v>
      </c>
      <c r="R16" s="252" t="str">
        <f t="shared" si="1"/>
        <v>USD12L3L8Y</v>
      </c>
      <c r="S16" s="204" t="str">
        <v>USD12L3L8Y=ICAP</v>
      </c>
      <c r="T16" s="324">
        <v>26.5</v>
      </c>
      <c r="U16" s="324">
        <v>0</v>
      </c>
      <c r="V16" s="324">
        <f>_xll.qlMidEquivalent(T16,U16)</f>
        <v>26.5</v>
      </c>
      <c r="W16" s="199" t="b">
        <f t="shared" si="2"/>
        <v>1</v>
      </c>
      <c r="X16" s="325">
        <v>26.5</v>
      </c>
      <c r="Y16" s="201"/>
      <c r="Z16" s="322">
        <v>26.5</v>
      </c>
      <c r="AA16" s="201"/>
      <c r="AB16" s="433">
        <v>26.5</v>
      </c>
      <c r="AC16" s="198">
        <f>_xll.qlSimpleQuoteSetValue(F16,AB16/10000,Trigger)</f>
        <v>0</v>
      </c>
      <c r="AD16" s="169"/>
      <c r="AE16" s="13"/>
      <c r="AF16" s="13"/>
      <c r="AG16" s="13"/>
      <c r="AH16" s="13"/>
    </row>
    <row r="17" spans="1:34" x14ac:dyDescent="0.2">
      <c r="A17" s="53"/>
      <c r="B17" s="52" t="s">
        <v>77</v>
      </c>
      <c r="C17" s="51" t="str">
        <f t="shared" si="3"/>
        <v>12L</v>
      </c>
      <c r="D17" s="50" t="str">
        <f t="shared" si="4"/>
        <v>3L</v>
      </c>
      <c r="E17" s="49" t="str">
        <f t="shared" si="0"/>
        <v>USD12L3L9Y_Quote</v>
      </c>
      <c r="F17" s="49" t="str">
        <f>_xll.qlSimpleQuote(E17,,RateTickValue,Permanent,Trigger,ObjectOverwrite)</f>
        <v>USD12L3L9Y_Quote#0000</v>
      </c>
      <c r="G17" s="48" t="str">
        <f>_xll.ohRangeRetrieveError(F17)</f>
        <v/>
      </c>
      <c r="H17" s="47"/>
      <c r="N17" s="96">
        <v>9</v>
      </c>
      <c r="O17" s="205" t="s">
        <v>77</v>
      </c>
      <c r="P17" s="254" t="str">
        <v>12L</v>
      </c>
      <c r="Q17" s="254" t="str">
        <v>3L</v>
      </c>
      <c r="R17" s="252" t="str">
        <f t="shared" si="1"/>
        <v>USD12L3L9Y</v>
      </c>
      <c r="S17" s="204" t="str">
        <v>USD12L3L9Y=ICAP</v>
      </c>
      <c r="T17" s="324">
        <v>26.2</v>
      </c>
      <c r="U17" s="324">
        <v>0</v>
      </c>
      <c r="V17" s="324">
        <f>_xll.qlMidEquivalent(T17,U17)</f>
        <v>26.2</v>
      </c>
      <c r="W17" s="199" t="b">
        <f t="shared" si="2"/>
        <v>1</v>
      </c>
      <c r="X17" s="325">
        <v>26.2</v>
      </c>
      <c r="Y17" s="201"/>
      <c r="Z17" s="322">
        <v>26.2</v>
      </c>
      <c r="AA17" s="201"/>
      <c r="AB17" s="433">
        <v>26.2</v>
      </c>
      <c r="AC17" s="198">
        <f>_xll.qlSimpleQuoteSetValue(F17,AB17/10000,Trigger)</f>
        <v>0</v>
      </c>
      <c r="AD17" s="169"/>
      <c r="AE17" s="13"/>
      <c r="AF17" s="13"/>
      <c r="AG17" s="13"/>
      <c r="AH17" s="13"/>
    </row>
    <row r="18" spans="1:34" x14ac:dyDescent="0.2">
      <c r="A18" s="53"/>
      <c r="B18" s="52" t="s">
        <v>76</v>
      </c>
      <c r="C18" s="51" t="str">
        <f t="shared" si="3"/>
        <v>12L</v>
      </c>
      <c r="D18" s="50" t="str">
        <f t="shared" si="4"/>
        <v>3L</v>
      </c>
      <c r="E18" s="49" t="str">
        <f t="shared" si="0"/>
        <v>USD12L3L10Y_Quote</v>
      </c>
      <c r="F18" s="49" t="str">
        <f>_xll.qlSimpleQuote(E18,,RateTickValue,Permanent,Trigger,ObjectOverwrite)</f>
        <v>USD12L3L10Y_Quote#0000</v>
      </c>
      <c r="G18" s="48" t="str">
        <f>_xll.ohRangeRetrieveError(F18)</f>
        <v/>
      </c>
      <c r="H18" s="47"/>
      <c r="N18" s="96">
        <v>10</v>
      </c>
      <c r="O18" s="205" t="s">
        <v>76</v>
      </c>
      <c r="P18" s="254" t="str">
        <v>12L</v>
      </c>
      <c r="Q18" s="254" t="str">
        <v>3L</v>
      </c>
      <c r="R18" s="252" t="str">
        <f t="shared" si="1"/>
        <v>USD12L3L10Y</v>
      </c>
      <c r="S18" s="204" t="str">
        <v>USD12L3L10Y=ICAP</v>
      </c>
      <c r="T18" s="324">
        <v>25.9</v>
      </c>
      <c r="U18" s="324">
        <v>0</v>
      </c>
      <c r="V18" s="324">
        <f>_xll.qlMidEquivalent(T18,U18)</f>
        <v>25.9</v>
      </c>
      <c r="W18" s="199" t="b">
        <f t="shared" si="2"/>
        <v>1</v>
      </c>
      <c r="X18" s="325">
        <v>25.9</v>
      </c>
      <c r="Y18" s="201"/>
      <c r="Z18" s="322">
        <v>25.9</v>
      </c>
      <c r="AA18" s="201"/>
      <c r="AB18" s="433">
        <v>25.9</v>
      </c>
      <c r="AC18" s="198">
        <f>_xll.qlSimpleQuoteSetValue(F18,AB18/10000,Trigger)</f>
        <v>0</v>
      </c>
      <c r="AD18" s="169"/>
      <c r="AE18" s="13"/>
      <c r="AF18" s="13"/>
      <c r="AG18" s="13"/>
      <c r="AH18" s="13"/>
    </row>
    <row r="19" spans="1:34" x14ac:dyDescent="0.2">
      <c r="A19" s="53"/>
      <c r="B19" s="52" t="s">
        <v>75</v>
      </c>
      <c r="C19" s="51" t="str">
        <f t="shared" si="3"/>
        <v>12L</v>
      </c>
      <c r="D19" s="50" t="str">
        <f t="shared" si="4"/>
        <v>3L</v>
      </c>
      <c r="E19" s="49" t="str">
        <f t="shared" si="0"/>
        <v>USD12L3L11Y_Quote</v>
      </c>
      <c r="F19" s="49" t="str">
        <f>_xll.qlSimpleQuote(E19,,RateTickValue,Permanent,Trigger,ObjectOverwrite)</f>
        <v>USD12L3L11Y_Quote#0000</v>
      </c>
      <c r="G19" s="48" t="str">
        <f>_xll.ohRangeRetrieveError(F19)</f>
        <v/>
      </c>
      <c r="H19" s="47"/>
      <c r="N19" s="96">
        <v>11</v>
      </c>
      <c r="O19" s="205" t="s">
        <v>75</v>
      </c>
      <c r="P19" s="254" t="str">
        <v>12L</v>
      </c>
      <c r="Q19" s="254" t="str">
        <v>3L</v>
      </c>
      <c r="R19" s="252" t="str">
        <f t="shared" si="1"/>
        <v>USD12L3L11Y</v>
      </c>
      <c r="S19" s="204" t="str">
        <v>USD12L3L11Y=ICAP</v>
      </c>
      <c r="T19" s="324" t="s">
        <v>213</v>
      </c>
      <c r="U19" s="324" t="s">
        <v>213</v>
      </c>
      <c r="V19" s="324" t="e">
        <f>_xll.qlMidEquivalent(T19,U19)</f>
        <v>#NUM!</v>
      </c>
      <c r="W19" s="199" t="b">
        <f t="shared" si="2"/>
        <v>0</v>
      </c>
      <c r="X19" s="325">
        <v>25.630328823052572</v>
      </c>
      <c r="Y19" s="201"/>
      <c r="Z19" s="322">
        <v>25.630328823052572</v>
      </c>
      <c r="AA19" s="201"/>
      <c r="AB19" s="433">
        <v>25.630328823052572</v>
      </c>
      <c r="AC19" s="198">
        <f>_xll.qlSimpleQuoteSetValue(F19,AB19/10000,Trigger)</f>
        <v>2.5815929986664279E-7</v>
      </c>
      <c r="AD19" s="169"/>
      <c r="AE19" s="13"/>
      <c r="AF19" s="13"/>
      <c r="AG19" s="13"/>
      <c r="AH19" s="13"/>
    </row>
    <row r="20" spans="1:34" x14ac:dyDescent="0.2">
      <c r="A20" s="53"/>
      <c r="B20" s="52" t="s">
        <v>74</v>
      </c>
      <c r="C20" s="51" t="str">
        <f t="shared" si="3"/>
        <v>12L</v>
      </c>
      <c r="D20" s="50" t="str">
        <f t="shared" si="4"/>
        <v>3L</v>
      </c>
      <c r="E20" s="49" t="str">
        <f t="shared" si="0"/>
        <v>USD12L3L12Y_Quote</v>
      </c>
      <c r="F20" s="49" t="str">
        <f>_xll.qlSimpleQuote(E20,,RateTickValue,Permanent,Trigger,ObjectOverwrite)</f>
        <v>USD12L3L12Y_Quote#0000</v>
      </c>
      <c r="G20" s="48" t="str">
        <f>_xll.ohRangeRetrieveError(F20)</f>
        <v/>
      </c>
      <c r="H20" s="47"/>
      <c r="N20" s="96">
        <v>12</v>
      </c>
      <c r="O20" s="205" t="s">
        <v>74</v>
      </c>
      <c r="P20" s="254" t="str">
        <v>12L</v>
      </c>
      <c r="Q20" s="254" t="str">
        <v>3L</v>
      </c>
      <c r="R20" s="252" t="str">
        <f t="shared" si="1"/>
        <v>USD12L3L12Y</v>
      </c>
      <c r="S20" s="204" t="str">
        <v>USD12L3L12Y=ICAP</v>
      </c>
      <c r="T20" s="324">
        <v>25.4</v>
      </c>
      <c r="U20" s="324">
        <v>0</v>
      </c>
      <c r="V20" s="324">
        <f>_xll.qlMidEquivalent(T20,U20)</f>
        <v>25.4</v>
      </c>
      <c r="W20" s="199" t="b">
        <f t="shared" si="2"/>
        <v>1</v>
      </c>
      <c r="X20" s="325">
        <v>25.4</v>
      </c>
      <c r="Y20" s="201"/>
      <c r="Z20" s="322">
        <v>25.4</v>
      </c>
      <c r="AA20" s="201"/>
      <c r="AB20" s="433">
        <v>25.4</v>
      </c>
      <c r="AC20" s="198">
        <f>_xll.qlSimpleQuoteSetValue(F20,AB20/10000,Trigger)</f>
        <v>0</v>
      </c>
      <c r="AD20" s="169"/>
      <c r="AE20" s="13"/>
      <c r="AF20" s="13"/>
      <c r="AG20" s="13"/>
      <c r="AH20" s="13"/>
    </row>
    <row r="21" spans="1:34" x14ac:dyDescent="0.2">
      <c r="A21" s="53"/>
      <c r="B21" s="52" t="s">
        <v>73</v>
      </c>
      <c r="C21" s="51" t="str">
        <f t="shared" si="3"/>
        <v>12L</v>
      </c>
      <c r="D21" s="50" t="str">
        <f t="shared" si="4"/>
        <v>3L</v>
      </c>
      <c r="E21" s="49" t="str">
        <f t="shared" si="0"/>
        <v>USD12L3L13Y_Quote</v>
      </c>
      <c r="F21" s="49" t="str">
        <f>_xll.qlSimpleQuote(E21,,RateTickValue,Permanent,Trigger,ObjectOverwrite)</f>
        <v>USD12L3L13Y_Quote#0000</v>
      </c>
      <c r="G21" s="48" t="str">
        <f>_xll.ohRangeRetrieveError(F21)</f>
        <v/>
      </c>
      <c r="H21" s="47"/>
      <c r="N21" s="96">
        <v>13</v>
      </c>
      <c r="O21" s="205" t="s">
        <v>73</v>
      </c>
      <c r="P21" s="254" t="str">
        <v>12L</v>
      </c>
      <c r="Q21" s="254" t="str">
        <v>3L</v>
      </c>
      <c r="R21" s="252" t="str">
        <f t="shared" si="1"/>
        <v>USD12L3L13Y</v>
      </c>
      <c r="S21" s="204" t="str">
        <v>USD12L3L13Y=ICAP</v>
      </c>
      <c r="T21" s="324" t="s">
        <v>213</v>
      </c>
      <c r="U21" s="324" t="s">
        <v>213</v>
      </c>
      <c r="V21" s="324" t="e">
        <f>_xll.qlMidEquivalent(T21,U21)</f>
        <v>#NUM!</v>
      </c>
      <c r="W21" s="199" t="b">
        <f t="shared" si="2"/>
        <v>0</v>
      </c>
      <c r="X21" s="325">
        <v>25.203131614518497</v>
      </c>
      <c r="Y21" s="201"/>
      <c r="Z21" s="322">
        <v>25.203131614518497</v>
      </c>
      <c r="AA21" s="201"/>
      <c r="AB21" s="433">
        <v>25.203131614518497</v>
      </c>
      <c r="AC21" s="198">
        <f>_xll.qlSimpleQuoteSetValue(F21,AB21/10000,Trigger)</f>
        <v>-1.2991811603520892E-7</v>
      </c>
      <c r="AD21" s="169"/>
      <c r="AE21" s="13"/>
      <c r="AF21" s="13"/>
      <c r="AG21" s="13"/>
      <c r="AH21" s="13"/>
    </row>
    <row r="22" spans="1:34" x14ac:dyDescent="0.2">
      <c r="A22" s="53"/>
      <c r="B22" s="52" t="s">
        <v>72</v>
      </c>
      <c r="C22" s="51" t="str">
        <f t="shared" si="3"/>
        <v>12L</v>
      </c>
      <c r="D22" s="50" t="str">
        <f t="shared" si="4"/>
        <v>3L</v>
      </c>
      <c r="E22" s="49" t="str">
        <f t="shared" si="0"/>
        <v>USD12L3L14Y_Quote</v>
      </c>
      <c r="F22" s="49" t="str">
        <f>_xll.qlSimpleQuote(E22,,RateTickValue,Permanent,Trigger,ObjectOverwrite)</f>
        <v>USD12L3L14Y_Quote#0000</v>
      </c>
      <c r="G22" s="48" t="str">
        <f>_xll.ohRangeRetrieveError(F22)</f>
        <v/>
      </c>
      <c r="H22" s="47"/>
      <c r="N22" s="96">
        <v>14</v>
      </c>
      <c r="O22" s="205" t="s">
        <v>72</v>
      </c>
      <c r="P22" s="254" t="str">
        <v>12L</v>
      </c>
      <c r="Q22" s="254" t="str">
        <v>3L</v>
      </c>
      <c r="R22" s="252" t="str">
        <f t="shared" si="1"/>
        <v>USD12L3L14Y</v>
      </c>
      <c r="S22" s="204" t="str">
        <v>USD12L3L14Y=ICAP</v>
      </c>
      <c r="T22" s="324" t="s">
        <v>213</v>
      </c>
      <c r="U22" s="324" t="s">
        <v>213</v>
      </c>
      <c r="V22" s="324" t="e">
        <f>_xll.qlMidEquivalent(T22,U22)</f>
        <v>#NUM!</v>
      </c>
      <c r="W22" s="199" t="b">
        <f t="shared" si="2"/>
        <v>0</v>
      </c>
      <c r="X22" s="325">
        <v>25.037077399466973</v>
      </c>
      <c r="Y22" s="201"/>
      <c r="Z22" s="322">
        <v>25.037077399466973</v>
      </c>
      <c r="AA22" s="201"/>
      <c r="AB22" s="433">
        <v>25.037077399466973</v>
      </c>
      <c r="AC22" s="198">
        <f>_xll.qlSimpleQuoteSetValue(F22,AB22/10000,Trigger)</f>
        <v>-9.2496050003738201E-8</v>
      </c>
      <c r="AD22" s="169"/>
      <c r="AE22" s="13"/>
      <c r="AF22" s="13"/>
      <c r="AG22" s="13"/>
      <c r="AH22" s="13"/>
    </row>
    <row r="23" spans="1:34" x14ac:dyDescent="0.2">
      <c r="A23" s="53"/>
      <c r="B23" s="52" t="s">
        <v>71</v>
      </c>
      <c r="C23" s="51" t="str">
        <f t="shared" si="3"/>
        <v>12L</v>
      </c>
      <c r="D23" s="50" t="str">
        <f t="shared" si="4"/>
        <v>3L</v>
      </c>
      <c r="E23" s="49" t="str">
        <f t="shared" si="0"/>
        <v>USD12L3L15Y_Quote</v>
      </c>
      <c r="F23" s="49" t="str">
        <f>_xll.qlSimpleQuote(E23,,RateTickValue,Permanent,Trigger,ObjectOverwrite)</f>
        <v>USD12L3L15Y_Quote#0000</v>
      </c>
      <c r="G23" s="48" t="str">
        <f>_xll.ohRangeRetrieveError(F23)</f>
        <v/>
      </c>
      <c r="H23" s="47"/>
      <c r="N23" s="96">
        <v>15</v>
      </c>
      <c r="O23" s="205" t="s">
        <v>71</v>
      </c>
      <c r="P23" s="254" t="str">
        <v>12L</v>
      </c>
      <c r="Q23" s="254" t="str">
        <v>3L</v>
      </c>
      <c r="R23" s="252" t="str">
        <f t="shared" si="1"/>
        <v>USD12L3L15Y</v>
      </c>
      <c r="S23" s="204" t="str">
        <v>USD12L3L15Y=ICAP</v>
      </c>
      <c r="T23" s="324">
        <v>24.9</v>
      </c>
      <c r="U23" s="324">
        <v>0</v>
      </c>
      <c r="V23" s="324">
        <f>_xll.qlMidEquivalent(T23,U23)</f>
        <v>24.9</v>
      </c>
      <c r="W23" s="199" t="b">
        <f t="shared" si="2"/>
        <v>1</v>
      </c>
      <c r="X23" s="325">
        <v>24.9</v>
      </c>
      <c r="Y23" s="201"/>
      <c r="Z23" s="322">
        <v>24.9</v>
      </c>
      <c r="AA23" s="201"/>
      <c r="AB23" s="433">
        <v>24.9</v>
      </c>
      <c r="AC23" s="198">
        <f>_xll.qlSimpleQuoteSetValue(F23,AB23/10000,Trigger)</f>
        <v>0</v>
      </c>
      <c r="AD23" s="169"/>
      <c r="AE23" s="13"/>
      <c r="AF23" s="13"/>
      <c r="AG23" s="13"/>
      <c r="AH23" s="13"/>
    </row>
    <row r="24" spans="1:34" x14ac:dyDescent="0.2">
      <c r="A24" s="53"/>
      <c r="B24" s="52" t="s">
        <v>70</v>
      </c>
      <c r="C24" s="51" t="str">
        <f t="shared" si="3"/>
        <v>12L</v>
      </c>
      <c r="D24" s="50" t="str">
        <f t="shared" si="4"/>
        <v>3L</v>
      </c>
      <c r="E24" s="49" t="str">
        <f t="shared" si="0"/>
        <v>USD12L3L16Y_Quote</v>
      </c>
      <c r="F24" s="49" t="str">
        <f>_xll.qlSimpleQuote(E24,,RateTickValue,Permanent,Trigger,ObjectOverwrite)</f>
        <v>USD12L3L16Y_Quote#0000</v>
      </c>
      <c r="G24" s="48" t="str">
        <f>_xll.ohRangeRetrieveError(F24)</f>
        <v/>
      </c>
      <c r="H24" s="47"/>
      <c r="N24" s="96">
        <v>16</v>
      </c>
      <c r="O24" s="205" t="s">
        <v>70</v>
      </c>
      <c r="P24" s="254" t="str">
        <v>12L</v>
      </c>
      <c r="Q24" s="254" t="str">
        <v>3L</v>
      </c>
      <c r="R24" s="252" t="str">
        <f t="shared" si="1"/>
        <v>USD12L3L16Y</v>
      </c>
      <c r="S24" s="204" t="str">
        <v>USD12L3L16Y=ICAP</v>
      </c>
      <c r="T24" s="324" t="s">
        <v>213</v>
      </c>
      <c r="U24" s="324" t="s">
        <v>213</v>
      </c>
      <c r="V24" s="324" t="e">
        <f>_xll.qlMidEquivalent(T24,U24)</f>
        <v>#NUM!</v>
      </c>
      <c r="W24" s="199" t="b">
        <f t="shared" si="2"/>
        <v>0</v>
      </c>
      <c r="X24" s="325">
        <v>24.789382398737398</v>
      </c>
      <c r="Y24" s="201"/>
      <c r="Z24" s="322">
        <v>24.789382398737398</v>
      </c>
      <c r="AA24" s="201"/>
      <c r="AB24" s="433">
        <v>24.789382398737398</v>
      </c>
      <c r="AC24" s="198">
        <f>_xll.qlSimpleQuoteSetValue(F24,AB24/10000,Trigger)</f>
        <v>5.6429651269004205E-8</v>
      </c>
      <c r="AD24" s="169"/>
      <c r="AE24" s="13"/>
      <c r="AF24" s="13"/>
      <c r="AG24" s="13"/>
      <c r="AH24" s="13"/>
    </row>
    <row r="25" spans="1:34" x14ac:dyDescent="0.2">
      <c r="A25" s="53"/>
      <c r="B25" s="52" t="s">
        <v>69</v>
      </c>
      <c r="C25" s="51" t="str">
        <f t="shared" si="3"/>
        <v>12L</v>
      </c>
      <c r="D25" s="50" t="str">
        <f t="shared" si="4"/>
        <v>3L</v>
      </c>
      <c r="E25" s="49" t="str">
        <f t="shared" si="0"/>
        <v>USD12L3L17Y_Quote</v>
      </c>
      <c r="F25" s="49" t="str">
        <f>_xll.qlSimpleQuote(E25,,RateTickValue,Permanent,Trigger,ObjectOverwrite)</f>
        <v>USD12L3L17Y_Quote#0000</v>
      </c>
      <c r="G25" s="48" t="str">
        <f>_xll.ohRangeRetrieveError(F25)</f>
        <v/>
      </c>
      <c r="H25" s="47"/>
      <c r="N25" s="96">
        <v>17</v>
      </c>
      <c r="O25" s="205" t="s">
        <v>69</v>
      </c>
      <c r="P25" s="254" t="str">
        <v>12L</v>
      </c>
      <c r="Q25" s="254" t="str">
        <v>3L</v>
      </c>
      <c r="R25" s="252" t="str">
        <f t="shared" si="1"/>
        <v>USD12L3L17Y</v>
      </c>
      <c r="S25" s="204" t="str">
        <v>USD12L3L17Y=ICAP</v>
      </c>
      <c r="T25" s="324" t="s">
        <v>213</v>
      </c>
      <c r="U25" s="324" t="s">
        <v>213</v>
      </c>
      <c r="V25" s="324" t="e">
        <f>_xll.qlMidEquivalent(T25,U25)</f>
        <v>#NUM!</v>
      </c>
      <c r="W25" s="199" t="b">
        <f t="shared" si="2"/>
        <v>0</v>
      </c>
      <c r="X25" s="325">
        <v>24.69998892816001</v>
      </c>
      <c r="Y25" s="201"/>
      <c r="Z25" s="322">
        <v>24.69998892816001</v>
      </c>
      <c r="AA25" s="201"/>
      <c r="AB25" s="433">
        <v>24.69998892816001</v>
      </c>
      <c r="AC25" s="198">
        <f>_xll.qlSimpleQuoteSetValue(F25,AB25/10000,Trigger)</f>
        <v>7.015578265892608E-8</v>
      </c>
      <c r="AD25" s="169"/>
      <c r="AE25" s="13"/>
      <c r="AF25" s="13"/>
      <c r="AG25" s="13"/>
      <c r="AH25" s="13"/>
    </row>
    <row r="26" spans="1:34" x14ac:dyDescent="0.2">
      <c r="A26" s="53"/>
      <c r="B26" s="52" t="s">
        <v>68</v>
      </c>
      <c r="C26" s="51" t="str">
        <f t="shared" si="3"/>
        <v>12L</v>
      </c>
      <c r="D26" s="50" t="str">
        <f t="shared" si="4"/>
        <v>3L</v>
      </c>
      <c r="E26" s="49" t="str">
        <f t="shared" si="0"/>
        <v>USD12L3L18Y_Quote</v>
      </c>
      <c r="F26" s="49" t="str">
        <f>_xll.qlSimpleQuote(E26,,RateTickValue,Permanent,Trigger,ObjectOverwrite)</f>
        <v>USD12L3L18Y_Quote#0000</v>
      </c>
      <c r="G26" s="48" t="str">
        <f>_xll.ohRangeRetrieveError(F26)</f>
        <v/>
      </c>
      <c r="H26" s="47"/>
      <c r="N26" s="96">
        <v>18</v>
      </c>
      <c r="O26" s="205" t="s">
        <v>68</v>
      </c>
      <c r="P26" s="254" t="str">
        <v>12L</v>
      </c>
      <c r="Q26" s="254" t="str">
        <v>3L</v>
      </c>
      <c r="R26" s="252" t="str">
        <f t="shared" si="1"/>
        <v>USD12L3L18Y</v>
      </c>
      <c r="S26" s="204" t="str">
        <v>USD12L3L18Y=ICAP</v>
      </c>
      <c r="T26" s="324" t="s">
        <v>213</v>
      </c>
      <c r="U26" s="324" t="s">
        <v>213</v>
      </c>
      <c r="V26" s="324" t="e">
        <f>_xll.qlMidEquivalent(T26,U26)</f>
        <v>#NUM!</v>
      </c>
      <c r="W26" s="199" t="b">
        <f t="shared" si="2"/>
        <v>0</v>
      </c>
      <c r="X26" s="325">
        <v>24.625904258213922</v>
      </c>
      <c r="Y26" s="201"/>
      <c r="Z26" s="322">
        <v>24.625904258213922</v>
      </c>
      <c r="AA26" s="201"/>
      <c r="AB26" s="433">
        <v>24.625904258213922</v>
      </c>
      <c r="AC26" s="198">
        <f>_xll.qlSimpleQuoteSetValue(F26,AB26/10000,Trigger)</f>
        <v>5.5667088414562693E-8</v>
      </c>
      <c r="AD26" s="169"/>
      <c r="AE26" s="13"/>
      <c r="AF26" s="13"/>
      <c r="AG26" s="13"/>
      <c r="AH26" s="13"/>
    </row>
    <row r="27" spans="1:34" x14ac:dyDescent="0.2">
      <c r="A27" s="53"/>
      <c r="B27" s="52" t="s">
        <v>67</v>
      </c>
      <c r="C27" s="51" t="str">
        <f t="shared" si="3"/>
        <v>12L</v>
      </c>
      <c r="D27" s="50" t="str">
        <f t="shared" si="4"/>
        <v>3L</v>
      </c>
      <c r="E27" s="49" t="str">
        <f t="shared" si="0"/>
        <v>USD12L3L19Y_Quote</v>
      </c>
      <c r="F27" s="49" t="str">
        <f>_xll.qlSimpleQuote(E27,,RateTickValue,Permanent,Trigger,ObjectOverwrite)</f>
        <v>USD12L3L19Y_Quote#0000</v>
      </c>
      <c r="G27" s="48" t="str">
        <f>_xll.ohRangeRetrieveError(F27)</f>
        <v/>
      </c>
      <c r="H27" s="47"/>
      <c r="N27" s="96">
        <v>19</v>
      </c>
      <c r="O27" s="205" t="s">
        <v>67</v>
      </c>
      <c r="P27" s="254" t="str">
        <v>12L</v>
      </c>
      <c r="Q27" s="254" t="str">
        <v>3L</v>
      </c>
      <c r="R27" s="252" t="str">
        <f t="shared" si="1"/>
        <v>USD12L3L19Y</v>
      </c>
      <c r="S27" s="204" t="str">
        <v>USD12L3L19Y=ICAP</v>
      </c>
      <c r="T27" s="324" t="s">
        <v>213</v>
      </c>
      <c r="U27" s="324" t="s">
        <v>213</v>
      </c>
      <c r="V27" s="324" t="e">
        <f>_xll.qlMidEquivalent(T27,U27)</f>
        <v>#NUM!</v>
      </c>
      <c r="W27" s="199" t="b">
        <f t="shared" si="2"/>
        <v>0</v>
      </c>
      <c r="X27" s="325">
        <v>24.561213058845222</v>
      </c>
      <c r="Y27" s="201"/>
      <c r="Z27" s="322">
        <v>24.561213058845222</v>
      </c>
      <c r="AA27" s="201"/>
      <c r="AB27" s="433">
        <v>24.561213058845222</v>
      </c>
      <c r="AC27" s="198">
        <f>_xll.qlSimpleQuoteSetValue(F27,AB27/10000,Trigger)</f>
        <v>2.7452262779410069E-8</v>
      </c>
      <c r="AD27" s="169"/>
      <c r="AE27" s="13"/>
      <c r="AF27" s="13"/>
      <c r="AG27" s="13"/>
      <c r="AH27" s="13"/>
    </row>
    <row r="28" spans="1:34" x14ac:dyDescent="0.2">
      <c r="A28" s="53"/>
      <c r="B28" s="52" t="s">
        <v>66</v>
      </c>
      <c r="C28" s="51" t="str">
        <f t="shared" si="3"/>
        <v>12L</v>
      </c>
      <c r="D28" s="50" t="str">
        <f t="shared" si="4"/>
        <v>3L</v>
      </c>
      <c r="E28" s="49" t="str">
        <f t="shared" si="0"/>
        <v>USD12L3L20Y_Quote</v>
      </c>
      <c r="F28" s="49" t="str">
        <f>_xll.qlSimpleQuote(E28,,RateTickValue,Permanent,Trigger,ObjectOverwrite)</f>
        <v>USD12L3L20Y_Quote#0000</v>
      </c>
      <c r="G28" s="48" t="str">
        <f>_xll.ohRangeRetrieveError(F28)</f>
        <v/>
      </c>
      <c r="H28" s="47"/>
      <c r="N28" s="96">
        <v>20</v>
      </c>
      <c r="O28" s="205" t="s">
        <v>66</v>
      </c>
      <c r="P28" s="254" t="str">
        <v>12L</v>
      </c>
      <c r="Q28" s="254" t="str">
        <v>3L</v>
      </c>
      <c r="R28" s="252" t="str">
        <f t="shared" si="1"/>
        <v>USD12L3L20Y</v>
      </c>
      <c r="S28" s="204" t="str">
        <v>USD12L3L20Y=ICAP</v>
      </c>
      <c r="T28" s="324">
        <v>24.5</v>
      </c>
      <c r="U28" s="324">
        <v>0</v>
      </c>
      <c r="V28" s="324">
        <f>_xll.qlMidEquivalent(T28,U28)</f>
        <v>24.5</v>
      </c>
      <c r="W28" s="199" t="b">
        <f t="shared" si="2"/>
        <v>1</v>
      </c>
      <c r="X28" s="325">
        <v>24.5</v>
      </c>
      <c r="Y28" s="201"/>
      <c r="Z28" s="322">
        <v>24.5</v>
      </c>
      <c r="AA28" s="201"/>
      <c r="AB28" s="433">
        <v>24.5</v>
      </c>
      <c r="AC28" s="198">
        <f>_xll.qlSimpleQuoteSetValue(F28,AB28/10000,Trigger)</f>
        <v>0</v>
      </c>
      <c r="AD28" s="169"/>
      <c r="AE28" s="13"/>
      <c r="AF28" s="13"/>
      <c r="AG28" s="13"/>
      <c r="AH28" s="13"/>
    </row>
    <row r="29" spans="1:34" x14ac:dyDescent="0.2">
      <c r="A29" s="53"/>
      <c r="B29" s="52" t="s">
        <v>65</v>
      </c>
      <c r="C29" s="51" t="str">
        <f t="shared" si="3"/>
        <v>12L</v>
      </c>
      <c r="D29" s="50" t="str">
        <f t="shared" si="4"/>
        <v>3L</v>
      </c>
      <c r="E29" s="49" t="str">
        <f t="shared" si="0"/>
        <v>USD12L3L21Y_Quote</v>
      </c>
      <c r="F29" s="49" t="str">
        <f>_xll.qlSimpleQuote(E29,,RateTickValue,Permanent,Trigger,ObjectOverwrite)</f>
        <v>USD12L3L21Y_Quote#0000</v>
      </c>
      <c r="G29" s="48" t="str">
        <f>_xll.ohRangeRetrieveError(F29)</f>
        <v/>
      </c>
      <c r="H29" s="47"/>
      <c r="N29" s="96">
        <v>21</v>
      </c>
      <c r="O29" s="205" t="s">
        <v>65</v>
      </c>
      <c r="P29" s="254" t="str">
        <v>12L</v>
      </c>
      <c r="Q29" s="254" t="str">
        <v>3L</v>
      </c>
      <c r="R29" s="252" t="str">
        <f t="shared" si="1"/>
        <v>USD12L3L21Y</v>
      </c>
      <c r="S29" s="204" t="str">
        <v>USD12L3L21Y=ICAP</v>
      </c>
      <c r="T29" s="324" t="s">
        <v>213</v>
      </c>
      <c r="U29" s="324" t="s">
        <v>213</v>
      </c>
      <c r="V29" s="324" t="e">
        <f>_xll.qlMidEquivalent(T29,U29)</f>
        <v>#NUM!</v>
      </c>
      <c r="W29" s="199" t="b">
        <f t="shared" si="2"/>
        <v>0</v>
      </c>
      <c r="X29" s="325">
        <v>24.437637189530431</v>
      </c>
      <c r="Y29" s="201"/>
      <c r="Z29" s="322">
        <v>24.437637189530431</v>
      </c>
      <c r="AA29" s="201"/>
      <c r="AB29" s="433">
        <v>24.437637189530431</v>
      </c>
      <c r="AC29" s="198">
        <f>_xll.qlSimpleQuoteSetValue(F29,AB29/10000,Trigger)</f>
        <v>-1.5251257099672261E-8</v>
      </c>
      <c r="AD29" s="169"/>
      <c r="AE29" s="13"/>
      <c r="AF29" s="13"/>
      <c r="AG29" s="13"/>
      <c r="AH29" s="13"/>
    </row>
    <row r="30" spans="1:34" x14ac:dyDescent="0.2">
      <c r="A30" s="53"/>
      <c r="B30" s="52" t="s">
        <v>64</v>
      </c>
      <c r="C30" s="51" t="str">
        <f t="shared" si="3"/>
        <v>12L</v>
      </c>
      <c r="D30" s="50" t="str">
        <f t="shared" si="4"/>
        <v>3L</v>
      </c>
      <c r="E30" s="49" t="str">
        <f t="shared" si="0"/>
        <v>USD12L3L22Y_Quote</v>
      </c>
      <c r="F30" s="49" t="str">
        <f>_xll.qlSimpleQuote(E30,,RateTickValue,Permanent,Trigger,ObjectOverwrite)</f>
        <v>USD12L3L22Y_Quote#0000</v>
      </c>
      <c r="G30" s="48" t="str">
        <f>_xll.ohRangeRetrieveError(F30)</f>
        <v/>
      </c>
      <c r="H30" s="47"/>
      <c r="N30" s="96">
        <v>22</v>
      </c>
      <c r="O30" s="205" t="s">
        <v>64</v>
      </c>
      <c r="P30" s="254" t="str">
        <v>12L</v>
      </c>
      <c r="Q30" s="254" t="str">
        <v>3L</v>
      </c>
      <c r="R30" s="252" t="str">
        <f t="shared" si="1"/>
        <v>USD12L3L22Y</v>
      </c>
      <c r="S30" s="204" t="str">
        <v>USD12L3L22Y=ICAP</v>
      </c>
      <c r="T30" s="324" t="s">
        <v>213</v>
      </c>
      <c r="U30" s="324" t="s">
        <v>213</v>
      </c>
      <c r="V30" s="324" t="e">
        <f>_xll.qlMidEquivalent(T30,U30)</f>
        <v>#NUM!</v>
      </c>
      <c r="W30" s="199" t="b">
        <f t="shared" si="2"/>
        <v>0</v>
      </c>
      <c r="X30" s="325">
        <v>24.37464648691304</v>
      </c>
      <c r="Y30" s="201"/>
      <c r="Z30" s="322">
        <v>24.37464648691304</v>
      </c>
      <c r="AA30" s="201"/>
      <c r="AB30" s="433">
        <v>24.37464648691304</v>
      </c>
      <c r="AC30" s="198">
        <f>_xll.qlSimpleQuoteSetValue(F30,AB30/10000,Trigger)</f>
        <v>-1.9064071374481906E-8</v>
      </c>
      <c r="AD30" s="169"/>
      <c r="AE30" s="13"/>
      <c r="AF30" s="13"/>
      <c r="AG30" s="13"/>
      <c r="AH30" s="13"/>
    </row>
    <row r="31" spans="1:34" x14ac:dyDescent="0.2">
      <c r="A31" s="53"/>
      <c r="B31" s="52" t="s">
        <v>63</v>
      </c>
      <c r="C31" s="51" t="str">
        <f t="shared" si="3"/>
        <v>12L</v>
      </c>
      <c r="D31" s="50" t="str">
        <f t="shared" si="4"/>
        <v>3L</v>
      </c>
      <c r="E31" s="49" t="str">
        <f t="shared" si="0"/>
        <v>USD12L3L23Y_Quote</v>
      </c>
      <c r="F31" s="49" t="str">
        <f>_xll.qlSimpleQuote(E31,,RateTickValue,Permanent,Trigger,ObjectOverwrite)</f>
        <v>USD12L3L23Y_Quote#0000</v>
      </c>
      <c r="G31" s="48" t="str">
        <f>_xll.ohRangeRetrieveError(F31)</f>
        <v/>
      </c>
      <c r="H31" s="47"/>
      <c r="N31" s="96">
        <v>23</v>
      </c>
      <c r="O31" s="205" t="s">
        <v>63</v>
      </c>
      <c r="P31" s="254" t="str">
        <v>12L</v>
      </c>
      <c r="Q31" s="254" t="str">
        <v>3L</v>
      </c>
      <c r="R31" s="252" t="str">
        <f t="shared" si="1"/>
        <v>USD12L3L23Y</v>
      </c>
      <c r="S31" s="204" t="str">
        <v>USD12L3L23Y=ICAP</v>
      </c>
      <c r="T31" s="324" t="s">
        <v>213</v>
      </c>
      <c r="U31" s="324" t="s">
        <v>213</v>
      </c>
      <c r="V31" s="324" t="e">
        <f>_xll.qlMidEquivalent(T31,U31)</f>
        <v>#NUM!</v>
      </c>
      <c r="W31" s="199" t="b">
        <f t="shared" si="2"/>
        <v>0</v>
      </c>
      <c r="X31" s="325">
        <v>24.31283718953043</v>
      </c>
      <c r="Y31" s="201"/>
      <c r="Z31" s="322">
        <v>24.31283718953043</v>
      </c>
      <c r="AA31" s="201"/>
      <c r="AB31" s="433">
        <v>24.31283718953043</v>
      </c>
      <c r="AC31" s="198">
        <f>_xll.qlSimpleQuoteSetValue(F31,AB31/10000,Trigger)</f>
        <v>-1.5251257099672261E-8</v>
      </c>
      <c r="AD31" s="169"/>
      <c r="AE31" s="13"/>
      <c r="AF31" s="13"/>
      <c r="AG31" s="13"/>
      <c r="AH31" s="13"/>
    </row>
    <row r="32" spans="1:34" x14ac:dyDescent="0.2">
      <c r="A32" s="53"/>
      <c r="B32" s="52" t="s">
        <v>62</v>
      </c>
      <c r="C32" s="51" t="str">
        <f t="shared" si="3"/>
        <v>12L</v>
      </c>
      <c r="D32" s="50" t="str">
        <f t="shared" si="4"/>
        <v>3L</v>
      </c>
      <c r="E32" s="49" t="str">
        <f t="shared" si="0"/>
        <v>USD12L3L24Y_Quote</v>
      </c>
      <c r="F32" s="49" t="str">
        <f>_xll.qlSimpleQuote(E32,,RateTickValue,Permanent,Trigger,ObjectOverwrite)</f>
        <v>USD12L3L24Y_Quote#0000</v>
      </c>
      <c r="G32" s="48" t="str">
        <f>_xll.ohRangeRetrieveError(F32)</f>
        <v/>
      </c>
      <c r="H32" s="47"/>
      <c r="N32" s="96">
        <v>24</v>
      </c>
      <c r="O32" s="205" t="s">
        <v>62</v>
      </c>
      <c r="P32" s="254" t="str">
        <v>12L</v>
      </c>
      <c r="Q32" s="254" t="str">
        <v>3L</v>
      </c>
      <c r="R32" s="252" t="str">
        <f t="shared" si="1"/>
        <v>USD12L3L24Y</v>
      </c>
      <c r="S32" s="204" t="str">
        <v>USD12L3L24Y=ICAP</v>
      </c>
      <c r="T32" s="324" t="s">
        <v>213</v>
      </c>
      <c r="U32" s="324" t="s">
        <v>213</v>
      </c>
      <c r="V32" s="324" t="e">
        <f>_xll.qlMidEquivalent(T32,U32)</f>
        <v>#NUM!</v>
      </c>
      <c r="W32" s="199" t="b">
        <f t="shared" si="2"/>
        <v>0</v>
      </c>
      <c r="X32" s="325">
        <v>24.254018594765217</v>
      </c>
      <c r="Y32" s="201"/>
      <c r="Z32" s="322">
        <v>24.254018594765217</v>
      </c>
      <c r="AA32" s="201"/>
      <c r="AB32" s="433">
        <v>24.254018594765217</v>
      </c>
      <c r="AC32" s="198">
        <f>_xll.qlSimpleQuoteSetValue(F32,AB32/10000,Trigger)</f>
        <v>-7.6256285496192899E-9</v>
      </c>
      <c r="AD32" s="169"/>
      <c r="AE32" s="13"/>
      <c r="AF32" s="13"/>
      <c r="AG32" s="13"/>
      <c r="AH32" s="13"/>
    </row>
    <row r="33" spans="1:34" x14ac:dyDescent="0.2">
      <c r="A33" s="53"/>
      <c r="B33" s="52" t="s">
        <v>61</v>
      </c>
      <c r="C33" s="51" t="str">
        <f t="shared" si="3"/>
        <v>12L</v>
      </c>
      <c r="D33" s="50" t="str">
        <f t="shared" si="4"/>
        <v>3L</v>
      </c>
      <c r="E33" s="49" t="str">
        <f t="shared" si="0"/>
        <v>USD12L3L25Y_Quote</v>
      </c>
      <c r="F33" s="49" t="str">
        <f>_xll.qlSimpleQuote(E33,,RateTickValue,Permanent,Trigger,ObjectOverwrite)</f>
        <v>USD12L3L25Y_Quote#0000</v>
      </c>
      <c r="G33" s="48" t="str">
        <f>_xll.ohRangeRetrieveError(F33)</f>
        <v/>
      </c>
      <c r="H33" s="47"/>
      <c r="N33" s="96">
        <v>25</v>
      </c>
      <c r="O33" s="205" t="s">
        <v>61</v>
      </c>
      <c r="P33" s="254" t="str">
        <v>12L</v>
      </c>
      <c r="Q33" s="254" t="str">
        <v>3L</v>
      </c>
      <c r="R33" s="252" t="str">
        <f t="shared" si="1"/>
        <v>USD12L3L25Y</v>
      </c>
      <c r="S33" s="204" t="str">
        <v>USD12L3L25Y=ICAP</v>
      </c>
      <c r="T33" s="324">
        <v>24.2</v>
      </c>
      <c r="U33" s="324">
        <v>0</v>
      </c>
      <c r="V33" s="324">
        <f>_xll.qlMidEquivalent(T33,U33)</f>
        <v>24.2</v>
      </c>
      <c r="W33" s="199" t="b">
        <f t="shared" si="2"/>
        <v>1</v>
      </c>
      <c r="X33" s="325">
        <v>24.2</v>
      </c>
      <c r="Y33" s="201"/>
      <c r="Z33" s="322">
        <v>24.2</v>
      </c>
      <c r="AA33" s="201"/>
      <c r="AB33" s="433">
        <v>24.2</v>
      </c>
      <c r="AC33" s="198">
        <f>_xll.qlSimpleQuoteSetValue(F33,AB33/10000,Trigger)</f>
        <v>0</v>
      </c>
      <c r="AD33" s="169"/>
      <c r="AE33" s="13"/>
      <c r="AF33" s="13"/>
      <c r="AG33" s="13"/>
      <c r="AH33" s="13"/>
    </row>
    <row r="34" spans="1:34" x14ac:dyDescent="0.2">
      <c r="A34" s="53"/>
      <c r="B34" s="52" t="s">
        <v>60</v>
      </c>
      <c r="C34" s="51" t="str">
        <f t="shared" si="3"/>
        <v>12L</v>
      </c>
      <c r="D34" s="50" t="str">
        <f t="shared" si="4"/>
        <v>3L</v>
      </c>
      <c r="E34" s="49" t="str">
        <f t="shared" si="0"/>
        <v>USD12L3L26Y_Quote</v>
      </c>
      <c r="F34" s="49" t="str">
        <f>_xll.qlSimpleQuote(E34,,RateTickValue,Permanent,Trigger,ObjectOverwrite)</f>
        <v>USD12L3L26Y_Quote#0000</v>
      </c>
      <c r="G34" s="48" t="str">
        <f>_xll.ohRangeRetrieveError(F34)</f>
        <v/>
      </c>
      <c r="H34" s="47"/>
      <c r="N34" s="96">
        <v>26</v>
      </c>
      <c r="O34" s="205" t="s">
        <v>60</v>
      </c>
      <c r="P34" s="254" t="str">
        <v>12L</v>
      </c>
      <c r="Q34" s="254" t="str">
        <v>3L</v>
      </c>
      <c r="R34" s="252" t="str">
        <f t="shared" si="1"/>
        <v>USD12L3L26Y</v>
      </c>
      <c r="S34" s="204" t="str">
        <v>USD12L3L26Y=ICAP</v>
      </c>
      <c r="T34" s="324" t="s">
        <v>213</v>
      </c>
      <c r="U34" s="324" t="s">
        <v>213</v>
      </c>
      <c r="V34" s="324" t="e">
        <f>_xll.qlMidEquivalent(T34,U34)</f>
        <v>#NUM!</v>
      </c>
      <c r="W34" s="199" t="b">
        <f t="shared" si="2"/>
        <v>0</v>
      </c>
      <c r="X34" s="325">
        <v>24.152068843140871</v>
      </c>
      <c r="Y34" s="201"/>
      <c r="Z34" s="322">
        <v>24.152068843140871</v>
      </c>
      <c r="AA34" s="201"/>
      <c r="AB34" s="433">
        <v>24.152068843140871</v>
      </c>
      <c r="AC34" s="198">
        <f>_xll.qlSimpleQuoteSetValue(F34,AB34/10000,Trigger)</f>
        <v>4.5753771301185187E-9</v>
      </c>
      <c r="AD34" s="169"/>
      <c r="AE34" s="13"/>
      <c r="AF34" s="13"/>
      <c r="AG34" s="13"/>
      <c r="AH34" s="13"/>
    </row>
    <row r="35" spans="1:34" x14ac:dyDescent="0.2">
      <c r="A35" s="53"/>
      <c r="B35" s="52" t="s">
        <v>59</v>
      </c>
      <c r="C35" s="51" t="str">
        <f t="shared" si="3"/>
        <v>12L</v>
      </c>
      <c r="D35" s="50" t="str">
        <f t="shared" si="4"/>
        <v>3L</v>
      </c>
      <c r="E35" s="49" t="str">
        <f t="shared" si="0"/>
        <v>USD12L3L27Y_Quote</v>
      </c>
      <c r="F35" s="49" t="str">
        <f>_xll.qlSimpleQuote(E35,,RateTickValue,Permanent,Trigger,ObjectOverwrite)</f>
        <v>USD12L3L27Y_Quote#0000</v>
      </c>
      <c r="G35" s="48" t="str">
        <f>_xll.ohRangeRetrieveError(F35)</f>
        <v/>
      </c>
      <c r="H35" s="47"/>
      <c r="N35" s="96">
        <v>27</v>
      </c>
      <c r="O35" s="205" t="s">
        <v>59</v>
      </c>
      <c r="P35" s="254" t="str">
        <v>12L</v>
      </c>
      <c r="Q35" s="254" t="str">
        <v>3L</v>
      </c>
      <c r="R35" s="252" t="str">
        <f t="shared" si="1"/>
        <v>USD12L3L27Y</v>
      </c>
      <c r="S35" s="204" t="str">
        <v>USD12L3L27Y=ICAP</v>
      </c>
      <c r="T35" s="324" t="s">
        <v>213</v>
      </c>
      <c r="U35" s="324" t="s">
        <v>213</v>
      </c>
      <c r="V35" s="324" t="e">
        <f>_xll.qlMidEquivalent(T35,U35)</f>
        <v>#NUM!</v>
      </c>
      <c r="W35" s="199" t="b">
        <f t="shared" si="2"/>
        <v>0</v>
      </c>
      <c r="X35" s="325">
        <v>24.109425124187826</v>
      </c>
      <c r="Y35" s="201"/>
      <c r="Z35" s="322">
        <v>24.109425124187826</v>
      </c>
      <c r="AA35" s="201"/>
      <c r="AB35" s="433">
        <v>24.109425124187826</v>
      </c>
      <c r="AC35" s="198">
        <f>_xll.qlSimpleQuoteSetValue(F35,AB35/10000,Trigger)</f>
        <v>6.1005028398689043E-9</v>
      </c>
      <c r="AD35" s="169"/>
      <c r="AE35" s="13"/>
      <c r="AF35" s="13"/>
      <c r="AG35" s="13"/>
      <c r="AH35" s="13"/>
    </row>
    <row r="36" spans="1:34" x14ac:dyDescent="0.2">
      <c r="A36" s="53"/>
      <c r="B36" s="52" t="s">
        <v>58</v>
      </c>
      <c r="C36" s="51" t="str">
        <f t="shared" si="3"/>
        <v>12L</v>
      </c>
      <c r="D36" s="50" t="str">
        <f t="shared" si="4"/>
        <v>3L</v>
      </c>
      <c r="E36" s="49" t="str">
        <f t="shared" si="0"/>
        <v>USD12L3L28Y_Quote</v>
      </c>
      <c r="F36" s="49" t="str">
        <f>_xll.qlSimpleQuote(E36,,RateTickValue,Permanent,Trigger,ObjectOverwrite)</f>
        <v>USD12L3L28Y_Quote#0000</v>
      </c>
      <c r="G36" s="48" t="str">
        <f>_xll.ohRangeRetrieveError(F36)</f>
        <v/>
      </c>
      <c r="H36" s="47"/>
      <c r="N36" s="96">
        <v>28</v>
      </c>
      <c r="O36" s="205" t="s">
        <v>58</v>
      </c>
      <c r="P36" s="254" t="str">
        <v>12L</v>
      </c>
      <c r="Q36" s="254" t="str">
        <v>3L</v>
      </c>
      <c r="R36" s="252" t="str">
        <f t="shared" si="1"/>
        <v>USD12L3L28Y</v>
      </c>
      <c r="S36" s="204" t="str">
        <v>USD12L3L28Y=ICAP</v>
      </c>
      <c r="T36" s="324" t="s">
        <v>213</v>
      </c>
      <c r="U36" s="324" t="s">
        <v>213</v>
      </c>
      <c r="V36" s="324" t="e">
        <f>_xll.qlMidEquivalent(T36,U36)</f>
        <v>#NUM!</v>
      </c>
      <c r="W36" s="199" t="b">
        <f t="shared" si="2"/>
        <v>0</v>
      </c>
      <c r="X36" s="325">
        <v>24.07074698366435</v>
      </c>
      <c r="Y36" s="201"/>
      <c r="Z36" s="322">
        <v>24.07074698366435</v>
      </c>
      <c r="AA36" s="201"/>
      <c r="AB36" s="433">
        <v>24.07074698366435</v>
      </c>
      <c r="AC36" s="198">
        <f>_xll.qlSimpleQuoteSetValue(F36,AB36/10000,Trigger)</f>
        <v>5.3379399849937115E-9</v>
      </c>
      <c r="AD36" s="169"/>
      <c r="AE36" s="13"/>
      <c r="AF36" s="13"/>
      <c r="AG36" s="13"/>
      <c r="AH36" s="13"/>
    </row>
    <row r="37" spans="1:34" x14ac:dyDescent="0.2">
      <c r="A37" s="53"/>
      <c r="B37" s="52" t="s">
        <v>57</v>
      </c>
      <c r="C37" s="51" t="str">
        <f t="shared" si="3"/>
        <v>12L</v>
      </c>
      <c r="D37" s="50" t="str">
        <f t="shared" si="4"/>
        <v>3L</v>
      </c>
      <c r="E37" s="49" t="str">
        <f t="shared" si="0"/>
        <v>USD12L3L29Y_Quote</v>
      </c>
      <c r="F37" s="49" t="str">
        <f>_xll.qlSimpleQuote(E37,,RateTickValue,Permanent,Trigger,ObjectOverwrite)</f>
        <v>USD12L3L29Y_Quote#0000</v>
      </c>
      <c r="G37" s="48" t="str">
        <f>_xll.ohRangeRetrieveError(F37)</f>
        <v/>
      </c>
      <c r="H37" s="47"/>
      <c r="N37" s="96">
        <v>29</v>
      </c>
      <c r="O37" s="205" t="s">
        <v>57</v>
      </c>
      <c r="P37" s="254" t="str">
        <v>12L</v>
      </c>
      <c r="Q37" s="254" t="str">
        <v>3L</v>
      </c>
      <c r="R37" s="252" t="str">
        <f t="shared" si="1"/>
        <v>USD12L3L29Y</v>
      </c>
      <c r="S37" s="204" t="str">
        <v>USD12L3L29Y=ICAP</v>
      </c>
      <c r="T37" s="324" t="s">
        <v>213</v>
      </c>
      <c r="U37" s="324" t="s">
        <v>213</v>
      </c>
      <c r="V37" s="324" t="e">
        <f>_xll.qlMidEquivalent(T37,U37)</f>
        <v>#NUM!</v>
      </c>
      <c r="W37" s="199" t="b">
        <f t="shared" si="2"/>
        <v>0</v>
      </c>
      <c r="X37" s="325">
        <v>24.034712562093912</v>
      </c>
      <c r="Y37" s="201"/>
      <c r="Z37" s="322">
        <v>24.034712562093912</v>
      </c>
      <c r="AA37" s="201"/>
      <c r="AB37" s="433">
        <v>24.034712562093912</v>
      </c>
      <c r="AC37" s="198">
        <f>_xll.qlSimpleQuoteSetValue(F37,AB37/10000,Trigger)</f>
        <v>3.0502514199344521E-9</v>
      </c>
      <c r="AD37" s="169"/>
      <c r="AE37" s="13"/>
      <c r="AF37" s="13"/>
      <c r="AG37" s="13"/>
      <c r="AH37" s="13"/>
    </row>
    <row r="38" spans="1:34" x14ac:dyDescent="0.2">
      <c r="A38" s="53"/>
      <c r="B38" s="52" t="s">
        <v>56</v>
      </c>
      <c r="C38" s="51" t="str">
        <f t="shared" si="3"/>
        <v>12L</v>
      </c>
      <c r="D38" s="50" t="str">
        <f t="shared" si="4"/>
        <v>3L</v>
      </c>
      <c r="E38" s="49" t="str">
        <f t="shared" si="0"/>
        <v>USD12L3L30Y_Quote</v>
      </c>
      <c r="F38" s="49" t="str">
        <f>_xll.qlSimpleQuote(E38,,RateTickValue,Permanent,Trigger,ObjectOverwrite)</f>
        <v>USD12L3L30Y_Quote#0000</v>
      </c>
      <c r="G38" s="48" t="str">
        <f>_xll.ohRangeRetrieveError(F38)</f>
        <v/>
      </c>
      <c r="H38" s="47"/>
      <c r="N38" s="96">
        <v>30</v>
      </c>
      <c r="O38" s="205" t="s">
        <v>56</v>
      </c>
      <c r="P38" s="254" t="str">
        <v>12L</v>
      </c>
      <c r="Q38" s="254" t="str">
        <v>3L</v>
      </c>
      <c r="R38" s="252" t="str">
        <f t="shared" si="1"/>
        <v>USD12L3L30Y</v>
      </c>
      <c r="S38" s="204" t="str">
        <v>USD12L3L30Y=ICAP</v>
      </c>
      <c r="T38" s="324">
        <v>24</v>
      </c>
      <c r="U38" s="324">
        <v>0</v>
      </c>
      <c r="V38" s="324">
        <f>_xll.qlMidEquivalent(T38,U38)</f>
        <v>24</v>
      </c>
      <c r="W38" s="199" t="b">
        <f t="shared" si="2"/>
        <v>1</v>
      </c>
      <c r="X38" s="325">
        <v>24</v>
      </c>
      <c r="Y38" s="201"/>
      <c r="Z38" s="322">
        <v>24</v>
      </c>
      <c r="AA38" s="201"/>
      <c r="AB38" s="433">
        <v>24</v>
      </c>
      <c r="AC38" s="198">
        <f>_xll.qlSimpleQuoteSetValue(F38,AB38/10000,Trigger)</f>
        <v>0</v>
      </c>
      <c r="AD38" s="169"/>
      <c r="AE38" s="13"/>
      <c r="AF38" s="13"/>
      <c r="AG38" s="13"/>
      <c r="AH38" s="13"/>
    </row>
    <row r="39" spans="1:34" x14ac:dyDescent="0.2">
      <c r="A39" s="53"/>
      <c r="B39" s="52" t="s">
        <v>51</v>
      </c>
      <c r="C39" s="51" t="str">
        <f t="shared" si="3"/>
        <v>12L</v>
      </c>
      <c r="D39" s="50" t="str">
        <f t="shared" si="4"/>
        <v>3L</v>
      </c>
      <c r="E39" s="49" t="str">
        <f t="shared" si="0"/>
        <v>USD12L3L35Y_Quote</v>
      </c>
      <c r="F39" s="49" t="str">
        <f>_xll.qlSimpleQuote(E39,,RateTickValue,Permanent,Trigger,ObjectOverwrite)</f>
        <v>USD12L3L35Y_Quote#0000</v>
      </c>
      <c r="G39" s="48" t="str">
        <f>_xll.ohRangeRetrieveError(F39)</f>
        <v/>
      </c>
      <c r="H39" s="47"/>
      <c r="N39" s="96">
        <v>35</v>
      </c>
      <c r="O39" s="205" t="s">
        <v>51</v>
      </c>
      <c r="P39" s="254" t="str">
        <v>12L</v>
      </c>
      <c r="Q39" s="254" t="str">
        <v>3L</v>
      </c>
      <c r="R39" s="252" t="str">
        <f t="shared" si="1"/>
        <v>USD12L3L35Y</v>
      </c>
      <c r="S39" s="204" t="str">
        <v>USD12L3L35Y=ICAP</v>
      </c>
      <c r="T39" s="324" t="s">
        <v>213</v>
      </c>
      <c r="U39" s="324" t="s">
        <v>213</v>
      </c>
      <c r="V39" s="324" t="e">
        <f>_xll.qlMidEquivalent(T39,U39)</f>
        <v>#NUM!</v>
      </c>
      <c r="W39" s="199" t="b">
        <f t="shared" si="2"/>
        <v>0</v>
      </c>
      <c r="X39" s="323">
        <f>X38</f>
        <v>24</v>
      </c>
      <c r="Y39" s="201"/>
      <c r="Z39" s="322">
        <v>24</v>
      </c>
      <c r="AA39" s="201"/>
      <c r="AB39" s="433">
        <v>24</v>
      </c>
      <c r="AC39" s="198">
        <f>_xll.qlSimpleQuoteSetValue(F39,AB39/10000,Trigger)</f>
        <v>0</v>
      </c>
      <c r="AD39" s="169"/>
      <c r="AE39" s="13"/>
      <c r="AF39" s="13"/>
      <c r="AG39" s="13"/>
      <c r="AH39" s="13"/>
    </row>
    <row r="40" spans="1:34" x14ac:dyDescent="0.2">
      <c r="A40" s="53"/>
      <c r="B40" s="52" t="s">
        <v>46</v>
      </c>
      <c r="C40" s="51" t="str">
        <f t="shared" si="3"/>
        <v>12L</v>
      </c>
      <c r="D40" s="50" t="str">
        <f t="shared" si="4"/>
        <v>3L</v>
      </c>
      <c r="E40" s="49" t="str">
        <f t="shared" si="0"/>
        <v>USD12L3L40Y_Quote</v>
      </c>
      <c r="F40" s="49" t="str">
        <f>_xll.qlSimpleQuote(E40,,RateTickValue,Permanent,Trigger,ObjectOverwrite)</f>
        <v>USD12L3L40Y_Quote#0000</v>
      </c>
      <c r="G40" s="48" t="str">
        <f>_xll.ohRangeRetrieveError(F40)</f>
        <v/>
      </c>
      <c r="H40" s="47"/>
      <c r="N40" s="96">
        <v>40</v>
      </c>
      <c r="O40" s="205" t="s">
        <v>46</v>
      </c>
      <c r="P40" s="254" t="str">
        <v>12L</v>
      </c>
      <c r="Q40" s="254" t="str">
        <v>3L</v>
      </c>
      <c r="R40" s="252" t="str">
        <f t="shared" si="1"/>
        <v>USD12L3L40Y</v>
      </c>
      <c r="S40" s="204" t="str">
        <v>USD12L3L40Y=ICAP</v>
      </c>
      <c r="T40" s="324" t="s">
        <v>213</v>
      </c>
      <c r="U40" s="324" t="s">
        <v>213</v>
      </c>
      <c r="V40" s="324" t="e">
        <f>_xll.qlMidEquivalent(T40,U40)</f>
        <v>#NUM!</v>
      </c>
      <c r="W40" s="199" t="b">
        <f t="shared" si="2"/>
        <v>0</v>
      </c>
      <c r="X40" s="323">
        <f>X39</f>
        <v>24</v>
      </c>
      <c r="Y40" s="201"/>
      <c r="Z40" s="322">
        <v>24</v>
      </c>
      <c r="AA40" s="201"/>
      <c r="AB40" s="433">
        <v>24</v>
      </c>
      <c r="AC40" s="198">
        <f>_xll.qlSimpleQuoteSetValue(F40,AB40/10000,Trigger)</f>
        <v>0</v>
      </c>
      <c r="AD40" s="169"/>
      <c r="AE40" s="13"/>
      <c r="AF40" s="13"/>
      <c r="AG40" s="13"/>
      <c r="AH40" s="13"/>
    </row>
    <row r="41" spans="1:34" x14ac:dyDescent="0.2">
      <c r="A41" s="53"/>
      <c r="B41" s="52" t="s">
        <v>36</v>
      </c>
      <c r="C41" s="51" t="str">
        <f t="shared" si="3"/>
        <v>12L</v>
      </c>
      <c r="D41" s="50" t="str">
        <f t="shared" si="4"/>
        <v>3L</v>
      </c>
      <c r="E41" s="49" t="str">
        <f t="shared" si="0"/>
        <v>USD12L3L50Y_Quote</v>
      </c>
      <c r="F41" s="49" t="str">
        <f>_xll.qlSimpleQuote(E41,,RateTickValue,Permanent,Trigger,ObjectOverwrite)</f>
        <v>USD12L3L50Y_Quote#0000</v>
      </c>
      <c r="G41" s="48" t="str">
        <f>_xll.ohRangeRetrieveError(F41)</f>
        <v/>
      </c>
      <c r="H41" s="47"/>
      <c r="N41" s="96">
        <v>50</v>
      </c>
      <c r="O41" s="205" t="s">
        <v>36</v>
      </c>
      <c r="P41" s="254" t="str">
        <v>12L</v>
      </c>
      <c r="Q41" s="254" t="str">
        <v>3L</v>
      </c>
      <c r="R41" s="252" t="str">
        <f t="shared" si="1"/>
        <v>USD12L3L50Y</v>
      </c>
      <c r="S41" s="204" t="str">
        <v>USD12L3L50Y=ICAP</v>
      </c>
      <c r="T41" s="324" t="s">
        <v>213</v>
      </c>
      <c r="U41" s="324" t="s">
        <v>213</v>
      </c>
      <c r="V41" s="324" t="e">
        <f>_xll.qlMidEquivalent(T41,U41)</f>
        <v>#NUM!</v>
      </c>
      <c r="W41" s="199" t="b">
        <f t="shared" si="2"/>
        <v>0</v>
      </c>
      <c r="X41" s="323">
        <f>X40</f>
        <v>24</v>
      </c>
      <c r="Y41" s="201"/>
      <c r="Z41" s="322">
        <v>24</v>
      </c>
      <c r="AA41" s="201"/>
      <c r="AB41" s="433">
        <v>24</v>
      </c>
      <c r="AC41" s="198">
        <f>_xll.qlSimpleQuoteSetValue(F41,AB41/10000,Trigger)</f>
        <v>0</v>
      </c>
      <c r="AD41" s="169"/>
      <c r="AE41" s="13"/>
      <c r="AF41" s="13"/>
      <c r="AG41" s="13"/>
      <c r="AH41" s="13"/>
    </row>
    <row r="42" spans="1:34" x14ac:dyDescent="0.2">
      <c r="A42" s="53"/>
      <c r="B42" s="52" t="s">
        <v>26</v>
      </c>
      <c r="C42" s="51" t="str">
        <f t="shared" si="3"/>
        <v>12L</v>
      </c>
      <c r="D42" s="50" t="str">
        <f t="shared" si="4"/>
        <v>3L</v>
      </c>
      <c r="E42" s="49" t="str">
        <f t="shared" si="0"/>
        <v>USD12L3L60Y_Quote</v>
      </c>
      <c r="F42" s="49" t="str">
        <f>_xll.qlSimpleQuote(E42,,RateTickValue,Permanent,Trigger,ObjectOverwrite)</f>
        <v>USD12L3L60Y_Quote#0000</v>
      </c>
      <c r="G42" s="48" t="str">
        <f>_xll.ohRangeRetrieveError(F42)</f>
        <v/>
      </c>
      <c r="H42" s="47"/>
      <c r="N42" s="96">
        <v>60</v>
      </c>
      <c r="O42" s="217" t="s">
        <v>26</v>
      </c>
      <c r="P42" s="249" t="str">
        <v>12L</v>
      </c>
      <c r="Q42" s="249" t="str">
        <v>3L</v>
      </c>
      <c r="R42" s="247" t="str">
        <f t="shared" si="1"/>
        <v>USD12L3L60Y</v>
      </c>
      <c r="S42" s="216" t="str">
        <v>USD12L3L60Y=ICAP</v>
      </c>
      <c r="T42" s="321" t="s">
        <v>213</v>
      </c>
      <c r="U42" s="321" t="s">
        <v>213</v>
      </c>
      <c r="V42" s="321" t="e">
        <f>_xll.qlMidEquivalent(T42,U42)</f>
        <v>#NUM!</v>
      </c>
      <c r="W42" s="212" t="b">
        <f t="shared" si="2"/>
        <v>0</v>
      </c>
      <c r="X42" s="320">
        <f>X41</f>
        <v>24</v>
      </c>
      <c r="Y42" s="201"/>
      <c r="Z42" s="319">
        <v>24</v>
      </c>
      <c r="AA42" s="201"/>
      <c r="AB42" s="434">
        <v>24</v>
      </c>
      <c r="AC42" s="211">
        <f>_xll.qlSimpleQuoteSetValue(F42,AB42/10000,Trigger)</f>
        <v>0</v>
      </c>
      <c r="AD42" s="169"/>
      <c r="AE42" s="13"/>
      <c r="AF42" s="13"/>
      <c r="AG42" s="13"/>
      <c r="AH42" s="13"/>
    </row>
    <row r="43" spans="1:34" ht="13.5" thickBot="1" x14ac:dyDescent="0.25">
      <c r="A43" s="46"/>
      <c r="B43" s="45"/>
      <c r="C43" s="45"/>
      <c r="D43" s="45"/>
      <c r="E43" s="45"/>
      <c r="F43" s="44"/>
      <c r="G43" s="44"/>
      <c r="H43" s="43"/>
      <c r="N43" s="22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7"/>
      <c r="AE43" s="13"/>
      <c r="AF43" s="13"/>
      <c r="AG43" s="13"/>
      <c r="AH43" s="13"/>
    </row>
  </sheetData>
  <conditionalFormatting sqref="AC5:AC42">
    <cfRule type="cellIs" dxfId="27" priority="1" stopIfTrue="1" operator="greaterThan">
      <formula>0</formula>
    </cfRule>
    <cfRule type="cellIs" dxfId="26" priority="2" stopIfTrue="1" operator="lessThan">
      <formula>0</formula>
    </cfRule>
  </conditionalFormatting>
  <dataValidations count="2">
    <dataValidation type="list" allowBlank="1" showInputMessage="1" showErrorMessage="1" sqref="S43">
      <formula1>"FirstDerivative,SecondDerivative,Lagrange,NotAKnot,Periodic"</formula1>
    </dataValidation>
    <dataValidation type="list" showInputMessage="1" showErrorMessage="1" sqref="S2">
      <formula1>Contributors</formula1>
    </dataValidation>
  </dataValidations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X30"/>
  <sheetViews>
    <sheetView workbookViewId="0">
      <selection activeCell="P3" sqref="P3"/>
    </sheetView>
  </sheetViews>
  <sheetFormatPr defaultRowHeight="11.25" x14ac:dyDescent="0.2"/>
  <cols>
    <col min="1" max="1" width="2.7109375" style="77" customWidth="1"/>
    <col min="2" max="2" width="5.140625" style="77" bestFit="1" customWidth="1"/>
    <col min="3" max="3" width="17.85546875" style="77" bestFit="1" customWidth="1"/>
    <col min="4" max="4" width="16.7109375" style="77" bestFit="1" customWidth="1"/>
    <col min="5" max="5" width="36.85546875" style="77" bestFit="1" customWidth="1"/>
    <col min="6" max="8" width="2.7109375" style="77" customWidth="1"/>
    <col min="9" max="9" width="9.140625" style="77"/>
    <col min="10" max="10" width="11.85546875" style="77" customWidth="1"/>
    <col min="11" max="11" width="9.140625" style="77"/>
    <col min="12" max="12" width="2.7109375" style="77" customWidth="1"/>
    <col min="13" max="13" width="9.140625" style="77"/>
    <col min="14" max="14" width="2.7109375" style="77" customWidth="1"/>
    <col min="15" max="15" width="15.7109375" style="77" customWidth="1"/>
    <col min="16" max="16" width="9.140625" style="77"/>
    <col min="17" max="18" width="2.7109375" style="77" customWidth="1"/>
    <col min="19" max="20" width="9.140625" style="77"/>
    <col min="21" max="21" width="9.85546875" style="77" customWidth="1"/>
    <col min="22" max="22" width="8.85546875" style="77" customWidth="1"/>
    <col min="23" max="16384" width="9.140625" style="77"/>
  </cols>
  <sheetData>
    <row r="1" spans="1:23" x14ac:dyDescent="0.2">
      <c r="H1" s="235" t="s">
        <v>280</v>
      </c>
      <c r="I1" s="150"/>
      <c r="J1" s="13"/>
      <c r="K1" s="150"/>
      <c r="L1" s="150"/>
      <c r="M1" s="150"/>
      <c r="N1" s="150"/>
      <c r="O1" s="150"/>
      <c r="P1" s="150"/>
      <c r="Q1" s="147"/>
      <c r="R1" s="13"/>
      <c r="S1" s="13"/>
      <c r="T1" s="13"/>
      <c r="U1" s="13"/>
      <c r="V1" s="13"/>
      <c r="W1" s="13"/>
    </row>
    <row r="2" spans="1:23" ht="21" customHeight="1" x14ac:dyDescent="0.2">
      <c r="H2" s="234"/>
      <c r="I2" s="233"/>
      <c r="J2" s="118" t="s">
        <v>24</v>
      </c>
      <c r="K2" s="201"/>
      <c r="L2" s="201"/>
      <c r="M2" s="201"/>
      <c r="N2" s="201"/>
      <c r="O2" s="201"/>
      <c r="P2" s="201"/>
      <c r="Q2" s="23"/>
      <c r="R2" s="13"/>
      <c r="S2" s="13"/>
      <c r="T2" s="13"/>
      <c r="U2" s="13"/>
      <c r="V2" s="13"/>
      <c r="W2" s="13"/>
    </row>
    <row r="3" spans="1:23" x14ac:dyDescent="0.2">
      <c r="A3" s="139" t="s">
        <v>154</v>
      </c>
      <c r="B3" s="86"/>
      <c r="C3" s="86"/>
      <c r="D3" s="86"/>
      <c r="E3" s="86"/>
      <c r="F3" s="85"/>
      <c r="H3" s="96"/>
      <c r="I3" s="201"/>
      <c r="J3" s="201"/>
      <c r="K3" s="201"/>
      <c r="L3" s="201"/>
      <c r="M3" s="201"/>
      <c r="N3" s="201"/>
      <c r="O3" s="232"/>
      <c r="P3" s="231">
        <f>_xll.ohTrigger(P5:P18)</f>
        <v>2</v>
      </c>
      <c r="Q3" s="169"/>
      <c r="R3" s="13"/>
      <c r="S3" s="13"/>
      <c r="T3" s="13"/>
      <c r="U3" s="13"/>
      <c r="V3" s="13"/>
      <c r="W3" s="13"/>
    </row>
    <row r="4" spans="1:23" ht="22.5" x14ac:dyDescent="0.2">
      <c r="A4" s="53"/>
      <c r="B4" s="84"/>
      <c r="C4" s="65" t="str">
        <f>Currency&amp;"_010_"&amp;"Deposits.xml"</f>
        <v>USD_010_Deposits.xml</v>
      </c>
      <c r="D4" s="83" t="str">
        <f>IF(Serialize,_xll.ohObjectSave(D5:D22,SerializationPath&amp;C4,FileOverwrite,Serialize),"---")</f>
        <v>---</v>
      </c>
      <c r="E4" s="82" t="str">
        <f>_xll.ohRangeRetrieveError(D4)</f>
        <v/>
      </c>
      <c r="F4" s="78"/>
      <c r="H4" s="96"/>
      <c r="I4" s="228"/>
      <c r="J4" s="196" t="str">
        <f>_xll.RData(J8:J22,K4,,ReutersRtMode,,K8)</f>
        <v>Updated at 16:43:51</v>
      </c>
      <c r="K4" s="230" t="str">
        <f>VLOOKUP(Contributor,ContributorTable,5,FALSE)</f>
        <v>LAST</v>
      </c>
      <c r="L4" s="201"/>
      <c r="M4" s="229" t="s">
        <v>231</v>
      </c>
      <c r="N4" s="201"/>
      <c r="O4" s="228" t="s">
        <v>229</v>
      </c>
      <c r="P4" s="227" t="s">
        <v>228</v>
      </c>
      <c r="Q4" s="169"/>
      <c r="R4" s="13"/>
      <c r="S4" s="226" t="s">
        <v>227</v>
      </c>
      <c r="T4" s="225" t="s">
        <v>226</v>
      </c>
      <c r="U4" s="225" t="s">
        <v>225</v>
      </c>
      <c r="V4" s="225" t="s">
        <v>224</v>
      </c>
      <c r="W4" s="224" t="s">
        <v>223</v>
      </c>
    </row>
    <row r="5" spans="1:23" x14ac:dyDescent="0.2">
      <c r="A5" s="53"/>
      <c r="B5" s="81" t="s">
        <v>136</v>
      </c>
      <c r="C5" s="80" t="str">
        <f t="shared" ref="C5:C22" si="0">Currency&amp;$B5&amp;QuoteSuffix</f>
        <v>USDOND_Quote</v>
      </c>
      <c r="D5" s="80" t="str">
        <f>_xll.qlSimpleQuote(C5,,RateTickValue,Permanent,Trigger,ObjectOverwrite)</f>
        <v>USDOND_Quote#0000</v>
      </c>
      <c r="E5" s="79" t="str">
        <f>_xll.ohRangeRetrieveError(D5)</f>
        <v/>
      </c>
      <c r="F5" s="78"/>
      <c r="H5" s="96"/>
      <c r="I5" s="223" t="s">
        <v>189</v>
      </c>
      <c r="J5" s="222" t="str">
        <f t="array" ref="J5:J7">Currency&amp;VLOOKUP(U25,ContributorTable,2,FALSE)&amp;I5:I7&amp;VLOOKUP(U25,ContributorTable,3,FALSE)&amp;"="&amp;VLOOKUP(U25,ContributorTable,4,FALSE)</f>
        <v>USDOND=CKCC</v>
      </c>
      <c r="K5" s="221">
        <f>X28</f>
        <v>0.15000000000000002</v>
      </c>
      <c r="L5" s="201"/>
      <c r="M5" s="220">
        <v>0.15000000000000002</v>
      </c>
      <c r="N5" s="201"/>
      <c r="O5" s="281">
        <f t="array" ref="O5:O22">QuoteLive</f>
        <v>0.15000000000000002</v>
      </c>
      <c r="P5" s="218">
        <f>_xll.qlSimpleQuoteSetValue(D5,O5/100,Trigger)</f>
        <v>0</v>
      </c>
      <c r="Q5" s="169"/>
      <c r="R5" s="13"/>
      <c r="S5" s="210" t="s">
        <v>222</v>
      </c>
      <c r="T5" s="58" t="s">
        <v>221</v>
      </c>
      <c r="U5" s="58" t="s">
        <v>205</v>
      </c>
      <c r="V5" s="58" t="str">
        <f>""</f>
        <v/>
      </c>
      <c r="W5" s="209" t="s">
        <v>218</v>
      </c>
    </row>
    <row r="6" spans="1:23" x14ac:dyDescent="0.2">
      <c r="A6" s="53"/>
      <c r="B6" s="81" t="s">
        <v>135</v>
      </c>
      <c r="C6" s="80" t="str">
        <f t="shared" si="0"/>
        <v>USDTND_Quote</v>
      </c>
      <c r="D6" s="80" t="str">
        <f>_xll.qlSimpleQuote(C6,,RateTickValue,Permanent,Trigger,ObjectOverwrite)</f>
        <v>USDTND_Quote#0000</v>
      </c>
      <c r="E6" s="79" t="str">
        <f>_xll.ohRangeRetrieveError(D6)</f>
        <v/>
      </c>
      <c r="F6" s="78"/>
      <c r="H6" s="96"/>
      <c r="I6" s="205" t="s">
        <v>220</v>
      </c>
      <c r="J6" s="204" t="str">
        <v>USDTND=CKCC</v>
      </c>
      <c r="K6" s="203">
        <f>X29</f>
        <v>0.15000000000000002</v>
      </c>
      <c r="L6" s="201"/>
      <c r="M6" s="202">
        <v>0.15000000000000002</v>
      </c>
      <c r="N6" s="201"/>
      <c r="O6" s="274">
        <v>0.15000000000000002</v>
      </c>
      <c r="P6" s="198">
        <f>_xll.qlSimpleQuoteSetValue(D6,O6/100,Trigger)</f>
        <v>0</v>
      </c>
      <c r="Q6" s="169"/>
      <c r="R6" s="13"/>
      <c r="S6" s="210" t="s">
        <v>24</v>
      </c>
      <c r="T6" s="58"/>
      <c r="U6" s="58" t="s">
        <v>219</v>
      </c>
      <c r="V6" s="58"/>
      <c r="W6" s="209" t="s">
        <v>218</v>
      </c>
    </row>
    <row r="7" spans="1:23" x14ac:dyDescent="0.2">
      <c r="A7" s="53"/>
      <c r="B7" s="81" t="s">
        <v>134</v>
      </c>
      <c r="C7" s="80" t="str">
        <f t="shared" si="0"/>
        <v>USDSND_Quote</v>
      </c>
      <c r="D7" s="80" t="str">
        <f>_xll.qlSimpleQuote(C7,,RateTickValue,Permanent,Trigger,ObjectOverwrite)</f>
        <v>USDSND_Quote#0000</v>
      </c>
      <c r="E7" s="79" t="str">
        <f>_xll.ohRangeRetrieveError(D7)</f>
        <v/>
      </c>
      <c r="F7" s="78"/>
      <c r="H7" s="96"/>
      <c r="I7" s="217" t="s">
        <v>217</v>
      </c>
      <c r="J7" s="216" t="str">
        <v>USDSND=CKCC</v>
      </c>
      <c r="K7" s="215">
        <f>X30</f>
        <v>0.15000000000000002</v>
      </c>
      <c r="L7" s="201"/>
      <c r="M7" s="214">
        <v>0.15000000000000002</v>
      </c>
      <c r="N7" s="201"/>
      <c r="O7" s="267">
        <v>0.15000000000000002</v>
      </c>
      <c r="P7" s="211">
        <f>_xll.qlSimpleQuoteSetValue(D7,O7/100,Trigger)</f>
        <v>0</v>
      </c>
      <c r="Q7" s="169"/>
      <c r="R7" s="13"/>
      <c r="S7" s="210" t="s">
        <v>216</v>
      </c>
      <c r="T7" s="58"/>
      <c r="U7" s="58" t="s">
        <v>205</v>
      </c>
      <c r="V7" s="58"/>
      <c r="W7" s="209" t="s">
        <v>200</v>
      </c>
    </row>
    <row r="8" spans="1:23" x14ac:dyDescent="0.2">
      <c r="A8" s="53"/>
      <c r="B8" s="81" t="s">
        <v>133</v>
      </c>
      <c r="C8" s="80" t="str">
        <f t="shared" si="0"/>
        <v>USDSWD_Quote</v>
      </c>
      <c r="D8" s="80" t="str">
        <f>_xll.qlSimpleQuote(C8,,RateTickValue,Permanent,Trigger,ObjectOverwrite)</f>
        <v>USDSWD_Quote#0000</v>
      </c>
      <c r="E8" s="79" t="str">
        <f>_xll.ohRangeRetrieveError(D8)</f>
        <v/>
      </c>
      <c r="F8" s="78"/>
      <c r="H8" s="96"/>
      <c r="I8" s="205" t="s">
        <v>22</v>
      </c>
      <c r="J8" s="204" t="str">
        <f t="array" ref="J8:J22">Currency&amp;VLOOKUP(Contributor,ContributorTable,2,FALSE)&amp;I8:I22&amp;VLOOKUP(Contributor,ContributorTable,3,FALSE)&amp;"="&amp;VLOOKUP(Contributor,ContributorTable,4,FALSE)</f>
        <v>USDSWFSR=</v>
      </c>
      <c r="K8" s="203">
        <v>0.1225</v>
      </c>
      <c r="L8" s="201"/>
      <c r="M8" s="202">
        <v>0.1225</v>
      </c>
      <c r="N8" s="201"/>
      <c r="O8" s="274">
        <v>0.1225</v>
      </c>
      <c r="P8" s="198">
        <f>_xll.qlSimpleQuoteSetValue(D8,O8/100,Trigger)</f>
        <v>3.0000000000000079E-5</v>
      </c>
      <c r="Q8" s="169"/>
      <c r="R8" s="13"/>
      <c r="S8" s="210" t="s">
        <v>203</v>
      </c>
      <c r="T8" s="58"/>
      <c r="U8" s="58" t="s">
        <v>205</v>
      </c>
      <c r="V8" s="58" t="s">
        <v>215</v>
      </c>
      <c r="W8" s="209" t="s">
        <v>200</v>
      </c>
    </row>
    <row r="9" spans="1:23" x14ac:dyDescent="0.2">
      <c r="A9" s="53"/>
      <c r="B9" s="81" t="s">
        <v>132</v>
      </c>
      <c r="C9" s="80" t="str">
        <f t="shared" si="0"/>
        <v>USD2WD_Quote</v>
      </c>
      <c r="D9" s="80" t="str">
        <f>_xll.qlSimpleQuote(C9,,RateTickValue,Permanent,Trigger,ObjectOverwrite)</f>
        <v>USD2WD_Quote#0000</v>
      </c>
      <c r="E9" s="79" t="str">
        <f>_xll.ohRangeRetrieveError(D9)</f>
        <v/>
      </c>
      <c r="F9" s="78"/>
      <c r="H9" s="96"/>
      <c r="I9" s="205" t="s">
        <v>21</v>
      </c>
      <c r="J9" s="204" t="str">
        <v>USD2WFSR=</v>
      </c>
      <c r="K9" s="203">
        <v>0</v>
      </c>
      <c r="L9" s="201"/>
      <c r="M9" s="202">
        <v>0</v>
      </c>
      <c r="N9" s="201"/>
      <c r="O9" s="274">
        <v>0</v>
      </c>
      <c r="P9" s="198">
        <f>_xll.qlSimpleQuoteSetValue(D9,O9/100,Trigger)</f>
        <v>0</v>
      </c>
      <c r="Q9" s="169"/>
      <c r="R9" s="13"/>
      <c r="S9" s="210" t="s">
        <v>214</v>
      </c>
      <c r="T9" s="58"/>
      <c r="U9" s="58" t="s">
        <v>205</v>
      </c>
      <c r="V9" s="58" t="s">
        <v>214</v>
      </c>
      <c r="W9" s="209" t="s">
        <v>200</v>
      </c>
    </row>
    <row r="10" spans="1:23" x14ac:dyDescent="0.2">
      <c r="A10" s="53"/>
      <c r="B10" s="81" t="s">
        <v>131</v>
      </c>
      <c r="C10" s="80" t="str">
        <f t="shared" si="0"/>
        <v>USD3WD_Quote</v>
      </c>
      <c r="D10" s="80" t="str">
        <f>_xll.qlSimpleQuote(C10,,RateTickValue,Permanent,Trigger,ObjectOverwrite)</f>
        <v>USD3WD_Quote#0000</v>
      </c>
      <c r="E10" s="79" t="str">
        <f>_xll.ohRangeRetrieveError(D10)</f>
        <v/>
      </c>
      <c r="F10" s="78"/>
      <c r="H10" s="96"/>
      <c r="I10" s="205" t="s">
        <v>20</v>
      </c>
      <c r="J10" s="204" t="str">
        <v>USD3WFSR=</v>
      </c>
      <c r="K10" s="203" t="s">
        <v>213</v>
      </c>
      <c r="L10" s="201"/>
      <c r="M10" s="202" t="s">
        <v>213</v>
      </c>
      <c r="N10" s="201"/>
      <c r="O10" s="274" t="str">
        <v>The record could not be found</v>
      </c>
      <c r="P10" s="198" t="e">
        <f>_xll.qlSimpleQuoteSetValue(D10,O10/100,Trigger)</f>
        <v>#NUM!</v>
      </c>
      <c r="Q10" s="169"/>
      <c r="R10" s="13"/>
      <c r="S10" s="210" t="s">
        <v>212</v>
      </c>
      <c r="T10" s="58"/>
      <c r="U10" s="58" t="s">
        <v>205</v>
      </c>
      <c r="V10" s="58" t="s">
        <v>211</v>
      </c>
      <c r="W10" s="209" t="s">
        <v>200</v>
      </c>
    </row>
    <row r="11" spans="1:23" x14ac:dyDescent="0.2">
      <c r="A11" s="53"/>
      <c r="B11" s="81" t="s">
        <v>130</v>
      </c>
      <c r="C11" s="80" t="str">
        <f t="shared" si="0"/>
        <v>USD1MD_Quote</v>
      </c>
      <c r="D11" s="80" t="str">
        <f>_xll.qlSimpleQuote(C11,,RateTickValue,Permanent,Trigger,ObjectOverwrite)</f>
        <v>USD1MD_Quote#0000</v>
      </c>
      <c r="E11" s="79" t="str">
        <f>_xll.ohRangeRetrieveError(D11)</f>
        <v/>
      </c>
      <c r="F11" s="78"/>
      <c r="H11" s="96"/>
      <c r="I11" s="205" t="s">
        <v>19</v>
      </c>
      <c r="J11" s="204" t="str">
        <v>USD1MFSR=</v>
      </c>
      <c r="K11" s="203">
        <v>0.15049999999999999</v>
      </c>
      <c r="L11" s="201"/>
      <c r="M11" s="202">
        <v>0.15049999999999999</v>
      </c>
      <c r="N11" s="201"/>
      <c r="O11" s="274">
        <v>0.15049999999999999</v>
      </c>
      <c r="P11" s="198">
        <f>_xll.qlSimpleQuoteSetValue(D11,O11/100,Trigger)</f>
        <v>-9.9999999999998094E-6</v>
      </c>
      <c r="Q11" s="169"/>
      <c r="R11" s="13"/>
      <c r="S11" s="210" t="s">
        <v>210</v>
      </c>
      <c r="T11" s="58"/>
      <c r="U11" s="58" t="s">
        <v>205</v>
      </c>
      <c r="V11" s="58" t="s">
        <v>209</v>
      </c>
      <c r="W11" s="209" t="s">
        <v>200</v>
      </c>
    </row>
    <row r="12" spans="1:23" x14ac:dyDescent="0.2">
      <c r="A12" s="53"/>
      <c r="B12" s="81" t="s">
        <v>129</v>
      </c>
      <c r="C12" s="80" t="str">
        <f t="shared" si="0"/>
        <v>USD2MD_Quote</v>
      </c>
      <c r="D12" s="80" t="str">
        <f>_xll.qlSimpleQuote(C12,,RateTickValue,Permanent,Trigger,ObjectOverwrite)</f>
        <v>USD2MD_Quote#0000</v>
      </c>
      <c r="E12" s="79" t="str">
        <f>_xll.ohRangeRetrieveError(D12)</f>
        <v/>
      </c>
      <c r="F12" s="78"/>
      <c r="H12" s="96"/>
      <c r="I12" s="205" t="s">
        <v>18</v>
      </c>
      <c r="J12" s="204" t="str">
        <v>USD2MFSR=</v>
      </c>
      <c r="K12" s="203">
        <v>0.18925</v>
      </c>
      <c r="L12" s="201"/>
      <c r="M12" s="202">
        <v>0.18925</v>
      </c>
      <c r="N12" s="201"/>
      <c r="O12" s="274">
        <v>0.18925</v>
      </c>
      <c r="P12" s="198">
        <f>_xll.qlSimpleQuoteSetValue(D12,O12/100,Trigger)</f>
        <v>-5.0000000000000131E-6</v>
      </c>
      <c r="Q12" s="169"/>
      <c r="R12" s="13"/>
      <c r="S12" s="210" t="s">
        <v>208</v>
      </c>
      <c r="T12" s="58"/>
      <c r="U12" s="58" t="s">
        <v>205</v>
      </c>
      <c r="V12" s="58" t="s">
        <v>207</v>
      </c>
      <c r="W12" s="209" t="s">
        <v>200</v>
      </c>
    </row>
    <row r="13" spans="1:23" x14ac:dyDescent="0.2">
      <c r="A13" s="53"/>
      <c r="B13" s="81" t="s">
        <v>128</v>
      </c>
      <c r="C13" s="80" t="str">
        <f t="shared" si="0"/>
        <v>USD3MD_Quote</v>
      </c>
      <c r="D13" s="80" t="str">
        <f>_xll.qlSimpleQuote(C13,,RateTickValue,Permanent,Trigger,ObjectOverwrite)</f>
        <v>USD3MD_Quote#0000</v>
      </c>
      <c r="E13" s="79" t="str">
        <f>_xll.ohRangeRetrieveError(D13)</f>
        <v/>
      </c>
      <c r="F13" s="78"/>
      <c r="H13" s="96"/>
      <c r="I13" s="205" t="s">
        <v>17</v>
      </c>
      <c r="J13" s="204" t="str">
        <v>USD3MFSR=</v>
      </c>
      <c r="K13" s="203">
        <v>0.22484999999999999</v>
      </c>
      <c r="L13" s="201"/>
      <c r="M13" s="202">
        <v>0.22484999999999999</v>
      </c>
      <c r="N13" s="201"/>
      <c r="O13" s="274">
        <v>0.22484999999999999</v>
      </c>
      <c r="P13" s="198">
        <f>_xll.qlSimpleQuoteSetValue(D13,O13/100,Trigger)</f>
        <v>2.0000000000000052E-5</v>
      </c>
      <c r="Q13" s="169"/>
      <c r="R13" s="13"/>
      <c r="S13" s="208" t="s">
        <v>206</v>
      </c>
      <c r="T13" s="207"/>
      <c r="U13" s="207" t="s">
        <v>205</v>
      </c>
      <c r="V13" s="207" t="s">
        <v>204</v>
      </c>
      <c r="W13" s="206" t="s">
        <v>200</v>
      </c>
    </row>
    <row r="14" spans="1:23" x14ac:dyDescent="0.2">
      <c r="A14" s="53"/>
      <c r="B14" s="81" t="s">
        <v>127</v>
      </c>
      <c r="C14" s="80" t="str">
        <f t="shared" si="0"/>
        <v>USD4MD_Quote</v>
      </c>
      <c r="D14" s="80" t="str">
        <f>_xll.qlSimpleQuote(C14,,RateTickValue,Permanent,Trigger,ObjectOverwrite)</f>
        <v>USD4MD_Quote#0000</v>
      </c>
      <c r="E14" s="79" t="str">
        <f>_xll.ohRangeRetrieveError(D14)</f>
        <v/>
      </c>
      <c r="F14" s="78"/>
      <c r="H14" s="96"/>
      <c r="I14" s="205" t="s">
        <v>16</v>
      </c>
      <c r="J14" s="204" t="str">
        <v>USD4MFSR=</v>
      </c>
      <c r="K14" s="203">
        <v>0</v>
      </c>
      <c r="L14" s="201"/>
      <c r="M14" s="202">
        <v>0</v>
      </c>
      <c r="N14" s="201"/>
      <c r="O14" s="274">
        <v>0</v>
      </c>
      <c r="P14" s="198">
        <f>_xll.qlSimpleQuoteSetValue(D14,O14/100,Trigger)</f>
        <v>0</v>
      </c>
      <c r="Q14" s="169"/>
      <c r="R14" s="13"/>
      <c r="S14" s="13"/>
      <c r="T14" s="13"/>
      <c r="U14" s="13"/>
      <c r="V14" s="13"/>
      <c r="W14" s="13"/>
    </row>
    <row r="15" spans="1:23" x14ac:dyDescent="0.2">
      <c r="A15" s="53"/>
      <c r="B15" s="81" t="s">
        <v>126</v>
      </c>
      <c r="C15" s="80" t="str">
        <f t="shared" si="0"/>
        <v>USD5MD_Quote</v>
      </c>
      <c r="D15" s="80" t="str">
        <f>_xll.qlSimpleQuote(C15,,RateTickValue,Permanent,Trigger,ObjectOverwrite)</f>
        <v>USD5MD_Quote#0000</v>
      </c>
      <c r="E15" s="79" t="str">
        <f>_xll.ohRangeRetrieveError(D15)</f>
        <v/>
      </c>
      <c r="F15" s="78"/>
      <c r="H15" s="96"/>
      <c r="I15" s="205" t="s">
        <v>15</v>
      </c>
      <c r="J15" s="204" t="str">
        <v>USD5MFSR=</v>
      </c>
      <c r="K15" s="203">
        <v>0</v>
      </c>
      <c r="L15" s="201"/>
      <c r="M15" s="202">
        <v>0</v>
      </c>
      <c r="N15" s="201"/>
      <c r="O15" s="274">
        <v>0</v>
      </c>
      <c r="P15" s="198">
        <f>_xll.qlSimpleQuoteSetValue(D15,O15/100,Trigger)</f>
        <v>0</v>
      </c>
      <c r="Q15" s="169"/>
      <c r="R15" s="13"/>
      <c r="S15" s="13"/>
      <c r="T15" s="13"/>
      <c r="U15" s="13"/>
      <c r="V15" s="13"/>
      <c r="W15" s="13"/>
    </row>
    <row r="16" spans="1:23" x14ac:dyDescent="0.2">
      <c r="A16" s="53"/>
      <c r="B16" s="81" t="s">
        <v>125</v>
      </c>
      <c r="C16" s="80" t="str">
        <f t="shared" si="0"/>
        <v>USD6MD_Quote</v>
      </c>
      <c r="D16" s="80" t="str">
        <f>_xll.qlSimpleQuote(C16,,RateTickValue,Permanent,Trigger,ObjectOverwrite)</f>
        <v>USD6MD_Quote#0000</v>
      </c>
      <c r="E16" s="79" t="str">
        <f>_xll.ohRangeRetrieveError(D16)</f>
        <v/>
      </c>
      <c r="F16" s="78"/>
      <c r="H16" s="96"/>
      <c r="I16" s="205" t="s">
        <v>14</v>
      </c>
      <c r="J16" s="204" t="str">
        <v>USD6MFSR=</v>
      </c>
      <c r="K16" s="203">
        <v>0.32290000000000002</v>
      </c>
      <c r="L16" s="201"/>
      <c r="M16" s="202">
        <v>0.32290000000000002</v>
      </c>
      <c r="N16" s="201"/>
      <c r="O16" s="274">
        <v>0.32290000000000002</v>
      </c>
      <c r="P16" s="198">
        <f>_xll.qlSimpleQuoteSetValue(D16,O16/100,Trigger)</f>
        <v>4.0000000000000972E-6</v>
      </c>
      <c r="Q16" s="169"/>
      <c r="R16" s="13"/>
      <c r="S16" s="13"/>
      <c r="T16" s="13"/>
      <c r="U16" s="13"/>
      <c r="V16" s="13"/>
      <c r="W16" s="13"/>
    </row>
    <row r="17" spans="1:24" x14ac:dyDescent="0.2">
      <c r="A17" s="53"/>
      <c r="B17" s="81" t="s">
        <v>124</v>
      </c>
      <c r="C17" s="80" t="str">
        <f t="shared" si="0"/>
        <v>USD7MD_Quote</v>
      </c>
      <c r="D17" s="80" t="str">
        <f>_xll.qlSimpleQuote(C17,,RateTickValue,Permanent,Trigger,ObjectOverwrite)</f>
        <v>USD7MD_Quote#0000</v>
      </c>
      <c r="E17" s="79" t="str">
        <f>_xll.ohRangeRetrieveError(D17)</f>
        <v/>
      </c>
      <c r="F17" s="78"/>
      <c r="H17" s="96"/>
      <c r="I17" s="205" t="s">
        <v>13</v>
      </c>
      <c r="J17" s="204" t="str">
        <v>USD7MFSR=</v>
      </c>
      <c r="K17" s="203">
        <v>0</v>
      </c>
      <c r="L17" s="201"/>
      <c r="M17" s="202">
        <v>0</v>
      </c>
      <c r="N17" s="201"/>
      <c r="O17" s="274">
        <v>0</v>
      </c>
      <c r="P17" s="198">
        <f>_xll.qlSimpleQuoteSetValue(D17,O17/100,Trigger)</f>
        <v>0</v>
      </c>
      <c r="Q17" s="169"/>
      <c r="R17" s="13"/>
      <c r="S17" s="13"/>
      <c r="T17" s="13"/>
      <c r="U17" s="13"/>
      <c r="V17" s="13"/>
      <c r="W17" s="13"/>
    </row>
    <row r="18" spans="1:24" x14ac:dyDescent="0.2">
      <c r="A18" s="53"/>
      <c r="B18" s="81" t="s">
        <v>123</v>
      </c>
      <c r="C18" s="80" t="str">
        <f t="shared" si="0"/>
        <v>USD8MD_Quote</v>
      </c>
      <c r="D18" s="80" t="str">
        <f>_xll.qlSimpleQuote(C18,,RateTickValue,Permanent,Trigger,ObjectOverwrite)</f>
        <v>USD8MD_Quote#0000</v>
      </c>
      <c r="E18" s="79" t="str">
        <f>_xll.ohRangeRetrieveError(D18)</f>
        <v/>
      </c>
      <c r="F18" s="78"/>
      <c r="H18" s="96"/>
      <c r="I18" s="205" t="s">
        <v>12</v>
      </c>
      <c r="J18" s="204" t="str">
        <v>USD8MFSR=</v>
      </c>
      <c r="K18" s="203">
        <v>0</v>
      </c>
      <c r="L18" s="201"/>
      <c r="M18" s="202">
        <v>0</v>
      </c>
      <c r="N18" s="201"/>
      <c r="O18" s="274">
        <v>0</v>
      </c>
      <c r="P18" s="198">
        <f>_xll.qlSimpleQuoteSetValue(D18,O18/100,Trigger)</f>
        <v>0</v>
      </c>
      <c r="Q18" s="169"/>
      <c r="R18" s="13"/>
      <c r="S18" s="13"/>
      <c r="T18" s="13"/>
      <c r="U18" s="13"/>
      <c r="V18" s="13"/>
      <c r="W18" s="13"/>
    </row>
    <row r="19" spans="1:24" x14ac:dyDescent="0.2">
      <c r="A19" s="53"/>
      <c r="B19" s="81" t="s">
        <v>122</v>
      </c>
      <c r="C19" s="80" t="str">
        <f t="shared" si="0"/>
        <v>USD9MD_Quote</v>
      </c>
      <c r="D19" s="80" t="str">
        <f>_xll.qlSimpleQuote(C19,,RateTickValue,Permanent,Trigger,ObjectOverwrite)</f>
        <v>USD9MD_Quote#0000</v>
      </c>
      <c r="E19" s="79" t="str">
        <f>_xll.ohRangeRetrieveError(D19)</f>
        <v/>
      </c>
      <c r="F19" s="78"/>
      <c r="H19" s="96"/>
      <c r="I19" s="205" t="s">
        <v>11</v>
      </c>
      <c r="J19" s="204" t="str">
        <v>USD9MFSR=</v>
      </c>
      <c r="K19" s="203">
        <v>0</v>
      </c>
      <c r="L19" s="201"/>
      <c r="M19" s="202">
        <v>0</v>
      </c>
      <c r="N19" s="201"/>
      <c r="O19" s="274">
        <v>0</v>
      </c>
      <c r="P19" s="198">
        <f>_xll.qlSimpleQuoteSetValue(D19,O19/100,Trigger)</f>
        <v>0</v>
      </c>
      <c r="Q19" s="169"/>
      <c r="R19" s="13"/>
      <c r="S19" s="13"/>
      <c r="T19" s="13"/>
      <c r="U19" s="13"/>
      <c r="V19" s="13"/>
      <c r="W19" s="13"/>
    </row>
    <row r="20" spans="1:24" x14ac:dyDescent="0.2">
      <c r="A20" s="53"/>
      <c r="B20" s="81" t="s">
        <v>121</v>
      </c>
      <c r="C20" s="80" t="str">
        <f t="shared" si="0"/>
        <v>USD10MD_Quote</v>
      </c>
      <c r="D20" s="80" t="str">
        <f>_xll.qlSimpleQuote(C20,,RateTickValue,Permanent,Trigger,ObjectOverwrite)</f>
        <v>USD10MD_Quote#0000</v>
      </c>
      <c r="E20" s="79" t="str">
        <f>_xll.ohRangeRetrieveError(D20)</f>
        <v/>
      </c>
      <c r="F20" s="78"/>
      <c r="H20" s="96"/>
      <c r="I20" s="205" t="s">
        <v>10</v>
      </c>
      <c r="J20" s="204" t="str">
        <v>USD10MFSR=</v>
      </c>
      <c r="K20" s="203">
        <v>0</v>
      </c>
      <c r="L20" s="201"/>
      <c r="M20" s="202">
        <v>0</v>
      </c>
      <c r="N20" s="201"/>
      <c r="O20" s="274">
        <v>0</v>
      </c>
      <c r="P20" s="198">
        <f>_xll.qlSimpleQuoteSetValue(D20,O20/100,Trigger)</f>
        <v>0</v>
      </c>
      <c r="Q20" s="169"/>
      <c r="R20" s="13"/>
      <c r="S20" s="13"/>
      <c r="T20" s="13"/>
      <c r="U20" s="13"/>
      <c r="V20" s="13"/>
      <c r="W20" s="13"/>
    </row>
    <row r="21" spans="1:24" x14ac:dyDescent="0.2">
      <c r="A21" s="53"/>
      <c r="B21" s="81" t="s">
        <v>120</v>
      </c>
      <c r="C21" s="80" t="str">
        <f t="shared" si="0"/>
        <v>USD11MD_Quote</v>
      </c>
      <c r="D21" s="80" t="str">
        <f>_xll.qlSimpleQuote(C21,,RateTickValue,Permanent,Trigger,ObjectOverwrite)</f>
        <v>USD11MD_Quote#0000</v>
      </c>
      <c r="E21" s="79" t="str">
        <f>_xll.ohRangeRetrieveError(D21)</f>
        <v/>
      </c>
      <c r="F21" s="78"/>
      <c r="H21" s="96"/>
      <c r="I21" s="205" t="s">
        <v>9</v>
      </c>
      <c r="J21" s="204" t="str">
        <v>USD11MFSR=</v>
      </c>
      <c r="K21" s="203">
        <v>0</v>
      </c>
      <c r="L21" s="201"/>
      <c r="M21" s="202">
        <v>0</v>
      </c>
      <c r="N21" s="201"/>
      <c r="O21" s="274">
        <v>0</v>
      </c>
      <c r="P21" s="198">
        <f>_xll.qlSimpleQuoteSetValue(D21,O21/100,Trigger)</f>
        <v>0</v>
      </c>
      <c r="Q21" s="169"/>
      <c r="R21" s="13"/>
      <c r="S21" s="13"/>
      <c r="T21" s="13"/>
      <c r="U21" s="13"/>
      <c r="V21" s="13"/>
      <c r="W21" s="13"/>
    </row>
    <row r="22" spans="1:24" x14ac:dyDescent="0.2">
      <c r="A22" s="53"/>
      <c r="B22" s="81" t="s">
        <v>119</v>
      </c>
      <c r="C22" s="80" t="str">
        <f t="shared" si="0"/>
        <v>USD1YD_Quote</v>
      </c>
      <c r="D22" s="80" t="str">
        <f>_xll.qlSimpleQuote(C22,,RateTickValue,Permanent,Trigger,ObjectOverwrite)</f>
        <v>USD1YD_Quote#0000</v>
      </c>
      <c r="E22" s="79" t="str">
        <f>_xll.ohRangeRetrieveError(D22)</f>
        <v/>
      </c>
      <c r="F22" s="78"/>
      <c r="H22" s="96"/>
      <c r="I22" s="205" t="s">
        <v>8</v>
      </c>
      <c r="J22" s="204" t="str">
        <v>USD1YFSR=</v>
      </c>
      <c r="K22" s="203">
        <v>0.54359999999999997</v>
      </c>
      <c r="L22" s="201"/>
      <c r="M22" s="202">
        <v>0.54359999999999997</v>
      </c>
      <c r="N22" s="201"/>
      <c r="O22" s="267">
        <v>0.54359999999999997</v>
      </c>
      <c r="P22" s="211">
        <f>_xll.qlSimpleQuoteSetValue(D22,O22/100,Trigger)</f>
        <v>-3.4000000000000176E-5</v>
      </c>
      <c r="Q22" s="169"/>
      <c r="R22" s="13"/>
      <c r="S22" s="13"/>
      <c r="T22" s="13"/>
      <c r="U22" s="13"/>
      <c r="V22" s="13"/>
      <c r="W22" s="13"/>
    </row>
    <row r="23" spans="1:24" ht="12" thickBot="1" x14ac:dyDescent="0.25">
      <c r="A23" s="46"/>
      <c r="B23" s="45"/>
      <c r="C23" s="45"/>
      <c r="D23" s="45"/>
      <c r="E23" s="45"/>
      <c r="F23" s="43"/>
      <c r="H23" s="22"/>
      <c r="I23" s="197"/>
      <c r="J23" s="197"/>
      <c r="K23" s="197"/>
      <c r="L23" s="21"/>
      <c r="M23" s="197"/>
      <c r="N23" s="21"/>
      <c r="O23" s="197"/>
      <c r="P23" s="197"/>
      <c r="Q23" s="20"/>
      <c r="R23" s="13"/>
      <c r="S23" s="13"/>
      <c r="T23" s="13"/>
      <c r="U23" s="13"/>
      <c r="V23" s="13"/>
      <c r="W23" s="13"/>
    </row>
    <row r="24" spans="1:24" x14ac:dyDescent="0.2"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spans="1:24" x14ac:dyDescent="0.2">
      <c r="N25" s="13"/>
      <c r="O25" s="13"/>
      <c r="P25" s="13"/>
      <c r="Q25" s="13"/>
      <c r="R25" s="13"/>
      <c r="S25" s="13"/>
      <c r="T25" s="13"/>
      <c r="U25" s="118" t="s">
        <v>203</v>
      </c>
      <c r="V25" s="13"/>
      <c r="W25" s="13"/>
      <c r="X25" s="13"/>
    </row>
    <row r="26" spans="1:24" x14ac:dyDescent="0.2">
      <c r="N26" s="13"/>
      <c r="O26" s="13"/>
      <c r="P26" s="13"/>
      <c r="Q26" s="13"/>
      <c r="R26" s="13"/>
      <c r="S26" s="13" t="s">
        <v>202</v>
      </c>
      <c r="T26" s="13"/>
      <c r="U26" s="13"/>
      <c r="V26" s="13"/>
      <c r="W26" s="13"/>
      <c r="X26" s="13"/>
    </row>
    <row r="27" spans="1:24" ht="19.5" customHeight="1" x14ac:dyDescent="0.2">
      <c r="N27" s="13"/>
      <c r="O27" s="13"/>
      <c r="P27" s="13"/>
      <c r="Q27" s="13"/>
      <c r="R27" s="13"/>
      <c r="S27" s="13"/>
      <c r="T27" s="13"/>
      <c r="U27" s="447" t="str">
        <f>_xll.RData(J5:J7,V27:W27,"RTFEED:IDN",ReutersRtMode,,V28)</f>
        <v>Updated at 16:53:04</v>
      </c>
      <c r="V27" s="448" t="s">
        <v>201</v>
      </c>
      <c r="W27" s="448" t="s">
        <v>200</v>
      </c>
      <c r="X27" s="448" t="s">
        <v>309</v>
      </c>
    </row>
    <row r="28" spans="1:24" x14ac:dyDescent="0.2">
      <c r="N28" s="13"/>
      <c r="O28" s="13"/>
      <c r="P28" s="13"/>
      <c r="Q28" s="13"/>
      <c r="R28" s="13"/>
      <c r="S28" s="13"/>
      <c r="T28" s="13"/>
      <c r="U28" s="13"/>
      <c r="V28" s="449">
        <v>0.1</v>
      </c>
      <c r="W28" s="449">
        <v>0.2</v>
      </c>
      <c r="X28" s="449">
        <f>(V28+W28)/2</f>
        <v>0.15000000000000002</v>
      </c>
    </row>
    <row r="29" spans="1:24" x14ac:dyDescent="0.2">
      <c r="N29" s="13"/>
      <c r="O29" s="13"/>
      <c r="P29" s="13"/>
      <c r="Q29" s="13"/>
      <c r="R29" s="13"/>
      <c r="S29" s="13"/>
      <c r="T29" s="13"/>
      <c r="U29" s="13"/>
      <c r="V29" s="450">
        <v>0.1</v>
      </c>
      <c r="W29" s="450">
        <v>0.2</v>
      </c>
      <c r="X29" s="450">
        <f>(V29+W29)/2</f>
        <v>0.15000000000000002</v>
      </c>
    </row>
    <row r="30" spans="1:24" x14ac:dyDescent="0.2">
      <c r="N30" s="13"/>
      <c r="O30" s="13"/>
      <c r="P30" s="13"/>
      <c r="Q30" s="13"/>
      <c r="R30" s="13"/>
      <c r="S30" s="13"/>
      <c r="T30" s="13"/>
      <c r="U30" s="13"/>
      <c r="V30" s="451">
        <v>0.1</v>
      </c>
      <c r="W30" s="451">
        <v>0.2</v>
      </c>
      <c r="X30" s="451">
        <f>(V30+W30)/2</f>
        <v>0.15000000000000002</v>
      </c>
    </row>
  </sheetData>
  <conditionalFormatting sqref="P5:P22">
    <cfRule type="cellIs" dxfId="25" priority="1" stopIfTrue="1" operator="greaterThan">
      <formula>0</formula>
    </cfRule>
    <cfRule type="cellIs" dxfId="24" priority="2" stopIfTrue="1" operator="lessThan">
      <formula>0</formula>
    </cfRule>
  </conditionalFormatting>
  <dataValidations disablePrompts="1" count="1">
    <dataValidation type="list" showInputMessage="1" showErrorMessage="1" sqref="J2 U25">
      <formula1>Contributors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A22"/>
  <sheetViews>
    <sheetView topLeftCell="G1" workbookViewId="0">
      <selection activeCell="M17" sqref="M17"/>
    </sheetView>
  </sheetViews>
  <sheetFormatPr defaultRowHeight="12.75" x14ac:dyDescent="0.2"/>
  <cols>
    <col min="1" max="1" width="2.7109375" style="12" customWidth="1"/>
    <col min="2" max="2" width="5.85546875" style="12" bestFit="1" customWidth="1"/>
    <col min="3" max="3" width="4.42578125" style="12" bestFit="1" customWidth="1"/>
    <col min="4" max="4" width="15.5703125" style="89" bestFit="1" customWidth="1"/>
    <col min="5" max="5" width="20" style="12" bestFit="1" customWidth="1"/>
    <col min="6" max="6" width="57.42578125" style="88" customWidth="1"/>
    <col min="7" max="9" width="2.7109375" style="12" customWidth="1"/>
    <col min="10" max="12" width="9.140625" style="12"/>
    <col min="13" max="13" width="9.28515625" style="12" bestFit="1" customWidth="1"/>
    <col min="14" max="14" width="13.5703125" style="12" bestFit="1" customWidth="1"/>
    <col min="15" max="17" width="9.140625" style="12"/>
    <col min="18" max="18" width="10.42578125" style="12" customWidth="1"/>
    <col min="19" max="19" width="9.140625" style="12"/>
    <col min="20" max="20" width="2.7109375" style="12" customWidth="1"/>
    <col min="21" max="21" width="9.140625" style="12"/>
    <col min="22" max="22" width="2.7109375" style="12" customWidth="1"/>
    <col min="23" max="24" width="9.140625" style="12"/>
    <col min="25" max="25" width="2.7109375" style="12" customWidth="1"/>
    <col min="26" max="16384" width="9.140625" style="12"/>
  </cols>
  <sheetData>
    <row r="1" spans="1:27" x14ac:dyDescent="0.2">
      <c r="A1" s="139" t="s">
        <v>154</v>
      </c>
      <c r="B1" s="111"/>
      <c r="C1" s="111"/>
      <c r="D1" s="12"/>
      <c r="E1" s="88"/>
      <c r="F1" s="12"/>
      <c r="G1" s="23"/>
      <c r="Z1" s="13"/>
      <c r="AA1" s="13"/>
    </row>
    <row r="2" spans="1:27" ht="24" customHeight="1" thickBot="1" x14ac:dyDescent="0.25">
      <c r="A2" s="96"/>
      <c r="B2" s="110"/>
      <c r="C2" s="109"/>
      <c r="D2" s="108" t="str">
        <f>Currency&amp;"_010_"&amp;"FRA.xml"</f>
        <v>USD_010_FRA.xml</v>
      </c>
      <c r="E2" s="107" t="str">
        <f>IF(Serialize,_xll.ohObjectSave(E3:E21,SerializationPath&amp;D2,FileOverwrite,Serialize),"---")</f>
        <v>---</v>
      </c>
      <c r="F2" s="106" t="str">
        <f>_xll.ohRangeRetrieveError(E2)</f>
        <v/>
      </c>
      <c r="G2" s="23"/>
      <c r="Z2" s="13"/>
      <c r="AA2" s="13"/>
    </row>
    <row r="3" spans="1:27" x14ac:dyDescent="0.2">
      <c r="A3" s="96"/>
      <c r="B3" s="100" t="s">
        <v>148</v>
      </c>
      <c r="C3" s="101" t="s">
        <v>138</v>
      </c>
      <c r="D3" s="100" t="str">
        <f t="shared" ref="D3:D21" si="0">Currency&amp;$B3&amp;$C3&amp;QuoteSuffix</f>
        <v>USDT1F1_Quote</v>
      </c>
      <c r="E3" s="99" t="str">
        <f>_xll.qlSimpleQuote(D3,,RateTickValue,Permanent,Trigger,ObjectOverwrite)</f>
        <v>USDT1F1_Quote#0000</v>
      </c>
      <c r="F3" s="98" t="str">
        <f>_xll.ohRangeRetrieveError(E3)</f>
        <v/>
      </c>
      <c r="G3" s="23"/>
      <c r="I3" s="265" t="s">
        <v>280</v>
      </c>
      <c r="J3" s="150"/>
      <c r="K3" s="150"/>
      <c r="L3" s="150"/>
      <c r="M3" s="150"/>
      <c r="N3" s="150" t="s">
        <v>237</v>
      </c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47"/>
      <c r="Z3" s="13"/>
      <c r="AA3" s="13"/>
    </row>
    <row r="4" spans="1:27" x14ac:dyDescent="0.2">
      <c r="A4" s="96"/>
      <c r="B4" s="93" t="s">
        <v>147</v>
      </c>
      <c r="C4" s="97" t="s">
        <v>138</v>
      </c>
      <c r="D4" s="93" t="str">
        <f t="shared" si="0"/>
        <v>USDTOM1F1_Quote</v>
      </c>
      <c r="E4" s="92" t="str">
        <f>_xll.qlSimpleQuote(D4,,RateTickValue,Permanent,Trigger,ObjectOverwrite)</f>
        <v>USDTOM1F1_Quote#0000</v>
      </c>
      <c r="F4" s="91" t="str">
        <f>_xll.ohRangeRetrieveError(E4)</f>
        <v/>
      </c>
      <c r="G4" s="23"/>
      <c r="I4" s="234"/>
      <c r="J4" s="111"/>
      <c r="K4" s="13"/>
      <c r="L4" s="111"/>
      <c r="M4" s="111"/>
      <c r="N4" s="118" t="str">
        <f>[0]!Contributor</f>
        <v>ICAP</v>
      </c>
      <c r="O4" s="111"/>
      <c r="P4" s="111"/>
      <c r="Q4" s="111"/>
      <c r="R4" s="111"/>
      <c r="S4" s="201"/>
      <c r="T4" s="201"/>
      <c r="U4" s="201"/>
      <c r="V4" s="201"/>
      <c r="W4" s="201"/>
      <c r="X4" s="111"/>
      <c r="Y4" s="23"/>
      <c r="Z4" s="13"/>
      <c r="AA4" s="260"/>
    </row>
    <row r="5" spans="1:27" x14ac:dyDescent="0.2">
      <c r="A5" s="96"/>
      <c r="B5" s="100" t="s">
        <v>146</v>
      </c>
      <c r="C5" s="101" t="s">
        <v>138</v>
      </c>
      <c r="D5" s="100" t="str">
        <f t="shared" si="0"/>
        <v>USDT3F1_Quote</v>
      </c>
      <c r="E5" s="99" t="str">
        <f>_xll.qlSimpleQuote(D5,,RateTickValue,Permanent,Trigger,ObjectOverwrite)</f>
        <v>USDT3F1_Quote#0000</v>
      </c>
      <c r="F5" s="98" t="str">
        <f>_xll.ohRangeRetrieveError(E5)</f>
        <v/>
      </c>
      <c r="G5" s="23"/>
      <c r="I5" s="96"/>
      <c r="J5" s="201"/>
      <c r="K5" s="111"/>
      <c r="L5" s="111"/>
      <c r="M5" s="111"/>
      <c r="N5" s="111"/>
      <c r="O5" s="111"/>
      <c r="P5" s="111"/>
      <c r="Q5" s="111"/>
      <c r="R5" s="111"/>
      <c r="S5" s="111"/>
      <c r="T5" s="201"/>
      <c r="U5" s="201"/>
      <c r="V5" s="201"/>
      <c r="W5" s="111"/>
      <c r="X5" s="231">
        <f>_xll.ohTrigger(X7:X21)</f>
        <v>2</v>
      </c>
      <c r="Y5" s="169"/>
      <c r="Z5" s="13"/>
      <c r="AA5" s="236"/>
    </row>
    <row r="6" spans="1:27" ht="22.5" x14ac:dyDescent="0.2">
      <c r="A6" s="96"/>
      <c r="B6" s="93" t="s">
        <v>145</v>
      </c>
      <c r="C6" s="97" t="s">
        <v>138</v>
      </c>
      <c r="D6" s="93" t="str">
        <f t="shared" si="0"/>
        <v>USDTOM3F1_Quote</v>
      </c>
      <c r="E6" s="92" t="str">
        <f>_xll.qlSimpleQuote(D6,,RateTickValue,Permanent,Trigger,ObjectOverwrite)</f>
        <v>USDTOM3F1_Quote#0000</v>
      </c>
      <c r="F6" s="91" t="str">
        <f>_xll.ohRangeRetrieveError(E6)</f>
        <v/>
      </c>
      <c r="G6" s="23"/>
      <c r="I6" s="96"/>
      <c r="J6" s="263"/>
      <c r="K6" s="145"/>
      <c r="L6" s="145"/>
      <c r="M6" s="145"/>
      <c r="N6" s="196" t="str">
        <f>_xll.RData(N7:N21,O6:R6,"RTFEED:IDN",ReutersRtMode,,O7)</f>
        <v>Updated at 16:43:51</v>
      </c>
      <c r="O6" s="262" t="s">
        <v>201</v>
      </c>
      <c r="P6" s="262" t="s">
        <v>200</v>
      </c>
      <c r="Q6" s="262" t="s">
        <v>218</v>
      </c>
      <c r="R6" s="262" t="s">
        <v>236</v>
      </c>
      <c r="S6" s="227" t="s">
        <v>235</v>
      </c>
      <c r="T6" s="201"/>
      <c r="U6" s="229" t="s">
        <v>231</v>
      </c>
      <c r="V6" s="201"/>
      <c r="W6" s="431" t="s">
        <v>229</v>
      </c>
      <c r="X6" s="67" t="s">
        <v>228</v>
      </c>
      <c r="Y6" s="169"/>
      <c r="Z6" s="13"/>
      <c r="AA6" s="236"/>
    </row>
    <row r="7" spans="1:27" x14ac:dyDescent="0.2">
      <c r="A7" s="96"/>
      <c r="B7" s="100">
        <v>1</v>
      </c>
      <c r="C7" s="101" t="s">
        <v>144</v>
      </c>
      <c r="D7" s="100" t="str">
        <f t="shared" si="0"/>
        <v>USD1x4F_Quote</v>
      </c>
      <c r="E7" s="99" t="str">
        <f>_xll.qlSimpleQuote(D7,,RateTickValue,Permanent,Trigger,ObjectOverwrite)</f>
        <v>USD1x4F_Quote#0000</v>
      </c>
      <c r="F7" s="98" t="str">
        <f>_xll.ohRangeRetrieveError(E7)</f>
        <v/>
      </c>
      <c r="G7" s="23"/>
      <c r="I7" s="96"/>
      <c r="J7" s="205">
        <v>4</v>
      </c>
      <c r="K7" s="254">
        <v>1</v>
      </c>
      <c r="L7" s="254" t="s">
        <v>233</v>
      </c>
      <c r="M7" s="252" t="str">
        <f t="shared" ref="M7:M21" si="1">Currency&amp;$K7&amp;$L7&amp;$J7&amp;"F"</f>
        <v>USD1X4F</v>
      </c>
      <c r="N7" s="252" t="str">
        <f t="array" ref="N7:N21">Instruments&amp;"="&amp;VLOOKUP(Contributor,ContributorTable,2,FALSE)</f>
        <v>USD1X4F=ICAP</v>
      </c>
      <c r="O7" s="253">
        <v>0.19700000000000001</v>
      </c>
      <c r="P7" s="253">
        <v>0.247</v>
      </c>
      <c r="Q7" s="252">
        <v>0</v>
      </c>
      <c r="R7" s="252">
        <v>0</v>
      </c>
      <c r="S7" s="203">
        <f>_xll.qlMidSafe($O7,$P7)</f>
        <v>0.222</v>
      </c>
      <c r="T7" s="201"/>
      <c r="U7" s="256">
        <v>0.222</v>
      </c>
      <c r="V7" s="201"/>
      <c r="W7" s="281">
        <f t="array" ref="W7:W21">QuoteLive</f>
        <v>0.222</v>
      </c>
      <c r="X7" s="218">
        <f>_xll.qlSimpleQuoteSetValue(E7,W7/100,Trigger)</f>
        <v>0</v>
      </c>
      <c r="Y7" s="169"/>
      <c r="Z7" s="13"/>
      <c r="AA7" s="236"/>
    </row>
    <row r="8" spans="1:27" x14ac:dyDescent="0.2">
      <c r="A8" s="96"/>
      <c r="B8" s="104">
        <v>2</v>
      </c>
      <c r="C8" s="105" t="s">
        <v>143</v>
      </c>
      <c r="D8" s="104" t="str">
        <f t="shared" si="0"/>
        <v>USD2x5F_Quote</v>
      </c>
      <c r="E8" s="103" t="str">
        <f>_xll.qlSimpleQuote(D8,,RateTickValue,Permanent,Trigger,ObjectOverwrite)</f>
        <v>USD2x5F_Quote#0000</v>
      </c>
      <c r="F8" s="102" t="str">
        <f>_xll.ohRangeRetrieveError(E8)</f>
        <v/>
      </c>
      <c r="G8" s="23"/>
      <c r="I8" s="96"/>
      <c r="J8" s="205">
        <v>5</v>
      </c>
      <c r="K8" s="254">
        <v>2</v>
      </c>
      <c r="L8" s="254" t="s">
        <v>233</v>
      </c>
      <c r="M8" s="252" t="str">
        <f t="shared" si="1"/>
        <v>USD2X5F</v>
      </c>
      <c r="N8" s="252" t="str">
        <v>USD2X5F=ICAP</v>
      </c>
      <c r="O8" s="253">
        <v>0.19900000000000001</v>
      </c>
      <c r="P8" s="253">
        <v>0.249</v>
      </c>
      <c r="Q8" s="252">
        <v>0</v>
      </c>
      <c r="R8" s="252">
        <v>0</v>
      </c>
      <c r="S8" s="203">
        <f>_xll.qlMidSafe($O8,$P8)</f>
        <v>0.224</v>
      </c>
      <c r="T8" s="201"/>
      <c r="U8" s="251">
        <v>0.224</v>
      </c>
      <c r="V8" s="201"/>
      <c r="W8" s="274">
        <v>0.224</v>
      </c>
      <c r="X8" s="198">
        <f>_xll.qlSimpleQuoteSetValue(E8,W8/100,Trigger)</f>
        <v>-1.0000000000000026E-5</v>
      </c>
      <c r="Y8" s="169"/>
      <c r="Z8" s="13"/>
      <c r="AA8" s="236"/>
    </row>
    <row r="9" spans="1:27" x14ac:dyDescent="0.2">
      <c r="A9" s="96"/>
      <c r="B9" s="104">
        <v>3</v>
      </c>
      <c r="C9" s="105" t="s">
        <v>142</v>
      </c>
      <c r="D9" s="104" t="str">
        <f t="shared" si="0"/>
        <v>USD3x6F_Quote</v>
      </c>
      <c r="E9" s="103" t="str">
        <f>_xll.qlSimpleQuote(D9,,RateTickValue,Permanent,Trigger,ObjectOverwrite)</f>
        <v>USD3x6F_Quote#0000</v>
      </c>
      <c r="F9" s="102" t="str">
        <f>_xll.ohRangeRetrieveError(E9)</f>
        <v/>
      </c>
      <c r="G9" s="23"/>
      <c r="I9" s="96"/>
      <c r="J9" s="205">
        <v>6</v>
      </c>
      <c r="K9" s="254">
        <v>3</v>
      </c>
      <c r="L9" s="254" t="s">
        <v>233</v>
      </c>
      <c r="M9" s="252" t="str">
        <f t="shared" si="1"/>
        <v>USD3X6F</v>
      </c>
      <c r="N9" s="252" t="str">
        <v>USD3X6F=ICAP</v>
      </c>
      <c r="O9" s="253">
        <v>0.20300000000000001</v>
      </c>
      <c r="P9" s="253">
        <v>0.253</v>
      </c>
      <c r="Q9" s="252">
        <v>0</v>
      </c>
      <c r="R9" s="252">
        <v>0</v>
      </c>
      <c r="S9" s="203">
        <f>_xll.qlMidSafe($O9,$P9)</f>
        <v>0.22800000000000001</v>
      </c>
      <c r="T9" s="201"/>
      <c r="U9" s="251">
        <v>0.22800000000000001</v>
      </c>
      <c r="V9" s="201"/>
      <c r="W9" s="274">
        <v>0.22800000000000001</v>
      </c>
      <c r="X9" s="198">
        <f>_xll.qlSimpleQuoteSetValue(E9,W9/100,Trigger)</f>
        <v>-1.0000000000000026E-5</v>
      </c>
      <c r="Y9" s="169"/>
      <c r="Z9" s="13"/>
      <c r="AA9" s="236"/>
    </row>
    <row r="10" spans="1:27" x14ac:dyDescent="0.2">
      <c r="A10" s="96"/>
      <c r="B10" s="104">
        <v>4</v>
      </c>
      <c r="C10" s="105" t="s">
        <v>141</v>
      </c>
      <c r="D10" s="104" t="str">
        <f t="shared" si="0"/>
        <v>USD4x7F_Quote</v>
      </c>
      <c r="E10" s="103" t="str">
        <f>_xll.qlSimpleQuote(D10,,RateTickValue,Permanent,Trigger,ObjectOverwrite)</f>
        <v>USD4x7F_Quote#0000</v>
      </c>
      <c r="F10" s="102" t="str">
        <f>_xll.ohRangeRetrieveError(E10)</f>
        <v/>
      </c>
      <c r="G10" s="23"/>
      <c r="I10" s="96"/>
      <c r="J10" s="205">
        <v>7</v>
      </c>
      <c r="K10" s="254">
        <v>4</v>
      </c>
      <c r="L10" s="254" t="s">
        <v>233</v>
      </c>
      <c r="M10" s="252" t="str">
        <f t="shared" si="1"/>
        <v>USD4X7F</v>
      </c>
      <c r="N10" s="252" t="str">
        <v>USD4X7F=ICAP</v>
      </c>
      <c r="O10" s="253" t="s">
        <v>213</v>
      </c>
      <c r="P10" s="253" t="s">
        <v>213</v>
      </c>
      <c r="Q10" s="252" t="s">
        <v>213</v>
      </c>
      <c r="R10" s="252" t="s">
        <v>213</v>
      </c>
      <c r="S10" s="203" t="e">
        <f>_xll.qlMidSafe($O10,$P10)</f>
        <v>#NUM!</v>
      </c>
      <c r="T10" s="201"/>
      <c r="U10" s="251" t="e">
        <v>#NUM!</v>
      </c>
      <c r="V10" s="201"/>
      <c r="W10" s="274" t="e">
        <v>#NUM!</v>
      </c>
      <c r="X10" s="198" t="e">
        <f>_xll.qlSimpleQuoteSetValue(E10,W10/100,Trigger)</f>
        <v>#NUM!</v>
      </c>
      <c r="Y10" s="169"/>
      <c r="Z10" s="13"/>
      <c r="AA10" s="236"/>
    </row>
    <row r="11" spans="1:27" x14ac:dyDescent="0.2">
      <c r="A11" s="96"/>
      <c r="B11" s="104">
        <v>5</v>
      </c>
      <c r="C11" s="105" t="s">
        <v>140</v>
      </c>
      <c r="D11" s="104" t="str">
        <f t="shared" si="0"/>
        <v>USD5x8F_Quote</v>
      </c>
      <c r="E11" s="103" t="str">
        <f>_xll.qlSimpleQuote(D11,,RateTickValue,Permanent,Trigger,ObjectOverwrite)</f>
        <v>USD5x8F_Quote#0000</v>
      </c>
      <c r="F11" s="102" t="str">
        <f>_xll.ohRangeRetrieveError(E11)</f>
        <v/>
      </c>
      <c r="G11" s="23"/>
      <c r="I11" s="96"/>
      <c r="J11" s="205">
        <v>8</v>
      </c>
      <c r="K11" s="254">
        <v>5</v>
      </c>
      <c r="L11" s="254" t="s">
        <v>233</v>
      </c>
      <c r="M11" s="252" t="str">
        <f t="shared" si="1"/>
        <v>USD5X8F</v>
      </c>
      <c r="N11" s="252" t="str">
        <v>USD5X8F=ICAP</v>
      </c>
      <c r="O11" s="253" t="s">
        <v>213</v>
      </c>
      <c r="P11" s="253" t="s">
        <v>213</v>
      </c>
      <c r="Q11" s="252" t="s">
        <v>213</v>
      </c>
      <c r="R11" s="252" t="s">
        <v>213</v>
      </c>
      <c r="S11" s="203" t="e">
        <f>_xll.qlMidSafe($O11,$P11)</f>
        <v>#NUM!</v>
      </c>
      <c r="T11" s="201"/>
      <c r="U11" s="251" t="e">
        <v>#NUM!</v>
      </c>
      <c r="V11" s="201"/>
      <c r="W11" s="274" t="e">
        <v>#NUM!</v>
      </c>
      <c r="X11" s="198" t="e">
        <f>_xll.qlSimpleQuoteSetValue(E11,W11/100,Trigger)</f>
        <v>#NUM!</v>
      </c>
      <c r="Y11" s="169"/>
      <c r="Z11" s="13"/>
      <c r="AA11" s="236"/>
    </row>
    <row r="12" spans="1:27" x14ac:dyDescent="0.2">
      <c r="A12" s="96"/>
      <c r="B12" s="93">
        <v>6</v>
      </c>
      <c r="C12" s="97" t="s">
        <v>139</v>
      </c>
      <c r="D12" s="93" t="str">
        <f t="shared" si="0"/>
        <v>USD6x9F_Quote</v>
      </c>
      <c r="E12" s="92" t="str">
        <f>_xll.qlSimpleQuote(D12,,RateTickValue,Permanent,Trigger,ObjectOverwrite)</f>
        <v>USD6x9F_Quote#0000</v>
      </c>
      <c r="F12" s="91" t="str">
        <f>_xll.ohRangeRetrieveError(E12)</f>
        <v/>
      </c>
      <c r="G12" s="23"/>
      <c r="I12" s="96"/>
      <c r="J12" s="217">
        <v>9</v>
      </c>
      <c r="K12" s="249">
        <v>6</v>
      </c>
      <c r="L12" s="249" t="s">
        <v>233</v>
      </c>
      <c r="M12" s="247" t="str">
        <f t="shared" si="1"/>
        <v>USD6X9F</v>
      </c>
      <c r="N12" s="247" t="str">
        <v>USD6X9F=ICAP</v>
      </c>
      <c r="O12" s="248" t="s">
        <v>213</v>
      </c>
      <c r="P12" s="248" t="s">
        <v>213</v>
      </c>
      <c r="Q12" s="247" t="s">
        <v>213</v>
      </c>
      <c r="R12" s="247" t="s">
        <v>213</v>
      </c>
      <c r="S12" s="215" t="e">
        <f>_xll.qlMidSafe($O12,$P12)</f>
        <v>#NUM!</v>
      </c>
      <c r="T12" s="201"/>
      <c r="U12" s="246" t="e">
        <v>#NUM!</v>
      </c>
      <c r="V12" s="201"/>
      <c r="W12" s="267" t="e">
        <v>#NUM!</v>
      </c>
      <c r="X12" s="211" t="e">
        <f>_xll.qlSimpleQuoteSetValue(E12,W12/100,Trigger)</f>
        <v>#NUM!</v>
      </c>
      <c r="Y12" s="169"/>
      <c r="Z12" s="13"/>
      <c r="AA12" s="236"/>
    </row>
    <row r="13" spans="1:27" x14ac:dyDescent="0.2">
      <c r="A13" s="96"/>
      <c r="B13" s="100">
        <v>1</v>
      </c>
      <c r="C13" s="101" t="str">
        <f t="shared" ref="C13:C20" si="2">"x"&amp;B13+6&amp;"F"</f>
        <v>x7F</v>
      </c>
      <c r="D13" s="100" t="str">
        <f t="shared" si="0"/>
        <v>USD1x7F_Quote</v>
      </c>
      <c r="E13" s="99" t="str">
        <f>_xll.qlSimpleQuote(D13,,RateTickValue,Permanent,Trigger,ObjectOverwrite)</f>
        <v>USD1x7F_Quote#0000</v>
      </c>
      <c r="F13" s="98" t="str">
        <f>_xll.ohRangeRetrieveError(E13)</f>
        <v/>
      </c>
      <c r="G13" s="23"/>
      <c r="I13" s="96"/>
      <c r="J13" s="223">
        <v>7</v>
      </c>
      <c r="K13" s="259">
        <v>1</v>
      </c>
      <c r="L13" s="259" t="s">
        <v>233</v>
      </c>
      <c r="M13" s="257" t="str">
        <f t="shared" si="1"/>
        <v>USD1X7F</v>
      </c>
      <c r="N13" s="257" t="str">
        <v>USD1X7F=ICAP</v>
      </c>
      <c r="O13" s="258">
        <v>0.29899999999999999</v>
      </c>
      <c r="P13" s="258">
        <v>0.34899999999999998</v>
      </c>
      <c r="Q13" s="257">
        <v>0</v>
      </c>
      <c r="R13" s="257">
        <v>0</v>
      </c>
      <c r="S13" s="221">
        <f>_xll.qlMidSafe($O13,$P13)</f>
        <v>0.32399999999999995</v>
      </c>
      <c r="T13" s="201"/>
      <c r="U13" s="256">
        <v>0.32399999999999995</v>
      </c>
      <c r="V13" s="201"/>
      <c r="W13" s="281">
        <v>0.32399999999999995</v>
      </c>
      <c r="X13" s="218">
        <f>_xll.qlSimpleQuoteSetValue(E13,W13/100,Trigger)</f>
        <v>1.0000000000000026E-5</v>
      </c>
      <c r="Y13" s="169"/>
      <c r="Z13" s="13"/>
      <c r="AA13" s="236"/>
    </row>
    <row r="14" spans="1:27" x14ac:dyDescent="0.2">
      <c r="A14" s="96"/>
      <c r="B14" s="104">
        <v>2</v>
      </c>
      <c r="C14" s="105" t="str">
        <f t="shared" si="2"/>
        <v>x8F</v>
      </c>
      <c r="D14" s="104" t="str">
        <f t="shared" si="0"/>
        <v>USD2x8F_Quote</v>
      </c>
      <c r="E14" s="103" t="str">
        <f>_xll.qlSimpleQuote(D14,,RateTickValue,Permanent,Trigger,ObjectOverwrite)</f>
        <v>USD2x8F_Quote#0000</v>
      </c>
      <c r="F14" s="102" t="str">
        <f>_xll.ohRangeRetrieveError(E14)</f>
        <v/>
      </c>
      <c r="G14" s="23"/>
      <c r="I14" s="96"/>
      <c r="J14" s="205">
        <v>8</v>
      </c>
      <c r="K14" s="254">
        <v>2</v>
      </c>
      <c r="L14" s="254" t="s">
        <v>233</v>
      </c>
      <c r="M14" s="252" t="str">
        <f t="shared" si="1"/>
        <v>USD2X8F</v>
      </c>
      <c r="N14" s="252" t="str">
        <v>USD2X8F=ICAP</v>
      </c>
      <c r="O14" s="253">
        <v>0.30199999999999999</v>
      </c>
      <c r="P14" s="253">
        <v>0.35199999999999998</v>
      </c>
      <c r="Q14" s="252">
        <v>0</v>
      </c>
      <c r="R14" s="252">
        <v>0</v>
      </c>
      <c r="S14" s="203">
        <f>_xll.qlMidSafe($O14,$P14)</f>
        <v>0.32699999999999996</v>
      </c>
      <c r="T14" s="201"/>
      <c r="U14" s="251">
        <v>0.32699999999999996</v>
      </c>
      <c r="V14" s="201"/>
      <c r="W14" s="274">
        <v>0.32699999999999996</v>
      </c>
      <c r="X14" s="198">
        <f>_xll.qlSimpleQuoteSetValue(E14,W14/100,Trigger)</f>
        <v>1.0000000000000026E-5</v>
      </c>
      <c r="Y14" s="169"/>
      <c r="Z14" s="13"/>
      <c r="AA14" s="236"/>
    </row>
    <row r="15" spans="1:27" x14ac:dyDescent="0.2">
      <c r="A15" s="96"/>
      <c r="B15" s="104">
        <v>3</v>
      </c>
      <c r="C15" s="105" t="str">
        <f t="shared" si="2"/>
        <v>x9F</v>
      </c>
      <c r="D15" s="104" t="str">
        <f t="shared" si="0"/>
        <v>USD3x9F_Quote</v>
      </c>
      <c r="E15" s="103" t="str">
        <f>_xll.qlSimpleQuote(D15,,RateTickValue,Permanent,Trigger,ObjectOverwrite)</f>
        <v>USD3x9F_Quote#0000</v>
      </c>
      <c r="F15" s="102" t="str">
        <f>_xll.ohRangeRetrieveError(E15)</f>
        <v/>
      </c>
      <c r="G15" s="23"/>
      <c r="I15" s="96"/>
      <c r="J15" s="205">
        <v>9</v>
      </c>
      <c r="K15" s="254">
        <v>3</v>
      </c>
      <c r="L15" s="254" t="s">
        <v>233</v>
      </c>
      <c r="M15" s="252" t="str">
        <f t="shared" si="1"/>
        <v>USD3X9F</v>
      </c>
      <c r="N15" s="252" t="str">
        <v>USD3X9F=ICAP</v>
      </c>
      <c r="O15" s="253">
        <v>0.308</v>
      </c>
      <c r="P15" s="253">
        <v>0.35799999999999998</v>
      </c>
      <c r="Q15" s="252">
        <v>0</v>
      </c>
      <c r="R15" s="252">
        <v>0</v>
      </c>
      <c r="S15" s="203">
        <f>_xll.qlMidSafe($O15,$P15)</f>
        <v>0.33299999999999996</v>
      </c>
      <c r="T15" s="201"/>
      <c r="U15" s="251">
        <v>0.33299999999999996</v>
      </c>
      <c r="V15" s="201"/>
      <c r="W15" s="274">
        <v>0.33299999999999996</v>
      </c>
      <c r="X15" s="198">
        <f>_xll.qlSimpleQuoteSetValue(E15,W15/100,Trigger)</f>
        <v>1.0000000000000026E-5</v>
      </c>
      <c r="Y15" s="169"/>
      <c r="Z15" s="13"/>
      <c r="AA15" s="236"/>
    </row>
    <row r="16" spans="1:27" x14ac:dyDescent="0.2">
      <c r="A16" s="96"/>
      <c r="B16" s="104">
        <v>4</v>
      </c>
      <c r="C16" s="105" t="str">
        <f t="shared" si="2"/>
        <v>x10F</v>
      </c>
      <c r="D16" s="104" t="str">
        <f t="shared" si="0"/>
        <v>USD4x10F_Quote</v>
      </c>
      <c r="E16" s="103" t="str">
        <f>_xll.qlSimpleQuote(D16,,RateTickValue,Permanent,Trigger,ObjectOverwrite)</f>
        <v>USD4x10F_Quote#0000</v>
      </c>
      <c r="F16" s="102" t="str">
        <f>_xll.ohRangeRetrieveError(E16)</f>
        <v/>
      </c>
      <c r="G16" s="23"/>
      <c r="I16" s="96"/>
      <c r="J16" s="205">
        <v>10</v>
      </c>
      <c r="K16" s="254">
        <v>4</v>
      </c>
      <c r="L16" s="254" t="s">
        <v>233</v>
      </c>
      <c r="M16" s="252" t="str">
        <f t="shared" si="1"/>
        <v>USD4X10F</v>
      </c>
      <c r="N16" s="252" t="str">
        <v>USD4X10F=ICAP</v>
      </c>
      <c r="O16" s="253">
        <v>0.32</v>
      </c>
      <c r="P16" s="253">
        <v>0.37</v>
      </c>
      <c r="Q16" s="252">
        <v>0</v>
      </c>
      <c r="R16" s="252">
        <v>0</v>
      </c>
      <c r="S16" s="203">
        <f>_xll.qlMidSafe($O16,$P16)</f>
        <v>0.34499999999999997</v>
      </c>
      <c r="T16" s="201"/>
      <c r="U16" s="251">
        <v>0.34499999999999997</v>
      </c>
      <c r="V16" s="201"/>
      <c r="W16" s="274">
        <v>0.34499999999999997</v>
      </c>
      <c r="X16" s="198">
        <f>_xll.qlSimpleQuoteSetValue(E16,W16/100,Trigger)</f>
        <v>2.0000000000000052E-5</v>
      </c>
      <c r="Y16" s="169"/>
      <c r="Z16" s="13"/>
      <c r="AA16" s="236"/>
    </row>
    <row r="17" spans="1:27" x14ac:dyDescent="0.2">
      <c r="A17" s="96"/>
      <c r="B17" s="104">
        <v>5</v>
      </c>
      <c r="C17" s="105" t="str">
        <f t="shared" si="2"/>
        <v>x11F</v>
      </c>
      <c r="D17" s="104" t="str">
        <f t="shared" si="0"/>
        <v>USD5x11F_Quote</v>
      </c>
      <c r="E17" s="103" t="str">
        <f>_xll.qlSimpleQuote(D17,,RateTickValue,Permanent,Trigger,ObjectOverwrite)</f>
        <v>USD5x11F_Quote#0000</v>
      </c>
      <c r="F17" s="102" t="str">
        <f>_xll.ohRangeRetrieveError(E17)</f>
        <v/>
      </c>
      <c r="G17" s="23"/>
      <c r="I17" s="96"/>
      <c r="J17" s="205">
        <v>11</v>
      </c>
      <c r="K17" s="254">
        <v>5</v>
      </c>
      <c r="L17" s="254" t="s">
        <v>233</v>
      </c>
      <c r="M17" s="252" t="str">
        <f t="shared" si="1"/>
        <v>USD5X11F</v>
      </c>
      <c r="N17" s="252" t="str">
        <v>USD5X11F=ICAP</v>
      </c>
      <c r="O17" s="253">
        <v>0.33700000000000002</v>
      </c>
      <c r="P17" s="253">
        <v>0.38700000000000001</v>
      </c>
      <c r="Q17" s="252">
        <v>0</v>
      </c>
      <c r="R17" s="252">
        <v>0</v>
      </c>
      <c r="S17" s="203">
        <f>_xll.qlMidSafe($O17,$P17)</f>
        <v>0.36199999999999999</v>
      </c>
      <c r="T17" s="201"/>
      <c r="U17" s="251">
        <v>0.36199999999999999</v>
      </c>
      <c r="V17" s="201"/>
      <c r="W17" s="274">
        <v>0.36199999999999999</v>
      </c>
      <c r="X17" s="198">
        <f>_xll.qlSimpleQuoteSetValue(E17,W17/100,Trigger)</f>
        <v>4.0000000000000105E-5</v>
      </c>
      <c r="Y17" s="169"/>
      <c r="Z17" s="13"/>
      <c r="AA17" s="236"/>
    </row>
    <row r="18" spans="1:27" x14ac:dyDescent="0.2">
      <c r="A18" s="96"/>
      <c r="B18" s="104">
        <v>6</v>
      </c>
      <c r="C18" s="105" t="str">
        <f t="shared" si="2"/>
        <v>x12F</v>
      </c>
      <c r="D18" s="104" t="str">
        <f t="shared" si="0"/>
        <v>USD6x12F_Quote</v>
      </c>
      <c r="E18" s="103" t="str">
        <f>_xll.qlSimpleQuote(D18,,RateTickValue,Permanent,Trigger,ObjectOverwrite)</f>
        <v>USD6x12F_Quote#0000</v>
      </c>
      <c r="F18" s="102" t="str">
        <f>_xll.ohRangeRetrieveError(E18)</f>
        <v/>
      </c>
      <c r="G18" s="23"/>
      <c r="I18" s="96"/>
      <c r="J18" s="205">
        <v>12</v>
      </c>
      <c r="K18" s="254">
        <v>6</v>
      </c>
      <c r="L18" s="254" t="s">
        <v>233</v>
      </c>
      <c r="M18" s="252" t="str">
        <f t="shared" si="1"/>
        <v>USD6X12F</v>
      </c>
      <c r="N18" s="252" t="str">
        <v>USD6X12F=ICAP</v>
      </c>
      <c r="O18" s="253">
        <v>0.36</v>
      </c>
      <c r="P18" s="253">
        <v>0.41</v>
      </c>
      <c r="Q18" s="252">
        <v>0</v>
      </c>
      <c r="R18" s="252">
        <v>0</v>
      </c>
      <c r="S18" s="203">
        <f>_xll.qlMidSafe($O18,$P18)</f>
        <v>0.38500000000000001</v>
      </c>
      <c r="T18" s="201"/>
      <c r="U18" s="251">
        <v>0.38500000000000001</v>
      </c>
      <c r="V18" s="201"/>
      <c r="W18" s="274">
        <v>0.38500000000000001</v>
      </c>
      <c r="X18" s="198">
        <f>_xll.qlSimpleQuoteSetValue(E18,W18/100,Trigger)</f>
        <v>7.0000000000000184E-5</v>
      </c>
      <c r="Y18" s="169"/>
      <c r="Z18" s="13"/>
      <c r="AA18" s="236"/>
    </row>
    <row r="19" spans="1:27" x14ac:dyDescent="0.2">
      <c r="A19" s="96"/>
      <c r="B19" s="104">
        <v>12</v>
      </c>
      <c r="C19" s="105" t="str">
        <f t="shared" si="2"/>
        <v>x18F</v>
      </c>
      <c r="D19" s="104" t="str">
        <f t="shared" si="0"/>
        <v>USD12x18F_Quote</v>
      </c>
      <c r="E19" s="103" t="str">
        <f>_xll.qlSimpleQuote(D19,,RateTickValue,Permanent,Trigger,ObjectOverwrite)</f>
        <v>USD12x18F_Quote#0000</v>
      </c>
      <c r="F19" s="102" t="str">
        <f>_xll.ohRangeRetrieveError(E19)</f>
        <v/>
      </c>
      <c r="G19" s="23"/>
      <c r="I19" s="96"/>
      <c r="J19" s="205">
        <v>18</v>
      </c>
      <c r="K19" s="254">
        <v>12</v>
      </c>
      <c r="L19" s="254" t="s">
        <v>233</v>
      </c>
      <c r="M19" s="252" t="str">
        <f t="shared" si="1"/>
        <v>USD12X18F</v>
      </c>
      <c r="N19" s="252" t="str">
        <v>USD12X18F=ICAP</v>
      </c>
      <c r="O19" s="253" t="s">
        <v>213</v>
      </c>
      <c r="P19" s="253" t="s">
        <v>213</v>
      </c>
      <c r="Q19" s="252" t="s">
        <v>213</v>
      </c>
      <c r="R19" s="252" t="s">
        <v>213</v>
      </c>
      <c r="S19" s="203" t="e">
        <f>_xll.qlMidSafe($O19,$P19)</f>
        <v>#NUM!</v>
      </c>
      <c r="T19" s="201"/>
      <c r="U19" s="251" t="e">
        <v>#NUM!</v>
      </c>
      <c r="V19" s="201"/>
      <c r="W19" s="274" t="e">
        <v>#NUM!</v>
      </c>
      <c r="X19" s="198" t="e">
        <f>_xll.qlSimpleQuoteSetValue(E19,W19/100,Trigger)</f>
        <v>#NUM!</v>
      </c>
      <c r="Y19" s="169"/>
      <c r="Z19" s="13"/>
      <c r="AA19" s="236"/>
    </row>
    <row r="20" spans="1:27" x14ac:dyDescent="0.2">
      <c r="A20" s="96"/>
      <c r="B20" s="93">
        <v>18</v>
      </c>
      <c r="C20" s="97" t="str">
        <f t="shared" si="2"/>
        <v>x24F</v>
      </c>
      <c r="D20" s="93" t="str">
        <f t="shared" si="0"/>
        <v>USD18x24F_Quote</v>
      </c>
      <c r="E20" s="92" t="str">
        <f>_xll.qlSimpleQuote(D20,,RateTickValue,Permanent,Trigger,ObjectOverwrite)</f>
        <v>USD18x24F_Quote#0000</v>
      </c>
      <c r="F20" s="91" t="str">
        <f>_xll.ohRangeRetrieveError(E20)</f>
        <v/>
      </c>
      <c r="G20" s="23"/>
      <c r="I20" s="96"/>
      <c r="J20" s="217">
        <v>24</v>
      </c>
      <c r="K20" s="249">
        <v>18</v>
      </c>
      <c r="L20" s="249" t="s">
        <v>233</v>
      </c>
      <c r="M20" s="247" t="str">
        <f t="shared" si="1"/>
        <v>USD18X24F</v>
      </c>
      <c r="N20" s="247" t="str">
        <v>USD18X24F=ICAP</v>
      </c>
      <c r="O20" s="248" t="s">
        <v>213</v>
      </c>
      <c r="P20" s="248" t="s">
        <v>213</v>
      </c>
      <c r="Q20" s="247" t="s">
        <v>213</v>
      </c>
      <c r="R20" s="247" t="s">
        <v>213</v>
      </c>
      <c r="S20" s="215" t="e">
        <f>_xll.qlMidSafe($O20,$P20)</f>
        <v>#NUM!</v>
      </c>
      <c r="T20" s="201"/>
      <c r="U20" s="246" t="e">
        <v>#NUM!</v>
      </c>
      <c r="V20" s="201"/>
      <c r="W20" s="267" t="e">
        <v>#NUM!</v>
      </c>
      <c r="X20" s="211" t="e">
        <f>_xll.qlSimpleQuoteSetValue(E20,W20/100,Trigger)</f>
        <v>#NUM!</v>
      </c>
      <c r="Y20" s="169"/>
      <c r="Z20" s="13"/>
      <c r="AA20" s="236"/>
    </row>
    <row r="21" spans="1:27" x14ac:dyDescent="0.2">
      <c r="A21" s="96"/>
      <c r="B21" s="95">
        <v>12</v>
      </c>
      <c r="C21" s="94" t="s">
        <v>137</v>
      </c>
      <c r="D21" s="93" t="str">
        <f t="shared" si="0"/>
        <v>USD12x24F_Quote</v>
      </c>
      <c r="E21" s="92" t="str">
        <f>_xll.qlSimpleQuote(D21,,RateTickValue,Permanent,Trigger,ObjectOverwrite)</f>
        <v>USD12x24F_Quote#0000</v>
      </c>
      <c r="F21" s="91" t="str">
        <f>_xll.ohRangeRetrieveError(E21)</f>
        <v/>
      </c>
      <c r="G21" s="23"/>
      <c r="I21" s="96"/>
      <c r="J21" s="244">
        <v>24</v>
      </c>
      <c r="K21" s="243">
        <v>12</v>
      </c>
      <c r="L21" s="243" t="s">
        <v>233</v>
      </c>
      <c r="M21" s="241" t="str">
        <f t="shared" si="1"/>
        <v>USD12X24F</v>
      </c>
      <c r="N21" s="241" t="str">
        <v>USD12X24F=ICAP</v>
      </c>
      <c r="O21" s="242" t="s">
        <v>213</v>
      </c>
      <c r="P21" s="242" t="s">
        <v>213</v>
      </c>
      <c r="Q21" s="241" t="s">
        <v>213</v>
      </c>
      <c r="R21" s="241" t="s">
        <v>213</v>
      </c>
      <c r="S21" s="240" t="e">
        <f>_xll.qlMidSafe($O21,$P21)</f>
        <v>#NUM!</v>
      </c>
      <c r="T21" s="201"/>
      <c r="U21" s="239" t="e">
        <v>#NUM!</v>
      </c>
      <c r="V21" s="201"/>
      <c r="W21" s="440" t="e">
        <v>#NUM!</v>
      </c>
      <c r="X21" s="238" t="e">
        <f>_xll.qlSimpleQuoteSetValue(E21,W21/100,Trigger)</f>
        <v>#NUM!</v>
      </c>
      <c r="Y21" s="169"/>
    </row>
    <row r="22" spans="1:27" ht="13.5" thickBot="1" x14ac:dyDescent="0.25">
      <c r="A22" s="22"/>
      <c r="B22" s="21"/>
      <c r="C22" s="21"/>
      <c r="D22" s="21"/>
      <c r="E22" s="90"/>
      <c r="F22" s="90"/>
      <c r="G22" s="20"/>
      <c r="I22" s="22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37"/>
    </row>
  </sheetData>
  <conditionalFormatting sqref="X7:X21">
    <cfRule type="cellIs" dxfId="23" priority="1" stopIfTrue="1" operator="greaterThan">
      <formula>0</formula>
    </cfRule>
    <cfRule type="cellIs" dxfId="22" priority="2" stopIfTrue="1" operator="lessThan">
      <formula>0</formula>
    </cfRule>
  </conditionalFormatting>
  <dataValidations count="1">
    <dataValidation type="list" showInputMessage="1" showErrorMessage="1" sqref="N4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Q21"/>
  <sheetViews>
    <sheetView workbookViewId="0">
      <selection activeCell="G16" sqref="G16"/>
    </sheetView>
  </sheetViews>
  <sheetFormatPr defaultRowHeight="11.25" x14ac:dyDescent="0.2"/>
  <cols>
    <col min="1" max="1" width="2.7109375" style="77" customWidth="1"/>
    <col min="2" max="2" width="3.5703125" style="77" bestFit="1" customWidth="1"/>
    <col min="3" max="3" width="5.7109375" style="77" bestFit="1" customWidth="1"/>
    <col min="4" max="4" width="6.140625" style="77" bestFit="1" customWidth="1"/>
    <col min="5" max="5" width="19.140625" style="77" bestFit="1" customWidth="1"/>
    <col min="6" max="6" width="20.140625" style="77" bestFit="1" customWidth="1"/>
    <col min="7" max="7" width="33.85546875" style="77" customWidth="1"/>
    <col min="8" max="10" width="2.7109375" style="77" customWidth="1"/>
    <col min="11" max="13" width="9.140625" style="77"/>
    <col min="14" max="14" width="14.28515625" style="77" bestFit="1" customWidth="1"/>
    <col min="15" max="19" width="9.140625" style="77"/>
    <col min="20" max="20" width="11" style="77" customWidth="1"/>
    <col min="21" max="21" width="9.140625" style="77"/>
    <col min="22" max="22" width="2.7109375" style="77" customWidth="1"/>
    <col min="23" max="23" width="9.140625" style="77"/>
    <col min="24" max="24" width="2.7109375" style="77" customWidth="1"/>
    <col min="25" max="26" width="9.140625" style="77"/>
    <col min="27" max="28" width="2.7109375" style="77" customWidth="1"/>
    <col min="29" max="33" width="9.140625" style="77"/>
    <col min="34" max="34" width="2.7109375" style="77" customWidth="1"/>
    <col min="35" max="37" width="9.140625" style="77"/>
    <col min="38" max="38" width="15.85546875" style="77" bestFit="1" customWidth="1"/>
    <col min="39" max="39" width="25" style="77" bestFit="1" customWidth="1"/>
    <col min="40" max="40" width="26.42578125" style="77" bestFit="1" customWidth="1"/>
    <col min="41" max="41" width="9.140625" style="77"/>
    <col min="42" max="42" width="2.7109375" style="77" customWidth="1"/>
    <col min="43" max="16384" width="9.140625" style="77"/>
  </cols>
  <sheetData>
    <row r="1" spans="1:43" x14ac:dyDescent="0.2">
      <c r="J1" s="235" t="s">
        <v>280</v>
      </c>
      <c r="K1" s="150"/>
      <c r="L1" s="150"/>
      <c r="M1" s="150"/>
      <c r="N1" s="150"/>
      <c r="O1" s="150"/>
      <c r="P1" s="150"/>
      <c r="Q1" s="150"/>
      <c r="R1" s="150"/>
      <c r="S1" s="150"/>
      <c r="T1" s="150"/>
      <c r="U1" s="150"/>
      <c r="V1" s="290"/>
      <c r="W1" s="290"/>
      <c r="X1" s="150"/>
      <c r="Y1" s="150"/>
      <c r="Z1" s="150"/>
      <c r="AA1" s="289"/>
      <c r="AB1" s="13"/>
      <c r="AC1" s="13"/>
      <c r="AD1" s="13"/>
      <c r="AE1" s="13"/>
      <c r="AH1" s="127" t="s">
        <v>199</v>
      </c>
      <c r="AP1" s="288"/>
    </row>
    <row r="2" spans="1:43" x14ac:dyDescent="0.2">
      <c r="J2" s="234"/>
      <c r="K2" s="111"/>
      <c r="L2" s="233"/>
      <c r="M2" s="233"/>
      <c r="N2" s="111"/>
      <c r="O2" s="111"/>
      <c r="P2" s="111"/>
      <c r="Q2" s="111"/>
      <c r="R2" s="111"/>
      <c r="S2" s="111"/>
      <c r="T2" s="111"/>
      <c r="U2" s="111"/>
      <c r="V2" s="201"/>
      <c r="W2" s="201"/>
      <c r="X2" s="111"/>
      <c r="Y2" s="201"/>
      <c r="Z2" s="111"/>
      <c r="AA2" s="288"/>
      <c r="AB2" s="13"/>
      <c r="AC2" s="13"/>
      <c r="AD2" s="13"/>
      <c r="AE2" s="13"/>
      <c r="AF2" s="13"/>
      <c r="AH2" s="127"/>
      <c r="AL2" s="195" t="s">
        <v>198</v>
      </c>
      <c r="AM2" s="194" t="str">
        <f>PROPER(Currency)&amp;"HW_Volatility_Quote"</f>
        <v>UsdHW_Volatility_Quote</v>
      </c>
      <c r="AP2" s="288"/>
    </row>
    <row r="3" spans="1:43" ht="12" thickBot="1" x14ac:dyDescent="0.25">
      <c r="J3" s="234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201"/>
      <c r="W3" s="201"/>
      <c r="X3" s="111"/>
      <c r="Y3" s="111"/>
      <c r="Z3" s="111"/>
      <c r="AA3" s="288"/>
      <c r="AB3" s="13"/>
      <c r="AC3" s="13"/>
      <c r="AD3" s="13"/>
      <c r="AE3" s="13"/>
      <c r="AF3" s="13"/>
      <c r="AH3" s="127"/>
      <c r="AL3" s="195" t="s">
        <v>197</v>
      </c>
      <c r="AM3" s="194" t="str">
        <f>PROPER(Currency)&amp;"HW_MeanReversion_Quote"</f>
        <v>UsdHW_MeanReversion_Quote</v>
      </c>
      <c r="AP3" s="288"/>
    </row>
    <row r="4" spans="1:43" ht="12" thickBot="1" x14ac:dyDescent="0.25">
      <c r="A4" s="132" t="s">
        <v>154</v>
      </c>
      <c r="B4" s="131"/>
      <c r="C4" s="131"/>
      <c r="D4" s="130" t="s">
        <v>152</v>
      </c>
      <c r="E4" s="130" t="s">
        <v>19</v>
      </c>
      <c r="F4" s="129"/>
      <c r="G4" s="129"/>
      <c r="H4" s="128"/>
      <c r="J4" s="234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201"/>
      <c r="W4" s="201"/>
      <c r="X4" s="111"/>
      <c r="Y4" s="111"/>
      <c r="Z4" s="231">
        <f>_xll.ohTrigger(Z6:Z17)</f>
        <v>2</v>
      </c>
      <c r="AA4" s="288"/>
      <c r="AB4" s="13"/>
      <c r="AC4" s="13"/>
      <c r="AD4" s="13"/>
      <c r="AE4" s="13"/>
      <c r="AF4" s="13"/>
      <c r="AH4" s="127"/>
      <c r="AL4" s="195" t="s">
        <v>91</v>
      </c>
      <c r="AM4" s="194" t="str">
        <f>PROPER(Currency)&amp;FamilyName&amp;$AN$4</f>
        <v>UsdLibor1M</v>
      </c>
      <c r="AN4" s="193" t="s">
        <v>19</v>
      </c>
      <c r="AP4" s="288"/>
    </row>
    <row r="5" spans="1:43" ht="22.5" x14ac:dyDescent="0.2">
      <c r="A5" s="127"/>
      <c r="B5" s="66" t="s">
        <v>151</v>
      </c>
      <c r="C5" s="67" t="s">
        <v>150</v>
      </c>
      <c r="D5" s="67" t="s">
        <v>149</v>
      </c>
      <c r="E5" s="65" t="str">
        <f>Currency&amp;"_010_"&amp;$D$4&amp;$E$4&amp;".xml"</f>
        <v>USD_010_FUT1M.xml</v>
      </c>
      <c r="F5" s="64" t="str">
        <f>IF(Serialize,_xll.ohObjectSave(F6:F17,SerializationPath&amp;E5,FileOverwrite,Serialize),"---")</f>
        <v>---</v>
      </c>
      <c r="G5" s="82" t="str">
        <f>_xll.ohRangeRetrieveError(F5)</f>
        <v/>
      </c>
      <c r="H5" s="115"/>
      <c r="J5" s="234"/>
      <c r="K5" s="287" t="s">
        <v>151</v>
      </c>
      <c r="L5" s="262" t="s">
        <v>150</v>
      </c>
      <c r="M5" s="262" t="s">
        <v>149</v>
      </c>
      <c r="N5" s="262" t="s">
        <v>242</v>
      </c>
      <c r="O5" s="196" t="str">
        <f>_xll.RData(O6:O17,P5:T5,"RTFEED:IDN",ReutersRtMode,,P6)</f>
        <v>Updated at 16:45:05</v>
      </c>
      <c r="P5" s="262" t="s">
        <v>241</v>
      </c>
      <c r="Q5" s="262" t="s">
        <v>201</v>
      </c>
      <c r="R5" s="262" t="s">
        <v>200</v>
      </c>
      <c r="S5" s="262" t="s">
        <v>218</v>
      </c>
      <c r="T5" s="262" t="s">
        <v>236</v>
      </c>
      <c r="U5" s="227" t="s">
        <v>235</v>
      </c>
      <c r="V5" s="201"/>
      <c r="W5" s="229" t="s">
        <v>231</v>
      </c>
      <c r="X5" s="201"/>
      <c r="Y5" s="441" t="s">
        <v>229</v>
      </c>
      <c r="Z5" s="230" t="s">
        <v>228</v>
      </c>
      <c r="AA5" s="23"/>
      <c r="AB5" s="13"/>
      <c r="AC5" s="159" t="s">
        <v>240</v>
      </c>
      <c r="AD5" s="157" t="s">
        <v>239</v>
      </c>
      <c r="AE5" s="13"/>
      <c r="AF5" s="260" t="s">
        <v>234</v>
      </c>
      <c r="AH5" s="127"/>
      <c r="AP5" s="288"/>
    </row>
    <row r="6" spans="1:43" ht="22.5" x14ac:dyDescent="0.2">
      <c r="A6" s="121"/>
      <c r="B6" s="126">
        <v>1</v>
      </c>
      <c r="C6" s="125" t="b">
        <v>0</v>
      </c>
      <c r="D6" s="124" t="str">
        <f t="array" ref="D6:D17">_xll.qlIMMNextCodes(_xll.qlSettingsEvaluationDate(Trigger)-1,$C6:$C17)</f>
        <v>K4</v>
      </c>
      <c r="E6" s="117" t="str">
        <f t="shared" ref="E6:E17" si="0">Currency&amp;$D$4&amp;$E$4&amp;$D6&amp;QuoteSuffix</f>
        <v>USDFUT1MK4_Quote</v>
      </c>
      <c r="F6" s="123" t="str">
        <f>_xll.qlSimpleQuote(E6,,PriceTickValue,Permanent,Trigger,ObjectOverwrite)</f>
        <v>USDFUT1MK4_Quote#0000</v>
      </c>
      <c r="G6" s="122" t="str">
        <f>_xll.ohRangeRetrieveError(F6)</f>
        <v/>
      </c>
      <c r="H6" s="115"/>
      <c r="J6" s="273"/>
      <c r="K6" s="286">
        <v>1</v>
      </c>
      <c r="L6" s="285" t="b">
        <v>0</v>
      </c>
      <c r="M6" s="219" t="str">
        <f t="array" ref="M6:M17">_xll.qlIMMcode(FuturesDates)</f>
        <v>K4</v>
      </c>
      <c r="N6" s="284">
        <f t="array" ref="N6:N17">_xll.qlIMMNextDates(_xll.qlSettingsEvaluationDate(Trigger)-1,$L6:$L17)</f>
        <v>41780</v>
      </c>
      <c r="O6" s="219" t="str">
        <f t="array" ref="O6:O17">VLOOKUP(Currency,LiffeCodes,2)&amp;FuturesCodes</f>
        <v>EMK4</v>
      </c>
      <c r="P6" s="283">
        <v>41778</v>
      </c>
      <c r="Q6" s="219">
        <v>0</v>
      </c>
      <c r="R6" s="219">
        <v>0</v>
      </c>
      <c r="S6" s="219">
        <v>0</v>
      </c>
      <c r="T6" s="219">
        <v>99.85</v>
      </c>
      <c r="U6" s="221" t="e">
        <f>_xll.qlMidSafe($Q6,$R6)</f>
        <v>#NUM!</v>
      </c>
      <c r="V6" s="201"/>
      <c r="W6" s="282" t="e">
        <v>#NUM!</v>
      </c>
      <c r="X6" s="201"/>
      <c r="Y6" s="281" t="e">
        <f t="array" ref="Y6:Y17">QuoteLive</f>
        <v>#NUM!</v>
      </c>
      <c r="Z6" s="221" t="e">
        <f>_xll.qlSimpleQuoteSetValue(F6,Y6,Trigger)</f>
        <v>#NUM!</v>
      </c>
      <c r="AA6" s="23"/>
      <c r="AB6" s="13"/>
      <c r="AC6" s="59" t="s">
        <v>105</v>
      </c>
      <c r="AD6" s="57"/>
      <c r="AE6" s="13"/>
      <c r="AF6" s="236" t="e">
        <f t="shared" ref="AF6:AF17" si="1">(R6-U6)/50</f>
        <v>#NUM!</v>
      </c>
      <c r="AH6" s="127"/>
      <c r="AI6" s="66" t="s">
        <v>151</v>
      </c>
      <c r="AJ6" s="146" t="s">
        <v>150</v>
      </c>
      <c r="AK6" s="146" t="s">
        <v>149</v>
      </c>
      <c r="AL6" s="146" t="s">
        <v>196</v>
      </c>
      <c r="AM6" s="65" t="str">
        <f>Currency&amp;"_020_Futures"&amp;AN4&amp;"ConvAdj.xml"</f>
        <v>USD_020_Futures1MConvAdj.xml</v>
      </c>
      <c r="AN6" s="83" t="str">
        <f>IF(Serialize,_xll.ohObjectSave(AN7:AN18,SerializationPath&amp;AM6,FileOverwrite,Serialize),"---")</f>
        <v>---</v>
      </c>
      <c r="AO6" s="48" t="str">
        <f>_xll.ohRangeRetrieveError(AN6)</f>
        <v/>
      </c>
      <c r="AP6" s="288"/>
    </row>
    <row r="7" spans="1:43" x14ac:dyDescent="0.2">
      <c r="A7" s="121"/>
      <c r="B7" s="120">
        <v>2</v>
      </c>
      <c r="C7" s="119" t="b">
        <v>0</v>
      </c>
      <c r="D7" s="118" t="str">
        <v>M4</v>
      </c>
      <c r="E7" s="117" t="str">
        <f t="shared" si="0"/>
        <v>USDFUT1MM4_Quote</v>
      </c>
      <c r="F7" s="116" t="str">
        <f>_xll.qlSimpleQuote(E7,,PriceTickValue,Permanent,Trigger,ObjectOverwrite)</f>
        <v>USDFUT1MM4_Quote#0000</v>
      </c>
      <c r="G7" s="79" t="str">
        <f>_xll.ohRangeRetrieveError(F7)</f>
        <v/>
      </c>
      <c r="H7" s="115"/>
      <c r="J7" s="273"/>
      <c r="K7" s="279">
        <v>2</v>
      </c>
      <c r="L7" s="278" t="b">
        <v>0</v>
      </c>
      <c r="M7" s="199" t="str">
        <v>M4</v>
      </c>
      <c r="N7" s="277">
        <v>41808</v>
      </c>
      <c r="O7" s="199" t="str">
        <v>EMM4</v>
      </c>
      <c r="P7" s="276">
        <v>41806</v>
      </c>
      <c r="Q7" s="199">
        <v>0</v>
      </c>
      <c r="R7" s="199">
        <v>0</v>
      </c>
      <c r="S7" s="199">
        <v>0</v>
      </c>
      <c r="T7" s="199">
        <v>99.85</v>
      </c>
      <c r="U7" s="203" t="e">
        <f>_xll.qlMidSafe($Q7,$R7)</f>
        <v>#NUM!</v>
      </c>
      <c r="V7" s="201"/>
      <c r="W7" s="280" t="e">
        <v>#NUM!</v>
      </c>
      <c r="X7" s="201"/>
      <c r="Y7" s="274" t="e">
        <v>#NUM!</v>
      </c>
      <c r="Z7" s="203" t="e">
        <f>_xll.qlSimpleQuoteSetValue(F7,Y7,Trigger)</f>
        <v>#NUM!</v>
      </c>
      <c r="AA7" s="23"/>
      <c r="AB7" s="13"/>
      <c r="AC7" s="59" t="s">
        <v>104</v>
      </c>
      <c r="AD7" s="57"/>
      <c r="AE7" s="13"/>
      <c r="AF7" s="236" t="e">
        <f t="shared" si="1"/>
        <v>#NUM!</v>
      </c>
      <c r="AH7" s="121"/>
      <c r="AI7" s="126">
        <v>1</v>
      </c>
      <c r="AJ7" s="124" t="b">
        <v>0</v>
      </c>
      <c r="AK7" s="124" t="str">
        <f t="array" ref="AK7:AK18">_xll.qlIMMNextCodes(_xll.qlSettingsEvaluationDate(Trigger)-1,$AJ7:$AJ126)</f>
        <v>K4</v>
      </c>
      <c r="AL7" s="191" t="str">
        <f t="shared" ref="AL7:AL18" si="2">Currency&amp;"FUT"&amp;$AN$4&amp;$AK7&amp;QuoteSuffix</f>
        <v>USDFUT1MK4_Quote</v>
      </c>
      <c r="AM7" s="192" t="str">
        <f t="shared" ref="AM7:AM18" si="3">Currency&amp;"FUT"&amp;$AN$4&amp;$AK7&amp;"ConvAdj"&amp;QuoteSuffix</f>
        <v>USDFUT1MK4ConvAdj_Quote</v>
      </c>
      <c r="AN7" s="191" t="e">
        <f>_xll.qlFuturesConvAdjustmentQuote($AM7,IborIndex,$AK7,$AL7,Volatility,MeanReversion,Permanent,Trigger,ObjectOverwrite)</f>
        <v>#NUM!</v>
      </c>
      <c r="AO7" s="48" t="str">
        <f ca="1">_xll.ohRangeRetrieveError(AN7)</f>
        <v>qlFuturesConvAdjustmentQuote - Error converting parameter 'FuturesQuote' : 'ObjectHandler error: attempt to retrieve object with unknown ID 'USDFUT1MK4_Quote'</v>
      </c>
      <c r="AP7" s="288"/>
    </row>
    <row r="8" spans="1:43" x14ac:dyDescent="0.2">
      <c r="A8" s="121"/>
      <c r="B8" s="120">
        <v>3</v>
      </c>
      <c r="C8" s="119" t="b">
        <v>0</v>
      </c>
      <c r="D8" s="118" t="str">
        <v>N4</v>
      </c>
      <c r="E8" s="117" t="str">
        <f t="shared" si="0"/>
        <v>USDFUT1MN4_Quote</v>
      </c>
      <c r="F8" s="116" t="str">
        <f>_xll.qlSimpleQuote(E8,,PriceTickValue,Permanent,Trigger,ObjectOverwrite)</f>
        <v>USDFUT1MN4_Quote#0000</v>
      </c>
      <c r="G8" s="79" t="str">
        <f>_xll.ohRangeRetrieveError(F8)</f>
        <v/>
      </c>
      <c r="H8" s="115"/>
      <c r="J8" s="273"/>
      <c r="K8" s="279">
        <v>3</v>
      </c>
      <c r="L8" s="278" t="b">
        <v>0</v>
      </c>
      <c r="M8" s="199" t="str">
        <v>N4</v>
      </c>
      <c r="N8" s="277">
        <v>41836</v>
      </c>
      <c r="O8" s="199" t="str">
        <v>EMN4</v>
      </c>
      <c r="P8" s="276">
        <v>41834</v>
      </c>
      <c r="Q8" s="199">
        <v>0</v>
      </c>
      <c r="R8" s="199">
        <v>0</v>
      </c>
      <c r="S8" s="199">
        <v>0</v>
      </c>
      <c r="T8" s="199">
        <v>99.844999999999999</v>
      </c>
      <c r="U8" s="203" t="e">
        <f>_xll.qlMidSafe($Q8,$R8)</f>
        <v>#NUM!</v>
      </c>
      <c r="V8" s="201"/>
      <c r="W8" s="280" t="e">
        <v>#NUM!</v>
      </c>
      <c r="X8" s="201"/>
      <c r="Y8" s="274" t="e">
        <v>#NUM!</v>
      </c>
      <c r="Z8" s="203" t="e">
        <f>_xll.qlSimpleQuoteSetValue(F8,Y8,Trigger)</f>
        <v>#NUM!</v>
      </c>
      <c r="AA8" s="23"/>
      <c r="AB8" s="13"/>
      <c r="AC8" s="59" t="s">
        <v>101</v>
      </c>
      <c r="AD8" s="57"/>
      <c r="AE8" s="13"/>
      <c r="AF8" s="236" t="e">
        <f t="shared" si="1"/>
        <v>#NUM!</v>
      </c>
      <c r="AH8" s="121"/>
      <c r="AI8" s="120">
        <v>2</v>
      </c>
      <c r="AJ8" s="118" t="b">
        <v>0</v>
      </c>
      <c r="AK8" s="118" t="str">
        <v>M4</v>
      </c>
      <c r="AL8" s="191" t="str">
        <f t="shared" si="2"/>
        <v>USDFUT1MM4_Quote</v>
      </c>
      <c r="AM8" s="192" t="str">
        <f t="shared" si="3"/>
        <v>USDFUT1MM4ConvAdj_Quote</v>
      </c>
      <c r="AN8" s="191" t="e">
        <f>_xll.qlFuturesConvAdjustmentQuote($AM8,IborIndex,$AK8,$AL8,Volatility,MeanReversion,Permanent,Trigger,ObjectOverwrite)</f>
        <v>#NUM!</v>
      </c>
      <c r="AO8" s="48" t="str">
        <f ca="1">_xll.ohRangeRetrieveError(AN8)</f>
        <v>qlFuturesConvAdjustmentQuote - Error converting parameter 'FuturesQuote' : 'ObjectHandler error: attempt to retrieve object with unknown ID 'USDFUT1MM4_Quote'</v>
      </c>
      <c r="AP8" s="288"/>
    </row>
    <row r="9" spans="1:43" x14ac:dyDescent="0.2">
      <c r="A9" s="121"/>
      <c r="B9" s="120">
        <v>4</v>
      </c>
      <c r="C9" s="119" t="b">
        <v>0</v>
      </c>
      <c r="D9" s="118" t="str">
        <v>Q4</v>
      </c>
      <c r="E9" s="117" t="str">
        <f t="shared" si="0"/>
        <v>USDFUT1MQ4_Quote</v>
      </c>
      <c r="F9" s="116" t="str">
        <f>_xll.qlSimpleQuote(E9,,PriceTickValue,Permanent,Trigger,ObjectOverwrite)</f>
        <v>USDFUT1MQ4_Quote#0000</v>
      </c>
      <c r="G9" s="79" t="str">
        <f>_xll.ohRangeRetrieveError(F9)</f>
        <v/>
      </c>
      <c r="H9" s="115"/>
      <c r="J9" s="273"/>
      <c r="K9" s="279">
        <v>4</v>
      </c>
      <c r="L9" s="278" t="b">
        <v>0</v>
      </c>
      <c r="M9" s="199" t="str">
        <v>Q4</v>
      </c>
      <c r="N9" s="277">
        <v>41871</v>
      </c>
      <c r="O9" s="199" t="str">
        <v>EMQ4</v>
      </c>
      <c r="P9" s="276">
        <v>41869</v>
      </c>
      <c r="Q9" s="199">
        <v>0</v>
      </c>
      <c r="R9" s="199">
        <v>0</v>
      </c>
      <c r="S9" s="199">
        <v>0</v>
      </c>
      <c r="T9" s="199">
        <v>99.844999999999999</v>
      </c>
      <c r="U9" s="203" t="e">
        <f>_xll.qlMidSafe($Q9,$R9)</f>
        <v>#NUM!</v>
      </c>
      <c r="V9" s="201"/>
      <c r="W9" s="280" t="e">
        <v>#NUM!</v>
      </c>
      <c r="X9" s="201"/>
      <c r="Y9" s="274" t="e">
        <v>#NUM!</v>
      </c>
      <c r="Z9" s="203" t="e">
        <f>_xll.qlSimpleQuoteSetValue(F9,Y9,Trigger)</f>
        <v>#NUM!</v>
      </c>
      <c r="AA9" s="23"/>
      <c r="AB9" s="13"/>
      <c r="AC9" s="59" t="s">
        <v>100</v>
      </c>
      <c r="AD9" s="57"/>
      <c r="AE9" s="13"/>
      <c r="AF9" s="236" t="e">
        <f t="shared" si="1"/>
        <v>#NUM!</v>
      </c>
      <c r="AH9" s="121"/>
      <c r="AI9" s="120">
        <v>3</v>
      </c>
      <c r="AJ9" s="118" t="b">
        <v>0</v>
      </c>
      <c r="AK9" s="118" t="str">
        <v>N4</v>
      </c>
      <c r="AL9" s="191" t="str">
        <f t="shared" si="2"/>
        <v>USDFUT1MN4_Quote</v>
      </c>
      <c r="AM9" s="192" t="str">
        <f t="shared" si="3"/>
        <v>USDFUT1MN4ConvAdj_Quote</v>
      </c>
      <c r="AN9" s="191" t="e">
        <f>_xll.qlFuturesConvAdjustmentQuote($AM9,IborIndex,$AK9,$AL9,Volatility,MeanReversion,Permanent,Trigger,ObjectOverwrite)</f>
        <v>#NUM!</v>
      </c>
      <c r="AO9" s="48" t="str">
        <f ca="1">_xll.ohRangeRetrieveError(AN9)</f>
        <v>qlFuturesConvAdjustmentQuote - Error converting parameter 'FuturesQuote' : 'ObjectHandler error: attempt to retrieve object with unknown ID 'USDFUT1MN4_Quote'</v>
      </c>
      <c r="AP9" s="288"/>
      <c r="AQ9" s="436"/>
    </row>
    <row r="10" spans="1:43" ht="12" thickBot="1" x14ac:dyDescent="0.25">
      <c r="A10" s="121"/>
      <c r="B10" s="120">
        <v>5</v>
      </c>
      <c r="C10" s="119" t="b">
        <v>0</v>
      </c>
      <c r="D10" s="118" t="str">
        <v>U4</v>
      </c>
      <c r="E10" s="117" t="str">
        <f t="shared" si="0"/>
        <v>USDFUT1MU4_Quote</v>
      </c>
      <c r="F10" s="116" t="str">
        <f>_xll.qlSimpleQuote(E10,,PriceTickValue,Permanent,Trigger,ObjectOverwrite)</f>
        <v>USDFUT1MU4_Quote#0000</v>
      </c>
      <c r="G10" s="79" t="str">
        <f>_xll.ohRangeRetrieveError(F10)</f>
        <v/>
      </c>
      <c r="H10" s="115"/>
      <c r="J10" s="273"/>
      <c r="K10" s="279">
        <v>5</v>
      </c>
      <c r="L10" s="278" t="b">
        <v>0</v>
      </c>
      <c r="M10" s="199" t="str">
        <v>U4</v>
      </c>
      <c r="N10" s="277">
        <v>41899</v>
      </c>
      <c r="O10" s="199" t="str">
        <v>EMU4</v>
      </c>
      <c r="P10" s="276">
        <v>41897</v>
      </c>
      <c r="Q10" s="199">
        <v>0</v>
      </c>
      <c r="R10" s="199">
        <v>0</v>
      </c>
      <c r="S10" s="199">
        <v>0</v>
      </c>
      <c r="T10" s="199">
        <v>99.842500000000001</v>
      </c>
      <c r="U10" s="203" t="e">
        <f>_xll.qlMidSafe($Q10,$R10)</f>
        <v>#NUM!</v>
      </c>
      <c r="V10" s="201"/>
      <c r="W10" s="275" t="e">
        <v>#NUM!</v>
      </c>
      <c r="X10" s="201"/>
      <c r="Y10" s="274" t="e">
        <v>#NUM!</v>
      </c>
      <c r="Z10" s="203" t="e">
        <f>_xll.qlSimpleQuoteSetValue(F10,Y10,Trigger)</f>
        <v>#NUM!</v>
      </c>
      <c r="AA10" s="23"/>
      <c r="AB10" s="13"/>
      <c r="AC10" s="56" t="s">
        <v>95</v>
      </c>
      <c r="AD10" s="54" t="s">
        <v>238</v>
      </c>
      <c r="AE10" s="13"/>
      <c r="AF10" s="236" t="e">
        <f t="shared" si="1"/>
        <v>#NUM!</v>
      </c>
      <c r="AH10" s="121"/>
      <c r="AI10" s="120">
        <v>4</v>
      </c>
      <c r="AJ10" s="118" t="b">
        <v>0</v>
      </c>
      <c r="AK10" s="118" t="str">
        <v>Q4</v>
      </c>
      <c r="AL10" s="191" t="str">
        <f t="shared" si="2"/>
        <v>USDFUT1MQ4_Quote</v>
      </c>
      <c r="AM10" s="192" t="str">
        <f t="shared" si="3"/>
        <v>USDFUT1MQ4ConvAdj_Quote</v>
      </c>
      <c r="AN10" s="191" t="e">
        <f>_xll.qlFuturesConvAdjustmentQuote($AM10,IborIndex,$AK10,$AL10,Volatility,MeanReversion,Permanent,Trigger,ObjectOverwrite)</f>
        <v>#NUM!</v>
      </c>
      <c r="AO10" s="48" t="str">
        <f ca="1">_xll.ohRangeRetrieveError(AN10)</f>
        <v>qlFuturesConvAdjustmentQuote - Error converting parameter 'FuturesQuote' : 'ObjectHandler error: attempt to retrieve object with unknown ID 'USDFUT1MQ4_Quote'</v>
      </c>
      <c r="AP10" s="288"/>
    </row>
    <row r="11" spans="1:43" x14ac:dyDescent="0.2">
      <c r="A11" s="121"/>
      <c r="B11" s="120">
        <v>6</v>
      </c>
      <c r="C11" s="119" t="b">
        <v>0</v>
      </c>
      <c r="D11" s="118" t="str">
        <v>V4</v>
      </c>
      <c r="E11" s="117" t="str">
        <f t="shared" si="0"/>
        <v>USDFUT1MV4_Quote</v>
      </c>
      <c r="F11" s="116" t="str">
        <f>_xll.qlSimpleQuote(E11,,PriceTickValue,Permanent,Trigger,ObjectOverwrite)</f>
        <v>USDFUT1MV4_Quote#0000</v>
      </c>
      <c r="G11" s="79" t="str">
        <f>_xll.ohRangeRetrieveError(F11)</f>
        <v/>
      </c>
      <c r="H11" s="115"/>
      <c r="J11" s="273"/>
      <c r="K11" s="279">
        <v>6</v>
      </c>
      <c r="L11" s="278" t="b">
        <v>0</v>
      </c>
      <c r="M11" s="199" t="str">
        <v>V4</v>
      </c>
      <c r="N11" s="277">
        <v>41927</v>
      </c>
      <c r="O11" s="199" t="str">
        <v>EMV4</v>
      </c>
      <c r="P11" s="276">
        <v>41926</v>
      </c>
      <c r="Q11" s="199">
        <v>0</v>
      </c>
      <c r="R11" s="199">
        <v>0</v>
      </c>
      <c r="S11" s="199">
        <v>0</v>
      </c>
      <c r="T11" s="199">
        <v>99.834999999999994</v>
      </c>
      <c r="U11" s="203" t="e">
        <f>_xll.qlMidSafe($Q11,$R11)</f>
        <v>#NUM!</v>
      </c>
      <c r="V11" s="201"/>
      <c r="W11" s="275" t="e">
        <v>#NUM!</v>
      </c>
      <c r="X11" s="201"/>
      <c r="Y11" s="274" t="e">
        <v>#NUM!</v>
      </c>
      <c r="Z11" s="203" t="e">
        <f>_xll.qlSimpleQuoteSetValue(F11,Y11,Trigger)</f>
        <v>#NUM!</v>
      </c>
      <c r="AA11" s="23"/>
      <c r="AB11" s="13"/>
      <c r="AC11" s="13"/>
      <c r="AD11" s="13"/>
      <c r="AE11" s="13"/>
      <c r="AF11" s="236" t="e">
        <f t="shared" si="1"/>
        <v>#NUM!</v>
      </c>
      <c r="AH11" s="121"/>
      <c r="AI11" s="120">
        <v>5</v>
      </c>
      <c r="AJ11" s="118" t="b">
        <v>0</v>
      </c>
      <c r="AK11" s="118" t="str">
        <v>U4</v>
      </c>
      <c r="AL11" s="191" t="str">
        <f t="shared" si="2"/>
        <v>USDFUT1MU4_Quote</v>
      </c>
      <c r="AM11" s="192" t="str">
        <f t="shared" si="3"/>
        <v>USDFUT1MU4ConvAdj_Quote</v>
      </c>
      <c r="AN11" s="191" t="e">
        <f>_xll.qlFuturesConvAdjustmentQuote($AM11,IborIndex,$AK11,$AL11,Volatility,MeanReversion,Permanent,Trigger,ObjectOverwrite)</f>
        <v>#NUM!</v>
      </c>
      <c r="AO11" s="48" t="str">
        <f ca="1">_xll.ohRangeRetrieveError(AN11)</f>
        <v>qlFuturesConvAdjustmentQuote - Error converting parameter 'FuturesQuote' : 'ObjectHandler error: attempt to retrieve object with unknown ID 'USDFUT1MU4_Quote'</v>
      </c>
      <c r="AP11" s="288"/>
    </row>
    <row r="12" spans="1:43" x14ac:dyDescent="0.2">
      <c r="A12" s="121"/>
      <c r="B12" s="120">
        <v>7</v>
      </c>
      <c r="C12" s="119" t="b">
        <v>0</v>
      </c>
      <c r="D12" s="118" t="str">
        <v>X4</v>
      </c>
      <c r="E12" s="117" t="str">
        <f t="shared" si="0"/>
        <v>USDFUT1MX4_Quote</v>
      </c>
      <c r="F12" s="116" t="str">
        <f>_xll.qlSimpleQuote(E12,,PriceTickValue,Permanent,Trigger,ObjectOverwrite)</f>
        <v>USDFUT1MX4_Quote#0000</v>
      </c>
      <c r="G12" s="79" t="str">
        <f>_xll.ohRangeRetrieveError(F12)</f>
        <v/>
      </c>
      <c r="H12" s="115"/>
      <c r="J12" s="273"/>
      <c r="K12" s="279">
        <v>7</v>
      </c>
      <c r="L12" s="278" t="b">
        <v>0</v>
      </c>
      <c r="M12" s="199" t="str">
        <v>X4</v>
      </c>
      <c r="N12" s="277">
        <v>41962</v>
      </c>
      <c r="O12" s="199" t="str">
        <v>EMX4</v>
      </c>
      <c r="P12" s="276">
        <v>41960</v>
      </c>
      <c r="Q12" s="199">
        <v>0</v>
      </c>
      <c r="R12" s="199">
        <v>0</v>
      </c>
      <c r="S12" s="199">
        <v>0</v>
      </c>
      <c r="T12" s="199">
        <v>99.83</v>
      </c>
      <c r="U12" s="203" t="e">
        <f>_xll.qlMidSafe($Q12,$R12)</f>
        <v>#NUM!</v>
      </c>
      <c r="V12" s="201"/>
      <c r="W12" s="275" t="e">
        <v>#NUM!</v>
      </c>
      <c r="X12" s="201"/>
      <c r="Y12" s="274" t="e">
        <v>#NUM!</v>
      </c>
      <c r="Z12" s="203" t="e">
        <f>_xll.qlSimpleQuoteSetValue(F12,Y12,Trigger)</f>
        <v>#NUM!</v>
      </c>
      <c r="AA12" s="23"/>
      <c r="AB12" s="13"/>
      <c r="AC12" s="13"/>
      <c r="AD12" s="13"/>
      <c r="AE12" s="13"/>
      <c r="AF12" s="236" t="e">
        <f t="shared" si="1"/>
        <v>#NUM!</v>
      </c>
      <c r="AH12" s="121"/>
      <c r="AI12" s="120">
        <v>6</v>
      </c>
      <c r="AJ12" s="118" t="b">
        <v>0</v>
      </c>
      <c r="AK12" s="118" t="str">
        <v>V4</v>
      </c>
      <c r="AL12" s="191" t="str">
        <f t="shared" si="2"/>
        <v>USDFUT1MV4_Quote</v>
      </c>
      <c r="AM12" s="192" t="str">
        <f t="shared" si="3"/>
        <v>USDFUT1MV4ConvAdj_Quote</v>
      </c>
      <c r="AN12" s="191" t="e">
        <f>_xll.qlFuturesConvAdjustmentQuote($AM12,IborIndex,$AK12,$AL12,Volatility,MeanReversion,Permanent,Trigger,ObjectOverwrite)</f>
        <v>#NUM!</v>
      </c>
      <c r="AO12" s="48" t="str">
        <f ca="1">_xll.ohRangeRetrieveError(AN12)</f>
        <v>qlFuturesConvAdjustmentQuote - Error converting parameter 'FuturesQuote' : 'ObjectHandler error: attempt to retrieve object with unknown ID 'USDFUT1MV4_Quote'</v>
      </c>
      <c r="AP12" s="288"/>
    </row>
    <row r="13" spans="1:43" x14ac:dyDescent="0.2">
      <c r="A13" s="121"/>
      <c r="B13" s="120">
        <v>8</v>
      </c>
      <c r="C13" s="119" t="b">
        <v>0</v>
      </c>
      <c r="D13" s="118" t="str">
        <v>Z4</v>
      </c>
      <c r="E13" s="117" t="str">
        <f t="shared" si="0"/>
        <v>USDFUT1MZ4_Quote</v>
      </c>
      <c r="F13" s="116" t="str">
        <f>_xll.qlSimpleQuote(E13,,PriceTickValue,Permanent,Trigger,ObjectOverwrite)</f>
        <v>USDFUT1MZ4_Quote#0000</v>
      </c>
      <c r="G13" s="79" t="str">
        <f>_xll.ohRangeRetrieveError(F13)</f>
        <v/>
      </c>
      <c r="H13" s="115"/>
      <c r="J13" s="273"/>
      <c r="K13" s="279">
        <v>8</v>
      </c>
      <c r="L13" s="278" t="b">
        <v>0</v>
      </c>
      <c r="M13" s="199" t="str">
        <v>Z4</v>
      </c>
      <c r="N13" s="277">
        <v>41990</v>
      </c>
      <c r="O13" s="199" t="str">
        <v>EMZ4</v>
      </c>
      <c r="P13" s="276">
        <v>41988</v>
      </c>
      <c r="Q13" s="199">
        <v>0</v>
      </c>
      <c r="R13" s="199">
        <v>0</v>
      </c>
      <c r="S13" s="199">
        <v>0</v>
      </c>
      <c r="T13" s="199">
        <v>99.805000000000007</v>
      </c>
      <c r="U13" s="203" t="e">
        <f>_xll.qlMidSafe($Q13,$R13)</f>
        <v>#NUM!</v>
      </c>
      <c r="V13" s="201"/>
      <c r="W13" s="275" t="e">
        <v>#NUM!</v>
      </c>
      <c r="X13" s="201"/>
      <c r="Y13" s="274" t="e">
        <v>#NUM!</v>
      </c>
      <c r="Z13" s="203" t="e">
        <f>_xll.qlSimpleQuoteSetValue(F13,Y13,Trigger)</f>
        <v>#NUM!</v>
      </c>
      <c r="AA13" s="23"/>
      <c r="AB13" s="13"/>
      <c r="AC13" s="13"/>
      <c r="AD13" s="13"/>
      <c r="AE13" s="13"/>
      <c r="AF13" s="236" t="e">
        <f t="shared" si="1"/>
        <v>#NUM!</v>
      </c>
      <c r="AH13" s="121"/>
      <c r="AI13" s="120">
        <v>7</v>
      </c>
      <c r="AJ13" s="118" t="b">
        <v>0</v>
      </c>
      <c r="AK13" s="118" t="str">
        <v>X4</v>
      </c>
      <c r="AL13" s="191" t="str">
        <f t="shared" si="2"/>
        <v>USDFUT1MX4_Quote</v>
      </c>
      <c r="AM13" s="192" t="str">
        <f t="shared" si="3"/>
        <v>USDFUT1MX4ConvAdj_Quote</v>
      </c>
      <c r="AN13" s="191" t="e">
        <f>_xll.qlFuturesConvAdjustmentQuote($AM13,IborIndex,$AK13,$AL13,Volatility,MeanReversion,Permanent,Trigger,ObjectOverwrite)</f>
        <v>#NUM!</v>
      </c>
      <c r="AO13" s="48" t="str">
        <f ca="1">_xll.ohRangeRetrieveError(AN13)</f>
        <v>qlFuturesConvAdjustmentQuote - Error converting parameter 'FuturesQuote' : 'ObjectHandler error: attempt to retrieve object with unknown ID 'USDFUT1MX4_Quote'</v>
      </c>
      <c r="AP13" s="288"/>
    </row>
    <row r="14" spans="1:43" x14ac:dyDescent="0.2">
      <c r="A14" s="121"/>
      <c r="B14" s="120">
        <v>9</v>
      </c>
      <c r="C14" s="119" t="b">
        <v>0</v>
      </c>
      <c r="D14" s="118" t="str">
        <v>F5</v>
      </c>
      <c r="E14" s="117" t="str">
        <f t="shared" si="0"/>
        <v>USDFUT1MF5_Quote</v>
      </c>
      <c r="F14" s="116" t="str">
        <f>_xll.qlSimpleQuote(E14,,PriceTickValue,Permanent,Trigger,ObjectOverwrite)</f>
        <v>USDFUT1MF5_Quote#0000</v>
      </c>
      <c r="G14" s="79" t="str">
        <f>_xll.ohRangeRetrieveError(F14)</f>
        <v/>
      </c>
      <c r="H14" s="115"/>
      <c r="J14" s="273"/>
      <c r="K14" s="279">
        <v>9</v>
      </c>
      <c r="L14" s="278" t="b">
        <v>0</v>
      </c>
      <c r="M14" s="199" t="str">
        <v>F5</v>
      </c>
      <c r="N14" s="277">
        <v>42025</v>
      </c>
      <c r="O14" s="199" t="str">
        <v>EMF5</v>
      </c>
      <c r="P14" s="276">
        <v>42024</v>
      </c>
      <c r="Q14" s="199">
        <v>0</v>
      </c>
      <c r="R14" s="199">
        <v>0</v>
      </c>
      <c r="S14" s="199">
        <v>0</v>
      </c>
      <c r="T14" s="199">
        <v>99.792500000000004</v>
      </c>
      <c r="U14" s="203" t="e">
        <f>_xll.qlMidSafe($Q14,$R14)</f>
        <v>#NUM!</v>
      </c>
      <c r="V14" s="201"/>
      <c r="W14" s="275" t="e">
        <v>#NUM!</v>
      </c>
      <c r="X14" s="201"/>
      <c r="Y14" s="274" t="e">
        <v>#NUM!</v>
      </c>
      <c r="Z14" s="203" t="e">
        <f>_xll.qlSimpleQuoteSetValue(F14,Y14,Trigger)</f>
        <v>#NUM!</v>
      </c>
      <c r="AA14" s="23"/>
      <c r="AB14" s="13"/>
      <c r="AC14" s="13"/>
      <c r="AD14" s="13"/>
      <c r="AE14" s="13"/>
      <c r="AF14" s="236" t="e">
        <f t="shared" si="1"/>
        <v>#NUM!</v>
      </c>
      <c r="AH14" s="121"/>
      <c r="AI14" s="120">
        <v>8</v>
      </c>
      <c r="AJ14" s="118" t="b">
        <v>0</v>
      </c>
      <c r="AK14" s="118" t="str">
        <v>Z4</v>
      </c>
      <c r="AL14" s="191" t="str">
        <f t="shared" si="2"/>
        <v>USDFUT1MZ4_Quote</v>
      </c>
      <c r="AM14" s="192" t="str">
        <f t="shared" si="3"/>
        <v>USDFUT1MZ4ConvAdj_Quote</v>
      </c>
      <c r="AN14" s="191" t="e">
        <f>_xll.qlFuturesConvAdjustmentQuote($AM14,IborIndex,$AK14,$AL14,Volatility,MeanReversion,Permanent,Trigger,ObjectOverwrite)</f>
        <v>#NUM!</v>
      </c>
      <c r="AO14" s="48" t="str">
        <f ca="1">_xll.ohRangeRetrieveError(AN14)</f>
        <v>qlFuturesConvAdjustmentQuote - Error converting parameter 'FuturesQuote' : 'ObjectHandler error: attempt to retrieve object with unknown ID 'USDFUT1MZ4_Quote'</v>
      </c>
      <c r="AP14" s="288"/>
    </row>
    <row r="15" spans="1:43" x14ac:dyDescent="0.2">
      <c r="A15" s="121"/>
      <c r="B15" s="120">
        <v>10</v>
      </c>
      <c r="C15" s="119" t="b">
        <v>0</v>
      </c>
      <c r="D15" s="118" t="str">
        <v>G5</v>
      </c>
      <c r="E15" s="117" t="str">
        <f t="shared" si="0"/>
        <v>USDFUT1MG5_Quote</v>
      </c>
      <c r="F15" s="116" t="str">
        <f>_xll.qlSimpleQuote(E15,,PriceTickValue,Permanent,Trigger,ObjectOverwrite)</f>
        <v>USDFUT1MG5_Quote#0000</v>
      </c>
      <c r="G15" s="79" t="str">
        <f>_xll.ohRangeRetrieveError(F15)</f>
        <v/>
      </c>
      <c r="H15" s="115"/>
      <c r="J15" s="273"/>
      <c r="K15" s="279">
        <v>10</v>
      </c>
      <c r="L15" s="278" t="b">
        <v>0</v>
      </c>
      <c r="M15" s="199" t="str">
        <v>G5</v>
      </c>
      <c r="N15" s="277">
        <v>42053</v>
      </c>
      <c r="O15" s="199" t="str">
        <v>EMG5</v>
      </c>
      <c r="P15" s="276">
        <v>42052</v>
      </c>
      <c r="Q15" s="199">
        <v>0</v>
      </c>
      <c r="R15" s="199">
        <v>0</v>
      </c>
      <c r="S15" s="199">
        <v>0</v>
      </c>
      <c r="T15" s="199">
        <v>99.78</v>
      </c>
      <c r="U15" s="203" t="e">
        <f>_xll.qlMidSafe($Q15,$R15)</f>
        <v>#NUM!</v>
      </c>
      <c r="V15" s="201"/>
      <c r="W15" s="275" t="e">
        <v>#NUM!</v>
      </c>
      <c r="X15" s="201"/>
      <c r="Y15" s="274" t="e">
        <v>#NUM!</v>
      </c>
      <c r="Z15" s="203" t="e">
        <f>_xll.qlSimpleQuoteSetValue(F15,Y15,Trigger)</f>
        <v>#NUM!</v>
      </c>
      <c r="AA15" s="23"/>
      <c r="AB15" s="13"/>
      <c r="AC15" s="13"/>
      <c r="AD15" s="13"/>
      <c r="AE15" s="13"/>
      <c r="AF15" s="236" t="e">
        <f t="shared" si="1"/>
        <v>#NUM!</v>
      </c>
      <c r="AH15" s="121"/>
      <c r="AI15" s="120">
        <v>9</v>
      </c>
      <c r="AJ15" s="118" t="b">
        <v>0</v>
      </c>
      <c r="AK15" s="118" t="str">
        <v>F5</v>
      </c>
      <c r="AL15" s="191" t="str">
        <f t="shared" si="2"/>
        <v>USDFUT1MF5_Quote</v>
      </c>
      <c r="AM15" s="192" t="str">
        <f t="shared" si="3"/>
        <v>USDFUT1MF5ConvAdj_Quote</v>
      </c>
      <c r="AN15" s="191" t="e">
        <f>_xll.qlFuturesConvAdjustmentQuote($AM15,IborIndex,$AK15,$AL15,Volatility,MeanReversion,Permanent,Trigger,ObjectOverwrite)</f>
        <v>#NUM!</v>
      </c>
      <c r="AO15" s="48" t="str">
        <f ca="1">_xll.ohRangeRetrieveError(AN15)</f>
        <v>qlFuturesConvAdjustmentQuote - Error converting parameter 'FuturesQuote' : 'ObjectHandler error: attempt to retrieve object with unknown ID 'USDFUT1MF5_Quote'</v>
      </c>
      <c r="AP15" s="288"/>
    </row>
    <row r="16" spans="1:43" x14ac:dyDescent="0.2">
      <c r="A16" s="121"/>
      <c r="B16" s="120">
        <v>11</v>
      </c>
      <c r="C16" s="119" t="b">
        <v>0</v>
      </c>
      <c r="D16" s="118" t="str">
        <v>H5</v>
      </c>
      <c r="E16" s="117" t="str">
        <f t="shared" si="0"/>
        <v>USDFUT1MH5_Quote</v>
      </c>
      <c r="F16" s="116" t="str">
        <f>_xll.qlSimpleQuote(E16,,PriceTickValue,Permanent,Trigger,ObjectOverwrite)</f>
        <v>USDFUT1MH5_Quote#0000</v>
      </c>
      <c r="G16" s="79" t="str">
        <f>_xll.ohRangeRetrieveError(F16)</f>
        <v/>
      </c>
      <c r="H16" s="115"/>
      <c r="J16" s="273"/>
      <c r="K16" s="279">
        <v>11</v>
      </c>
      <c r="L16" s="278" t="b">
        <v>0</v>
      </c>
      <c r="M16" s="199" t="str">
        <v>H5</v>
      </c>
      <c r="N16" s="277">
        <v>42081</v>
      </c>
      <c r="O16" s="199" t="str">
        <v>EMH5</v>
      </c>
      <c r="P16" s="276">
        <v>42079</v>
      </c>
      <c r="Q16" s="199">
        <v>0</v>
      </c>
      <c r="R16" s="199">
        <v>0</v>
      </c>
      <c r="S16" s="199">
        <v>0</v>
      </c>
      <c r="T16" s="199">
        <v>99.732500000000002</v>
      </c>
      <c r="U16" s="203" t="e">
        <f>_xll.qlMidSafe($Q16,$R16)</f>
        <v>#NUM!</v>
      </c>
      <c r="V16" s="201"/>
      <c r="W16" s="275" t="e">
        <v>#NUM!</v>
      </c>
      <c r="X16" s="201"/>
      <c r="Y16" s="274" t="e">
        <v>#NUM!</v>
      </c>
      <c r="Z16" s="203" t="e">
        <f>_xll.qlSimpleQuoteSetValue(F16,Y16,Trigger)</f>
        <v>#NUM!</v>
      </c>
      <c r="AA16" s="23"/>
      <c r="AB16" s="13"/>
      <c r="AC16" s="13"/>
      <c r="AD16" s="13"/>
      <c r="AE16" s="13"/>
      <c r="AF16" s="236" t="e">
        <f t="shared" si="1"/>
        <v>#NUM!</v>
      </c>
      <c r="AH16" s="121"/>
      <c r="AI16" s="120">
        <v>10</v>
      </c>
      <c r="AJ16" s="118" t="b">
        <v>0</v>
      </c>
      <c r="AK16" s="118" t="str">
        <v>G5</v>
      </c>
      <c r="AL16" s="191" t="str">
        <f t="shared" si="2"/>
        <v>USDFUT1MG5_Quote</v>
      </c>
      <c r="AM16" s="192" t="str">
        <f t="shared" si="3"/>
        <v>USDFUT1MG5ConvAdj_Quote</v>
      </c>
      <c r="AN16" s="191" t="e">
        <f>_xll.qlFuturesConvAdjustmentQuote($AM16,IborIndex,$AK16,$AL16,Volatility,MeanReversion,Permanent,Trigger,ObjectOverwrite)</f>
        <v>#NUM!</v>
      </c>
      <c r="AO16" s="48" t="str">
        <f ca="1">_xll.ohRangeRetrieveError(AN16)</f>
        <v>qlFuturesConvAdjustmentQuote - Error converting parameter 'FuturesQuote' : 'ObjectHandler error: attempt to retrieve object with unknown ID 'USDFUT1MG5_Quote'</v>
      </c>
      <c r="AP16" s="288"/>
    </row>
    <row r="17" spans="1:42" x14ac:dyDescent="0.2">
      <c r="A17" s="121"/>
      <c r="B17" s="120">
        <v>12</v>
      </c>
      <c r="C17" s="119" t="b">
        <v>0</v>
      </c>
      <c r="D17" s="118" t="str">
        <v>J5</v>
      </c>
      <c r="E17" s="117" t="str">
        <f t="shared" si="0"/>
        <v>USDFUT1MJ5_Quote</v>
      </c>
      <c r="F17" s="116" t="str">
        <f>_xll.qlSimpleQuote(E17,,PriceTickValue,Permanent,Trigger,ObjectOverwrite)</f>
        <v>USDFUT1MJ5_Quote#0000</v>
      </c>
      <c r="G17" s="79" t="str">
        <f>_xll.ohRangeRetrieveError(F17)</f>
        <v/>
      </c>
      <c r="H17" s="115"/>
      <c r="J17" s="273"/>
      <c r="K17" s="272">
        <v>12</v>
      </c>
      <c r="L17" s="271" t="b">
        <v>0</v>
      </c>
      <c r="M17" s="212" t="str">
        <v>J5</v>
      </c>
      <c r="N17" s="270">
        <v>42109</v>
      </c>
      <c r="O17" s="212" t="str">
        <v>EMJ5</v>
      </c>
      <c r="P17" s="269">
        <v>42107</v>
      </c>
      <c r="Q17" s="212">
        <v>0</v>
      </c>
      <c r="R17" s="212">
        <v>0</v>
      </c>
      <c r="S17" s="212">
        <v>0</v>
      </c>
      <c r="T17" s="212">
        <v>99.7</v>
      </c>
      <c r="U17" s="215" t="e">
        <f>_xll.qlMidSafe($Q17,$R17)</f>
        <v>#NUM!</v>
      </c>
      <c r="V17" s="201"/>
      <c r="W17" s="268" t="e">
        <v>#NUM!</v>
      </c>
      <c r="X17" s="201"/>
      <c r="Y17" s="267" t="e">
        <v>#NUM!</v>
      </c>
      <c r="Z17" s="215" t="e">
        <f>_xll.qlSimpleQuoteSetValue(F17,Y17,Trigger)</f>
        <v>#NUM!</v>
      </c>
      <c r="AA17" s="23"/>
      <c r="AB17" s="13"/>
      <c r="AC17" s="13"/>
      <c r="AD17" s="13"/>
      <c r="AE17" s="13"/>
      <c r="AF17" s="236" t="e">
        <f t="shared" si="1"/>
        <v>#NUM!</v>
      </c>
      <c r="AH17" s="121"/>
      <c r="AI17" s="120">
        <v>11</v>
      </c>
      <c r="AJ17" s="118" t="b">
        <v>0</v>
      </c>
      <c r="AK17" s="118" t="str">
        <v>H5</v>
      </c>
      <c r="AL17" s="191" t="str">
        <f t="shared" si="2"/>
        <v>USDFUT1MH5_Quote</v>
      </c>
      <c r="AM17" s="192" t="str">
        <f t="shared" si="3"/>
        <v>USDFUT1MH5ConvAdj_Quote</v>
      </c>
      <c r="AN17" s="191" t="e">
        <f>_xll.qlFuturesConvAdjustmentQuote($AM17,IborIndex,$AK17,$AL17,Volatility,MeanReversion,Permanent,Trigger,ObjectOverwrite)</f>
        <v>#NUM!</v>
      </c>
      <c r="AO17" s="48" t="str">
        <f ca="1">_xll.ohRangeRetrieveError(AN17)</f>
        <v>qlFuturesConvAdjustmentQuote - Error converting parameter 'FuturesQuote' : 'ObjectHandler error: attempt to retrieve object with unknown ID 'USDFUT1MH5_Quote'</v>
      </c>
      <c r="AP17" s="288"/>
    </row>
    <row r="18" spans="1:42" ht="12" thickBot="1" x14ac:dyDescent="0.25">
      <c r="A18" s="114"/>
      <c r="B18" s="113"/>
      <c r="C18" s="113"/>
      <c r="D18" s="113"/>
      <c r="E18" s="113"/>
      <c r="F18" s="113"/>
      <c r="G18" s="113"/>
      <c r="H18" s="112"/>
      <c r="J18" s="266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0"/>
      <c r="AB18" s="13"/>
      <c r="AC18" s="13"/>
      <c r="AD18" s="13"/>
      <c r="AE18" s="13"/>
      <c r="AF18" s="13"/>
      <c r="AH18" s="121"/>
      <c r="AI18" s="120">
        <v>12</v>
      </c>
      <c r="AJ18" s="118" t="b">
        <v>0</v>
      </c>
      <c r="AK18" s="118" t="str">
        <v>J5</v>
      </c>
      <c r="AL18" s="191" t="str">
        <f t="shared" si="2"/>
        <v>USDFUT1MJ5_Quote</v>
      </c>
      <c r="AM18" s="192" t="str">
        <f t="shared" si="3"/>
        <v>USDFUT1MJ5ConvAdj_Quote</v>
      </c>
      <c r="AN18" s="191" t="e">
        <f>_xll.qlFuturesConvAdjustmentQuote($AM18,IborIndex,$AK18,$AL18,Volatility,MeanReversion,Permanent,Trigger,ObjectOverwrite)</f>
        <v>#NUM!</v>
      </c>
      <c r="AO18" s="48" t="str">
        <f ca="1">_xll.ohRangeRetrieveError(AN18)</f>
        <v>qlFuturesConvAdjustmentQuote - Error converting parameter 'FuturesQuote' : 'ObjectHandler error: attempt to retrieve object with unknown ID 'USDFUT1MJ5_Quote'</v>
      </c>
      <c r="AP18" s="288"/>
    </row>
    <row r="19" spans="1:42" ht="12" thickBot="1" x14ac:dyDescent="0.25">
      <c r="AH19" s="266"/>
      <c r="AI19" s="21"/>
      <c r="AJ19" s="21"/>
      <c r="AK19" s="21"/>
      <c r="AL19" s="21"/>
      <c r="AM19" s="21"/>
      <c r="AN19" s="21"/>
      <c r="AO19" s="21"/>
      <c r="AP19" s="20"/>
    </row>
    <row r="21" spans="1:42" x14ac:dyDescent="0.2">
      <c r="K21" s="436"/>
    </row>
  </sheetData>
  <conditionalFormatting sqref="Z6:Z17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O48"/>
  <sheetViews>
    <sheetView topLeftCell="AD4" workbookViewId="0">
      <selection activeCell="F38" sqref="F38"/>
    </sheetView>
  </sheetViews>
  <sheetFormatPr defaultRowHeight="11.25" x14ac:dyDescent="0.2"/>
  <cols>
    <col min="1" max="1" width="2.7109375" style="77" customWidth="1"/>
    <col min="2" max="2" width="3.5703125" style="77" bestFit="1" customWidth="1"/>
    <col min="3" max="3" width="5.7109375" style="77" bestFit="1" customWidth="1"/>
    <col min="4" max="4" width="6.140625" style="77" bestFit="1" customWidth="1"/>
    <col min="5" max="5" width="19.140625" style="77" bestFit="1" customWidth="1"/>
    <col min="6" max="6" width="20.140625" style="77" bestFit="1" customWidth="1"/>
    <col min="7" max="7" width="23.85546875" style="77" customWidth="1"/>
    <col min="8" max="10" width="2.7109375" style="77" customWidth="1"/>
    <col min="11" max="13" width="9.140625" style="77"/>
    <col min="14" max="14" width="14.28515625" style="77" bestFit="1" customWidth="1"/>
    <col min="15" max="19" width="9.140625" style="77"/>
    <col min="20" max="20" width="10.140625" style="77" customWidth="1"/>
    <col min="21" max="21" width="9.140625" style="77"/>
    <col min="22" max="22" width="2.7109375" style="77" customWidth="1"/>
    <col min="23" max="23" width="9.140625" style="77"/>
    <col min="24" max="24" width="2.7109375" style="77" customWidth="1"/>
    <col min="25" max="26" width="9.140625" style="77"/>
    <col min="27" max="28" width="2.7109375" style="77" customWidth="1"/>
    <col min="29" max="33" width="9.140625" style="77"/>
    <col min="34" max="34" width="2.7109375" style="77" customWidth="1"/>
    <col min="35" max="35" width="2.7109375" style="77" bestFit="1" customWidth="1"/>
    <col min="36" max="36" width="8.42578125" style="77" bestFit="1" customWidth="1"/>
    <col min="37" max="37" width="5.42578125" style="77" bestFit="1" customWidth="1"/>
    <col min="38" max="39" width="27.85546875" style="77" bestFit="1" customWidth="1"/>
    <col min="40" max="40" width="22.140625" style="77" customWidth="1"/>
    <col min="41" max="41" width="2.7109375" style="77" customWidth="1"/>
    <col min="42" max="16384" width="9.140625" style="77"/>
  </cols>
  <sheetData>
    <row r="1" spans="1:41" x14ac:dyDescent="0.2">
      <c r="J1" s="235" t="s">
        <v>280</v>
      </c>
      <c r="K1" s="150"/>
      <c r="L1" s="150"/>
      <c r="M1" s="150"/>
      <c r="N1" s="150"/>
      <c r="O1" s="150"/>
      <c r="P1" s="150"/>
      <c r="Q1" s="150"/>
      <c r="R1" s="150"/>
      <c r="S1" s="150"/>
      <c r="T1" s="150"/>
      <c r="U1" s="150"/>
      <c r="V1" s="290"/>
      <c r="W1" s="290"/>
      <c r="X1" s="150"/>
      <c r="Y1" s="150"/>
      <c r="Z1" s="150"/>
      <c r="AA1" s="289"/>
      <c r="AB1" s="13"/>
      <c r="AC1" s="13"/>
      <c r="AD1" s="13"/>
      <c r="AE1" s="13"/>
      <c r="AF1" s="13"/>
      <c r="AH1" s="127" t="s">
        <v>199</v>
      </c>
      <c r="AO1" s="23"/>
    </row>
    <row r="2" spans="1:41" x14ac:dyDescent="0.2">
      <c r="J2" s="234"/>
      <c r="K2" s="111"/>
      <c r="L2" s="233"/>
      <c r="M2" s="233"/>
      <c r="N2" s="111"/>
      <c r="O2" s="111"/>
      <c r="P2" s="111"/>
      <c r="Q2" s="111"/>
      <c r="R2" s="111"/>
      <c r="S2" s="111"/>
      <c r="T2" s="111"/>
      <c r="U2" s="111"/>
      <c r="V2" s="201"/>
      <c r="W2" s="201"/>
      <c r="X2" s="111"/>
      <c r="Y2" s="201"/>
      <c r="Z2" s="111"/>
      <c r="AA2" s="288"/>
      <c r="AB2" s="13"/>
      <c r="AC2" s="13"/>
      <c r="AD2" s="13"/>
      <c r="AE2" s="13"/>
      <c r="AF2" s="13"/>
      <c r="AH2" s="127"/>
      <c r="AL2" s="195" t="s">
        <v>198</v>
      </c>
      <c r="AM2" s="194" t="str">
        <f>FuturesHWConvAdj!C5</f>
        <v>USDHW_Volatility_Quote#0000</v>
      </c>
      <c r="AO2" s="23"/>
    </row>
    <row r="3" spans="1:41" ht="12" thickBot="1" x14ac:dyDescent="0.25">
      <c r="J3" s="234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201"/>
      <c r="W3" s="201"/>
      <c r="X3" s="111"/>
      <c r="Y3" s="111"/>
      <c r="Z3" s="111"/>
      <c r="AA3" s="288"/>
      <c r="AB3" s="13"/>
      <c r="AC3" s="13"/>
      <c r="AD3" s="13"/>
      <c r="AE3" s="13"/>
      <c r="AF3" s="13"/>
      <c r="AH3" s="127"/>
      <c r="AL3" s="195" t="s">
        <v>197</v>
      </c>
      <c r="AM3" s="194" t="str">
        <f>FuturesHWConvAdj!C6</f>
        <v>USDHW_MeanReversion_Quote#0000</v>
      </c>
      <c r="AO3" s="23"/>
    </row>
    <row r="4" spans="1:41" ht="12" thickBot="1" x14ac:dyDescent="0.25">
      <c r="A4" s="132" t="s">
        <v>154</v>
      </c>
      <c r="B4" s="131"/>
      <c r="C4" s="131"/>
      <c r="D4" s="130" t="s">
        <v>152</v>
      </c>
      <c r="E4" s="130" t="s">
        <v>17</v>
      </c>
      <c r="F4" s="129"/>
      <c r="G4" s="129"/>
      <c r="H4" s="128"/>
      <c r="J4" s="234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201"/>
      <c r="W4" s="201"/>
      <c r="X4" s="111"/>
      <c r="Y4" s="111"/>
      <c r="Z4" s="231">
        <f>_xll.ohTrigger(Z6:Z47)</f>
        <v>370</v>
      </c>
      <c r="AA4" s="288"/>
      <c r="AB4" s="13"/>
      <c r="AC4" s="13"/>
      <c r="AD4" s="13"/>
      <c r="AE4" s="13"/>
      <c r="AF4" s="13"/>
      <c r="AH4" s="127"/>
      <c r="AL4" s="195" t="s">
        <v>91</v>
      </c>
      <c r="AM4" s="194" t="str">
        <f>Libor!E10</f>
        <v>UsdLibor3M#0000</v>
      </c>
      <c r="AN4" s="193" t="s">
        <v>17</v>
      </c>
      <c r="AO4" s="23"/>
    </row>
    <row r="5" spans="1:41" ht="22.5" x14ac:dyDescent="0.2">
      <c r="A5" s="127"/>
      <c r="B5" s="66" t="s">
        <v>151</v>
      </c>
      <c r="C5" s="67" t="s">
        <v>150</v>
      </c>
      <c r="D5" s="67" t="s">
        <v>149</v>
      </c>
      <c r="E5" s="65" t="str">
        <f>Currency&amp;"_010_"&amp;$D$4&amp;$E$4&amp;".xml"</f>
        <v>USD_010_FUT3M.xml</v>
      </c>
      <c r="F5" s="64" t="str">
        <f>IF(Serialize,_xll.ohObjectSave(F6:F47,SerializationPath&amp;E5,FileOverwrite,Serialize),"---")</f>
        <v>---</v>
      </c>
      <c r="G5" s="82" t="str">
        <f>_xll.ohRangeRetrieveError(F5)</f>
        <v/>
      </c>
      <c r="H5" s="115"/>
      <c r="J5" s="234"/>
      <c r="K5" s="296" t="s">
        <v>151</v>
      </c>
      <c r="L5" s="292" t="s">
        <v>150</v>
      </c>
      <c r="M5" s="292" t="s">
        <v>149</v>
      </c>
      <c r="N5" s="292" t="s">
        <v>242</v>
      </c>
      <c r="O5" s="295" t="str">
        <f>_xll.RData(O6:O47,P5:T5,"RTFEED:IDN",ReutersRtMode,,P6)</f>
        <v>Updated at 16:55:19</v>
      </c>
      <c r="P5" s="292" t="s">
        <v>241</v>
      </c>
      <c r="Q5" s="292" t="s">
        <v>201</v>
      </c>
      <c r="R5" s="292" t="s">
        <v>200</v>
      </c>
      <c r="S5" s="292" t="s">
        <v>218</v>
      </c>
      <c r="T5" s="292" t="s">
        <v>236</v>
      </c>
      <c r="U5" s="294" t="s">
        <v>235</v>
      </c>
      <c r="V5" s="201"/>
      <c r="W5" s="293" t="s">
        <v>231</v>
      </c>
      <c r="X5" s="201"/>
      <c r="Y5" s="296" t="s">
        <v>229</v>
      </c>
      <c r="Z5" s="291" t="s">
        <v>228</v>
      </c>
      <c r="AA5" s="23"/>
      <c r="AB5" s="13"/>
      <c r="AC5" s="159" t="s">
        <v>240</v>
      </c>
      <c r="AD5" s="157" t="s">
        <v>239</v>
      </c>
      <c r="AE5" s="13"/>
      <c r="AF5" s="260" t="s">
        <v>234</v>
      </c>
      <c r="AH5" s="127"/>
      <c r="AI5" s="66" t="s">
        <v>151</v>
      </c>
      <c r="AJ5" s="146" t="s">
        <v>150</v>
      </c>
      <c r="AK5" s="146" t="s">
        <v>149</v>
      </c>
      <c r="AL5" s="65" t="str">
        <f>Currency&amp;"_020_Futures"&amp;AN4&amp;"ConvAdj.xml"</f>
        <v>USD_020_Futures3MConvAdj.xml</v>
      </c>
      <c r="AM5" s="83" t="str">
        <f>IF(Serialize,_xll.ohObjectSave(AM6:AM47,SerializationPath&amp;AL5,FileOverwrite,Serialize),"---")</f>
        <v>---</v>
      </c>
      <c r="AN5" s="48" t="str">
        <f>_xll.ohRangeRetrieveError(AM5)</f>
        <v/>
      </c>
      <c r="AO5" s="23"/>
    </row>
    <row r="6" spans="1:41" x14ac:dyDescent="0.2">
      <c r="A6" s="121"/>
      <c r="B6" s="126">
        <v>1</v>
      </c>
      <c r="C6" s="125" t="b">
        <v>0</v>
      </c>
      <c r="D6" s="124" t="str">
        <f t="array" ref="D6:D47">_xll.qlIMMNextCodes(_xll.qlSettingsEvaluationDate(Trigger)-1,$C6:$C47)</f>
        <v>K4</v>
      </c>
      <c r="E6" s="117" t="str">
        <f t="shared" ref="E6:E37" si="0">Currency&amp;$D$4&amp;$E$4&amp;$D6&amp;QuoteSuffix</f>
        <v>USDFUT3MK4_Quote</v>
      </c>
      <c r="F6" s="123" t="str">
        <f>_xll.qlSimpleQuote(E6,,PriceTickValue,Permanent,Trigger,ObjectOverwrite)</f>
        <v>USDFUT3MK4_Quote#0000</v>
      </c>
      <c r="G6" s="122" t="str">
        <f>_xll.ohRangeRetrieveError(F6)</f>
        <v/>
      </c>
      <c r="H6" s="115"/>
      <c r="J6" s="273"/>
      <c r="K6" s="286">
        <v>1</v>
      </c>
      <c r="L6" s="285" t="b">
        <v>0</v>
      </c>
      <c r="M6" s="219" t="str">
        <f t="array" ref="M6:M47">_xll.qlIMMcode(FuturesDates)</f>
        <v>K4</v>
      </c>
      <c r="N6" s="284">
        <f t="array" ref="N6:N47">_xll.qlIMMNextDates(_xll.qlSettingsEvaluationDate(Trigger)-1,$L6:$L47)</f>
        <v>41780</v>
      </c>
      <c r="O6" s="219" t="str">
        <f t="array" ref="O6:O47">VLOOKUP(Currency,LiffeCodes,2)&amp;FuturesCodes</f>
        <v>EDK4</v>
      </c>
      <c r="P6" s="283">
        <v>41778</v>
      </c>
      <c r="Q6" s="219">
        <v>99.775000000000006</v>
      </c>
      <c r="R6" s="219">
        <v>99.78</v>
      </c>
      <c r="S6" s="219">
        <v>99.777500000000003</v>
      </c>
      <c r="T6" s="219">
        <v>99.777500000000003</v>
      </c>
      <c r="U6" s="221">
        <f>_xll.qlMidSafe($Q6,$R6)</f>
        <v>99.777500000000003</v>
      </c>
      <c r="V6" s="201"/>
      <c r="W6" s="282">
        <v>99.777500000000003</v>
      </c>
      <c r="X6" s="201"/>
      <c r="Y6" s="281">
        <f t="array" ref="Y6:Y47">QuoteLive</f>
        <v>99.777500000000003</v>
      </c>
      <c r="Z6" s="221">
        <f>_xll.qlSimpleQuoteSetValue(F6,Y6,Trigger)</f>
        <v>0</v>
      </c>
      <c r="AA6" s="23"/>
      <c r="AB6" s="13"/>
      <c r="AC6" s="59" t="s">
        <v>105</v>
      </c>
      <c r="AD6" s="57" t="s">
        <v>246</v>
      </c>
      <c r="AE6" s="13"/>
      <c r="AF6" s="236">
        <f t="shared" ref="AF6:AF47" si="1">(R6-U6)/50</f>
        <v>4.9999999999954527E-5</v>
      </c>
      <c r="AH6" s="121"/>
      <c r="AI6" s="126">
        <v>1</v>
      </c>
      <c r="AJ6" s="124" t="b">
        <v>0</v>
      </c>
      <c r="AK6" s="124" t="str">
        <f t="array" ref="AK6:AK47">_xll.qlIMMNextCodes(_xll.qlSettingsEvaluationDate(Trigger)-1,$AJ6:$AJ47)</f>
        <v>K4</v>
      </c>
      <c r="AL6" s="192" t="str">
        <f t="shared" ref="AL6:AL47" si="2">Currency&amp;"FUT"&amp;$AN$4&amp;$AK6&amp;"ConvAdj"&amp;QuoteSuffix</f>
        <v>USDFUT3MK4ConvAdj_Quote</v>
      </c>
      <c r="AM6" s="191" t="str">
        <f>_xll.qlFuturesConvAdjustmentQuote(AL6,IborIndex,AK6,F6,Volatility,MeanReversion,Permanent,AND(ISERROR(Z6),ISERROR(FuturesHWConvAdj!Q5:Q6)),ObjectOverwrite)</f>
        <v>USDFUT3MK4ConvAdj_Quote#0418</v>
      </c>
      <c r="AN6" s="48" t="str">
        <f>_xll.ohRangeRetrieveError(AM6)</f>
        <v/>
      </c>
      <c r="AO6" s="23"/>
    </row>
    <row r="7" spans="1:41" x14ac:dyDescent="0.2">
      <c r="A7" s="121"/>
      <c r="B7" s="120">
        <v>2</v>
      </c>
      <c r="C7" s="119" t="b">
        <v>0</v>
      </c>
      <c r="D7" s="118" t="str">
        <v>M4</v>
      </c>
      <c r="E7" s="117" t="str">
        <f t="shared" si="0"/>
        <v>USDFUT3MM4_Quote</v>
      </c>
      <c r="F7" s="116" t="str">
        <f>_xll.qlSimpleQuote(E7,,PriceTickValue,Permanent,Trigger,ObjectOverwrite)</f>
        <v>USDFUT3MM4_Quote#0000</v>
      </c>
      <c r="G7" s="79" t="str">
        <f>_xll.ohRangeRetrieveError(F7)</f>
        <v/>
      </c>
      <c r="H7" s="115"/>
      <c r="J7" s="273"/>
      <c r="K7" s="279">
        <v>2</v>
      </c>
      <c r="L7" s="278" t="b">
        <v>0</v>
      </c>
      <c r="M7" s="199" t="str">
        <v>M4</v>
      </c>
      <c r="N7" s="277">
        <v>41808</v>
      </c>
      <c r="O7" s="199" t="str">
        <v>EDM4</v>
      </c>
      <c r="P7" s="276">
        <v>41806</v>
      </c>
      <c r="Q7" s="199">
        <v>99.775000000000006</v>
      </c>
      <c r="R7" s="199">
        <v>99.78</v>
      </c>
      <c r="S7" s="199">
        <v>99.775000000000006</v>
      </c>
      <c r="T7" s="199">
        <v>99.775000000000006</v>
      </c>
      <c r="U7" s="203">
        <f>_xll.qlMidSafe($Q7,$R7)</f>
        <v>99.777500000000003</v>
      </c>
      <c r="V7" s="201"/>
      <c r="W7" s="280">
        <v>99.777500000000003</v>
      </c>
      <c r="X7" s="201"/>
      <c r="Y7" s="274">
        <v>99.777500000000003</v>
      </c>
      <c r="Z7" s="203">
        <f>_xll.qlSimpleQuoteSetValue(F7,Y7,Trigger)</f>
        <v>0</v>
      </c>
      <c r="AA7" s="23"/>
      <c r="AB7" s="13"/>
      <c r="AC7" s="59" t="s">
        <v>104</v>
      </c>
      <c r="AD7" s="57" t="s">
        <v>245</v>
      </c>
      <c r="AE7" s="13"/>
      <c r="AF7" s="236">
        <f t="shared" si="1"/>
        <v>4.9999999999954527E-5</v>
      </c>
      <c r="AH7" s="121"/>
      <c r="AI7" s="120">
        <v>2</v>
      </c>
      <c r="AJ7" s="118" t="b">
        <v>0</v>
      </c>
      <c r="AK7" s="118" t="str">
        <v>M4</v>
      </c>
      <c r="AL7" s="192" t="str">
        <f t="shared" si="2"/>
        <v>USDFUT3MM4ConvAdj_Quote</v>
      </c>
      <c r="AM7" s="191" t="str">
        <f>_xll.qlFuturesConvAdjustmentQuote(AL7,IborIndex,AK7,F7,Volatility,MeanReversion,Permanent,AND(ISERROR(Z7),ISERROR(FuturesHWConvAdj!Q6:Q7)),ObjectOverwrite)</f>
        <v>USDFUT3MM4ConvAdj_Quote#0370</v>
      </c>
      <c r="AN7" s="48" t="str">
        <f>_xll.ohRangeRetrieveError(AM7)</f>
        <v/>
      </c>
      <c r="AO7" s="23"/>
    </row>
    <row r="8" spans="1:41" x14ac:dyDescent="0.2">
      <c r="A8" s="121"/>
      <c r="B8" s="120">
        <v>3</v>
      </c>
      <c r="C8" s="119" t="b">
        <v>0</v>
      </c>
      <c r="D8" s="118" t="str">
        <v>N4</v>
      </c>
      <c r="E8" s="117" t="str">
        <f t="shared" si="0"/>
        <v>USDFUT3MN4_Quote</v>
      </c>
      <c r="F8" s="116" t="str">
        <f>_xll.qlSimpleQuote(E8,,PriceTickValue,Permanent,Trigger,ObjectOverwrite)</f>
        <v>USDFUT3MN4_Quote#0000</v>
      </c>
      <c r="G8" s="79" t="str">
        <f>_xll.ohRangeRetrieveError(F8)</f>
        <v/>
      </c>
      <c r="H8" s="115"/>
      <c r="J8" s="273"/>
      <c r="K8" s="279">
        <v>3</v>
      </c>
      <c r="L8" s="278" t="b">
        <v>0</v>
      </c>
      <c r="M8" s="199" t="str">
        <v>N4</v>
      </c>
      <c r="N8" s="277">
        <v>41836</v>
      </c>
      <c r="O8" s="199" t="str">
        <v>EDN4</v>
      </c>
      <c r="P8" s="276">
        <v>41834</v>
      </c>
      <c r="Q8" s="199">
        <v>99.77</v>
      </c>
      <c r="R8" s="199">
        <v>99.775000000000006</v>
      </c>
      <c r="S8" s="199">
        <v>0</v>
      </c>
      <c r="T8" s="199">
        <v>99.775000000000006</v>
      </c>
      <c r="U8" s="203">
        <f>_xll.qlMidSafe($Q8,$R8)</f>
        <v>99.772500000000008</v>
      </c>
      <c r="V8" s="201"/>
      <c r="W8" s="280">
        <v>99.772500000000008</v>
      </c>
      <c r="X8" s="201"/>
      <c r="Y8" s="274">
        <v>99.772500000000008</v>
      </c>
      <c r="Z8" s="203">
        <f>_xll.qlSimpleQuoteSetValue(F8,Y8,Trigger)</f>
        <v>0</v>
      </c>
      <c r="AA8" s="23"/>
      <c r="AB8" s="13"/>
      <c r="AC8" s="59" t="s">
        <v>101</v>
      </c>
      <c r="AD8" s="57" t="s">
        <v>244</v>
      </c>
      <c r="AE8" s="13"/>
      <c r="AF8" s="236">
        <f t="shared" si="1"/>
        <v>4.9999999999954527E-5</v>
      </c>
      <c r="AH8" s="121"/>
      <c r="AI8" s="120">
        <v>3</v>
      </c>
      <c r="AJ8" s="118" t="b">
        <v>0</v>
      </c>
      <c r="AK8" s="118" t="str">
        <v>N4</v>
      </c>
      <c r="AL8" s="192" t="str">
        <f t="shared" si="2"/>
        <v>USDFUT3MN4ConvAdj_Quote</v>
      </c>
      <c r="AM8" s="191" t="str">
        <f>_xll.qlFuturesConvAdjustmentQuote(AL8,IborIndex,AK8,F8,Volatility,MeanReversion,Permanent,AND(ISERROR(Z8),ISERROR(FuturesHWConvAdj!Q7:Q8)),ObjectOverwrite)</f>
        <v>USDFUT3MN4ConvAdj_Quote#0370</v>
      </c>
      <c r="AN8" s="48" t="str">
        <f>_xll.ohRangeRetrieveError(AM8)</f>
        <v/>
      </c>
      <c r="AO8" s="23"/>
    </row>
    <row r="9" spans="1:41" x14ac:dyDescent="0.2">
      <c r="A9" s="121"/>
      <c r="B9" s="120">
        <v>4</v>
      </c>
      <c r="C9" s="119" t="b">
        <v>0</v>
      </c>
      <c r="D9" s="118" t="str">
        <v>Q4</v>
      </c>
      <c r="E9" s="117" t="str">
        <f t="shared" si="0"/>
        <v>USDFUT3MQ4_Quote</v>
      </c>
      <c r="F9" s="116" t="str">
        <f>_xll.qlSimpleQuote(E9,,PriceTickValue,Permanent,Trigger,ObjectOverwrite)</f>
        <v>USDFUT3MQ4_Quote#0000</v>
      </c>
      <c r="G9" s="79" t="str">
        <f>_xll.ohRangeRetrieveError(F9)</f>
        <v/>
      </c>
      <c r="H9" s="115"/>
      <c r="J9" s="273"/>
      <c r="K9" s="279">
        <v>4</v>
      </c>
      <c r="L9" s="278" t="b">
        <v>0</v>
      </c>
      <c r="M9" s="199" t="str">
        <v>Q4</v>
      </c>
      <c r="N9" s="277">
        <v>41871</v>
      </c>
      <c r="O9" s="199" t="str">
        <v>EDQ4</v>
      </c>
      <c r="P9" s="276">
        <v>41869</v>
      </c>
      <c r="Q9" s="199">
        <v>99.765000000000001</v>
      </c>
      <c r="R9" s="199">
        <v>99.77</v>
      </c>
      <c r="S9" s="199">
        <v>0</v>
      </c>
      <c r="T9" s="199">
        <v>99.765000000000001</v>
      </c>
      <c r="U9" s="203">
        <f>_xll.qlMidSafe($Q9,$R9)</f>
        <v>99.767499999999998</v>
      </c>
      <c r="V9" s="201"/>
      <c r="W9" s="280">
        <v>99.767499999999998</v>
      </c>
      <c r="X9" s="201"/>
      <c r="Y9" s="274">
        <v>99.767499999999998</v>
      </c>
      <c r="Z9" s="203">
        <f>_xll.qlSimpleQuoteSetValue(F9,Y9,Trigger)</f>
        <v>0</v>
      </c>
      <c r="AA9" s="23"/>
      <c r="AB9" s="13"/>
      <c r="AC9" s="59" t="s">
        <v>100</v>
      </c>
      <c r="AD9" s="57"/>
      <c r="AE9" s="13"/>
      <c r="AF9" s="236">
        <f t="shared" si="1"/>
        <v>4.9999999999954527E-5</v>
      </c>
      <c r="AH9" s="121"/>
      <c r="AI9" s="120">
        <v>4</v>
      </c>
      <c r="AJ9" s="118" t="b">
        <v>0</v>
      </c>
      <c r="AK9" s="118" t="str">
        <v>Q4</v>
      </c>
      <c r="AL9" s="192" t="str">
        <f t="shared" si="2"/>
        <v>USDFUT3MQ4ConvAdj_Quote</v>
      </c>
      <c r="AM9" s="191" t="str">
        <f>_xll.qlFuturesConvAdjustmentQuote(AL9,IborIndex,AK9,F9,Volatility,MeanReversion,Permanent,AND(ISERROR(Z9),ISERROR(FuturesHWConvAdj!Q8:Q9)),ObjectOverwrite)</f>
        <v>USDFUT3MQ4ConvAdj_Quote#0370</v>
      </c>
      <c r="AN9" s="48" t="str">
        <f>_xll.ohRangeRetrieveError(AM9)</f>
        <v/>
      </c>
      <c r="AO9" s="23"/>
    </row>
    <row r="10" spans="1:41" ht="12" thickBot="1" x14ac:dyDescent="0.25">
      <c r="A10" s="121"/>
      <c r="B10" s="120">
        <v>5</v>
      </c>
      <c r="C10" s="119" t="b">
        <v>0</v>
      </c>
      <c r="D10" s="118" t="str">
        <v>U4</v>
      </c>
      <c r="E10" s="117" t="str">
        <f t="shared" si="0"/>
        <v>USDFUT3MU4_Quote</v>
      </c>
      <c r="F10" s="116" t="str">
        <f>_xll.qlSimpleQuote(E10,,PriceTickValue,Permanent,Trigger,ObjectOverwrite)</f>
        <v>USDFUT3MU4_Quote#0000</v>
      </c>
      <c r="G10" s="79" t="str">
        <f>_xll.ohRangeRetrieveError(F10)</f>
        <v/>
      </c>
      <c r="H10" s="115"/>
      <c r="I10" s="436"/>
      <c r="J10" s="273"/>
      <c r="K10" s="279">
        <v>5</v>
      </c>
      <c r="L10" s="278" t="b">
        <v>0</v>
      </c>
      <c r="M10" s="199" t="str">
        <v>U4</v>
      </c>
      <c r="N10" s="277">
        <v>41899</v>
      </c>
      <c r="O10" s="199" t="str">
        <v>EDU4</v>
      </c>
      <c r="P10" s="276">
        <v>41897</v>
      </c>
      <c r="Q10" s="199">
        <v>99.76</v>
      </c>
      <c r="R10" s="199">
        <v>99.765000000000001</v>
      </c>
      <c r="S10" s="199">
        <v>99.76</v>
      </c>
      <c r="T10" s="199">
        <v>99.76</v>
      </c>
      <c r="U10" s="203">
        <f>_xll.qlMidSafe($Q10,$R10)</f>
        <v>99.762500000000003</v>
      </c>
      <c r="V10" s="201"/>
      <c r="W10" s="275">
        <v>99.762500000000003</v>
      </c>
      <c r="X10" s="201"/>
      <c r="Y10" s="274">
        <v>99.762500000000003</v>
      </c>
      <c r="Z10" s="203">
        <f>_xll.qlSimpleQuoteSetValue(F10,Y10,Trigger)</f>
        <v>0</v>
      </c>
      <c r="AA10" s="23"/>
      <c r="AB10" s="13"/>
      <c r="AC10" s="56" t="s">
        <v>95</v>
      </c>
      <c r="AD10" s="54" t="s">
        <v>243</v>
      </c>
      <c r="AE10" s="13"/>
      <c r="AF10" s="236">
        <f t="shared" si="1"/>
        <v>4.9999999999954527E-5</v>
      </c>
      <c r="AH10" s="121"/>
      <c r="AI10" s="120">
        <v>5</v>
      </c>
      <c r="AJ10" s="118" t="b">
        <v>0</v>
      </c>
      <c r="AK10" s="118" t="str">
        <v>U4</v>
      </c>
      <c r="AL10" s="192" t="str">
        <f t="shared" si="2"/>
        <v>USDFUT3MU4ConvAdj_Quote</v>
      </c>
      <c r="AM10" s="191" t="str">
        <f>_xll.qlFuturesConvAdjustmentQuote(AL10,IborIndex,AK10,F10,Volatility,MeanReversion,Permanent,AND(ISERROR(Z10),ISERROR(FuturesHWConvAdj!Q9:Q10)),ObjectOverwrite)</f>
        <v>USDFUT3MU4ConvAdj_Quote#0370</v>
      </c>
      <c r="AN10" s="48" t="str">
        <f>_xll.ohRangeRetrieveError(AM10)</f>
        <v/>
      </c>
      <c r="AO10" s="23"/>
    </row>
    <row r="11" spans="1:41" x14ac:dyDescent="0.2">
      <c r="A11" s="121"/>
      <c r="B11" s="120">
        <v>6</v>
      </c>
      <c r="C11" s="119" t="b">
        <v>0</v>
      </c>
      <c r="D11" s="118" t="str">
        <v>V4</v>
      </c>
      <c r="E11" s="117" t="str">
        <f t="shared" si="0"/>
        <v>USDFUT3MV4_Quote</v>
      </c>
      <c r="F11" s="116" t="str">
        <f>_xll.qlSimpleQuote(E11,,PriceTickValue,Permanent,Trigger,ObjectOverwrite)</f>
        <v>USDFUT3MV4_Quote#0000</v>
      </c>
      <c r="G11" s="79" t="str">
        <f>_xll.ohRangeRetrieveError(F11)</f>
        <v/>
      </c>
      <c r="H11" s="115"/>
      <c r="J11" s="273"/>
      <c r="K11" s="279">
        <v>6</v>
      </c>
      <c r="L11" s="278" t="b">
        <v>0</v>
      </c>
      <c r="M11" s="199" t="str">
        <v>V4</v>
      </c>
      <c r="N11" s="277">
        <v>41927</v>
      </c>
      <c r="O11" s="199" t="str">
        <v>EDV4</v>
      </c>
      <c r="P11" s="276">
        <v>41925</v>
      </c>
      <c r="Q11" s="199">
        <v>99.745000000000005</v>
      </c>
      <c r="R11" s="199">
        <v>99.765000000000001</v>
      </c>
      <c r="S11" s="199">
        <v>0</v>
      </c>
      <c r="T11" s="199">
        <v>99.754999999999995</v>
      </c>
      <c r="U11" s="203">
        <f>_xll.qlMidSafe($Q11,$R11)</f>
        <v>99.754999999999995</v>
      </c>
      <c r="V11" s="201"/>
      <c r="W11" s="275">
        <v>99.754999999999995</v>
      </c>
      <c r="X11" s="201"/>
      <c r="Y11" s="274">
        <v>99.754999999999995</v>
      </c>
      <c r="Z11" s="203">
        <f>_xll.qlSimpleQuoteSetValue(F11,Y11,Trigger)</f>
        <v>0</v>
      </c>
      <c r="AA11" s="23"/>
      <c r="AB11" s="13"/>
      <c r="AC11" s="13"/>
      <c r="AD11" s="13"/>
      <c r="AE11" s="13"/>
      <c r="AF11" s="236">
        <f t="shared" si="1"/>
        <v>2.0000000000010233E-4</v>
      </c>
      <c r="AH11" s="121"/>
      <c r="AI11" s="120">
        <v>6</v>
      </c>
      <c r="AJ11" s="118" t="b">
        <v>0</v>
      </c>
      <c r="AK11" s="118" t="str">
        <v>V4</v>
      </c>
      <c r="AL11" s="192" t="str">
        <f t="shared" si="2"/>
        <v>USDFUT3MV4ConvAdj_Quote</v>
      </c>
      <c r="AM11" s="191" t="str">
        <f>_xll.qlFuturesConvAdjustmentQuote(AL11,IborIndex,AK11,F11,Volatility,MeanReversion,Permanent,AND(ISERROR(Z11),ISERROR(FuturesHWConvAdj!Q10:Q11)),ObjectOverwrite)</f>
        <v>USDFUT3MV4ConvAdj_Quote#0370</v>
      </c>
      <c r="AN11" s="48" t="str">
        <f>_xll.ohRangeRetrieveError(AM11)</f>
        <v/>
      </c>
      <c r="AO11" s="23"/>
    </row>
    <row r="12" spans="1:41" x14ac:dyDescent="0.2">
      <c r="A12" s="121"/>
      <c r="B12" s="120">
        <v>7</v>
      </c>
      <c r="C12" s="119" t="b">
        <v>0</v>
      </c>
      <c r="D12" s="118" t="str">
        <v>X4</v>
      </c>
      <c r="E12" s="117" t="str">
        <f t="shared" si="0"/>
        <v>USDFUT3MX4_Quote</v>
      </c>
      <c r="F12" s="116" t="str">
        <f>_xll.qlSimpleQuote(E12,,PriceTickValue,Permanent,Trigger,ObjectOverwrite)</f>
        <v>USDFUT3MX4_Quote#0000</v>
      </c>
      <c r="G12" s="79" t="str">
        <f>_xll.ohRangeRetrieveError(F12)</f>
        <v/>
      </c>
      <c r="H12" s="115"/>
      <c r="J12" s="273"/>
      <c r="K12" s="279">
        <v>7</v>
      </c>
      <c r="L12" s="278" t="b">
        <v>0</v>
      </c>
      <c r="M12" s="199" t="str">
        <v>X4</v>
      </c>
      <c r="N12" s="277">
        <v>41962</v>
      </c>
      <c r="O12" s="199" t="str">
        <v>EDX4</v>
      </c>
      <c r="P12" s="276" t="s">
        <v>213</v>
      </c>
      <c r="Q12" s="199" t="s">
        <v>213</v>
      </c>
      <c r="R12" s="199" t="s">
        <v>213</v>
      </c>
      <c r="S12" s="199" t="s">
        <v>213</v>
      </c>
      <c r="T12" s="199" t="s">
        <v>213</v>
      </c>
      <c r="U12" s="203" t="e">
        <f>_xll.qlMidSafe($Q12,$R12)</f>
        <v>#NUM!</v>
      </c>
      <c r="V12" s="201"/>
      <c r="W12" s="275" t="e">
        <v>#NUM!</v>
      </c>
      <c r="X12" s="201"/>
      <c r="Y12" s="274" t="e">
        <v>#NUM!</v>
      </c>
      <c r="Z12" s="203" t="e">
        <f>_xll.qlSimpleQuoteSetValue(F12,Y12,Trigger)</f>
        <v>#NUM!</v>
      </c>
      <c r="AA12" s="23"/>
      <c r="AB12" s="13"/>
      <c r="AC12" s="13"/>
      <c r="AD12" s="13"/>
      <c r="AE12" s="13"/>
      <c r="AF12" s="236" t="e">
        <f t="shared" si="1"/>
        <v>#VALUE!</v>
      </c>
      <c r="AH12" s="121"/>
      <c r="AI12" s="120">
        <v>7</v>
      </c>
      <c r="AJ12" s="118" t="b">
        <v>0</v>
      </c>
      <c r="AK12" s="118" t="str">
        <v>X4</v>
      </c>
      <c r="AL12" s="192" t="str">
        <f t="shared" si="2"/>
        <v>USDFUT3MX4ConvAdj_Quote</v>
      </c>
      <c r="AM12" s="191" t="str">
        <f>_xll.qlFuturesConvAdjustmentQuote(AL12,IborIndex,AK12,F12,Volatility,MeanReversion,Permanent,AND(ISERROR(Z12),ISERROR(FuturesHWConvAdj!Q11:Q12)),ObjectOverwrite)</f>
        <v>USDFUT3MX4ConvAdj_Quote#0370</v>
      </c>
      <c r="AN12" s="48" t="str">
        <f>_xll.ohRangeRetrieveError(AM12)</f>
        <v/>
      </c>
      <c r="AO12" s="23"/>
    </row>
    <row r="13" spans="1:41" x14ac:dyDescent="0.2">
      <c r="A13" s="121"/>
      <c r="B13" s="120">
        <v>8</v>
      </c>
      <c r="C13" s="119" t="b">
        <v>0</v>
      </c>
      <c r="D13" s="118" t="str">
        <v>Z4</v>
      </c>
      <c r="E13" s="117" t="str">
        <f t="shared" si="0"/>
        <v>USDFUT3MZ4_Quote</v>
      </c>
      <c r="F13" s="116" t="str">
        <f>_xll.qlSimpleQuote(E13,,PriceTickValue,Permanent,Trigger,ObjectOverwrite)</f>
        <v>USDFUT3MZ4_Quote#0000</v>
      </c>
      <c r="G13" s="79" t="str">
        <f>_xll.ohRangeRetrieveError(F13)</f>
        <v/>
      </c>
      <c r="H13" s="115"/>
      <c r="J13" s="273"/>
      <c r="K13" s="279">
        <v>8</v>
      </c>
      <c r="L13" s="278" t="b">
        <v>0</v>
      </c>
      <c r="M13" s="199" t="str">
        <v>Z4</v>
      </c>
      <c r="N13" s="277">
        <v>41990</v>
      </c>
      <c r="O13" s="199" t="str">
        <v>EDZ4</v>
      </c>
      <c r="P13" s="276">
        <v>41988</v>
      </c>
      <c r="Q13" s="199">
        <v>99.715000000000003</v>
      </c>
      <c r="R13" s="199">
        <v>99.72</v>
      </c>
      <c r="S13" s="199">
        <v>99.715000000000003</v>
      </c>
      <c r="T13" s="199">
        <v>99.72</v>
      </c>
      <c r="U13" s="203">
        <f>_xll.qlMidSafe($Q13,$R13)</f>
        <v>99.717500000000001</v>
      </c>
      <c r="V13" s="201"/>
      <c r="W13" s="275">
        <v>99.717500000000001</v>
      </c>
      <c r="X13" s="201"/>
      <c r="Y13" s="274">
        <v>99.717500000000001</v>
      </c>
      <c r="Z13" s="203">
        <f>_xll.qlSimpleQuoteSetValue(F13,Y13,Trigger)</f>
        <v>0</v>
      </c>
      <c r="AA13" s="23"/>
      <c r="AB13" s="13"/>
      <c r="AC13" s="13"/>
      <c r="AD13" s="13"/>
      <c r="AE13" s="13"/>
      <c r="AF13" s="236">
        <f t="shared" si="1"/>
        <v>4.9999999999954527E-5</v>
      </c>
      <c r="AH13" s="121"/>
      <c r="AI13" s="120">
        <v>8</v>
      </c>
      <c r="AJ13" s="118" t="b">
        <v>0</v>
      </c>
      <c r="AK13" s="118" t="str">
        <v>Z4</v>
      </c>
      <c r="AL13" s="192" t="str">
        <f t="shared" si="2"/>
        <v>USDFUT3MZ4ConvAdj_Quote</v>
      </c>
      <c r="AM13" s="191" t="str">
        <f>_xll.qlFuturesConvAdjustmentQuote(AL13,IborIndex,AK13,F13,Volatility,MeanReversion,Permanent,AND(ISERROR(Z13),ISERROR(FuturesHWConvAdj!Q12:Q13)),ObjectOverwrite)</f>
        <v>USDFUT3MZ4ConvAdj_Quote#0370</v>
      </c>
      <c r="AN13" s="48" t="str">
        <f>_xll.ohRangeRetrieveError(AM13)</f>
        <v/>
      </c>
      <c r="AO13" s="23"/>
    </row>
    <row r="14" spans="1:41" x14ac:dyDescent="0.2">
      <c r="A14" s="121"/>
      <c r="B14" s="120">
        <v>9</v>
      </c>
      <c r="C14" s="119" t="b">
        <v>0</v>
      </c>
      <c r="D14" s="118" t="str">
        <v>F5</v>
      </c>
      <c r="E14" s="117" t="str">
        <f t="shared" si="0"/>
        <v>USDFUT3MF5_Quote</v>
      </c>
      <c r="F14" s="116" t="str">
        <f>_xll.qlSimpleQuote(E14,,PriceTickValue,Permanent,Trigger,ObjectOverwrite)</f>
        <v>USDFUT3MF5_Quote#0000</v>
      </c>
      <c r="G14" s="79" t="str">
        <f>_xll.ohRangeRetrieveError(F14)</f>
        <v/>
      </c>
      <c r="H14" s="115"/>
      <c r="J14" s="273"/>
      <c r="K14" s="279">
        <v>9</v>
      </c>
      <c r="L14" s="278" t="b">
        <v>0</v>
      </c>
      <c r="M14" s="199" t="str">
        <v>F5</v>
      </c>
      <c r="N14" s="277">
        <v>42025</v>
      </c>
      <c r="O14" s="199" t="str">
        <v>EDF5</v>
      </c>
      <c r="P14" s="276" t="s">
        <v>213</v>
      </c>
      <c r="Q14" s="199" t="s">
        <v>213</v>
      </c>
      <c r="R14" s="199" t="s">
        <v>213</v>
      </c>
      <c r="S14" s="199" t="s">
        <v>213</v>
      </c>
      <c r="T14" s="199" t="s">
        <v>213</v>
      </c>
      <c r="U14" s="203" t="e">
        <f>_xll.qlMidSafe($Q14,$R14)</f>
        <v>#NUM!</v>
      </c>
      <c r="V14" s="201"/>
      <c r="W14" s="275" t="e">
        <v>#NUM!</v>
      </c>
      <c r="X14" s="201"/>
      <c r="Y14" s="274" t="e">
        <v>#NUM!</v>
      </c>
      <c r="Z14" s="203" t="e">
        <f>_xll.qlSimpleQuoteSetValue(F14,Y14,Trigger)</f>
        <v>#NUM!</v>
      </c>
      <c r="AA14" s="23"/>
      <c r="AB14" s="13"/>
      <c r="AC14" s="13"/>
      <c r="AD14" s="13"/>
      <c r="AE14" s="13"/>
      <c r="AF14" s="236" t="e">
        <f t="shared" si="1"/>
        <v>#VALUE!</v>
      </c>
      <c r="AH14" s="121"/>
      <c r="AI14" s="120">
        <v>9</v>
      </c>
      <c r="AJ14" s="118" t="b">
        <v>0</v>
      </c>
      <c r="AK14" s="118" t="str">
        <v>F5</v>
      </c>
      <c r="AL14" s="192" t="str">
        <f t="shared" si="2"/>
        <v>USDFUT3MF5ConvAdj_Quote</v>
      </c>
      <c r="AM14" s="191" t="str">
        <f>_xll.qlFuturesConvAdjustmentQuote(AL14,IborIndex,AK14,F14,Volatility,MeanReversion,Permanent,AND(ISERROR(Z14),ISERROR(FuturesHWConvAdj!Q13:Q14)),ObjectOverwrite)</f>
        <v>USDFUT3MF5ConvAdj_Quote#0370</v>
      </c>
      <c r="AN14" s="48" t="str">
        <f>_xll.ohRangeRetrieveError(AM14)</f>
        <v/>
      </c>
      <c r="AO14" s="23"/>
    </row>
    <row r="15" spans="1:41" x14ac:dyDescent="0.2">
      <c r="A15" s="121"/>
      <c r="B15" s="120">
        <v>10</v>
      </c>
      <c r="C15" s="119" t="b">
        <v>0</v>
      </c>
      <c r="D15" s="118" t="str">
        <v>G5</v>
      </c>
      <c r="E15" s="117" t="str">
        <f t="shared" si="0"/>
        <v>USDFUT3MG5_Quote</v>
      </c>
      <c r="F15" s="116" t="str">
        <f>_xll.qlSimpleQuote(E15,,PriceTickValue,Permanent,Trigger,ObjectOverwrite)</f>
        <v>USDFUT3MG5_Quote#0000</v>
      </c>
      <c r="G15" s="79" t="str">
        <f>_xll.ohRangeRetrieveError(F15)</f>
        <v/>
      </c>
      <c r="H15" s="115"/>
      <c r="J15" s="273"/>
      <c r="K15" s="279">
        <v>10</v>
      </c>
      <c r="L15" s="278" t="b">
        <v>0</v>
      </c>
      <c r="M15" s="199" t="str">
        <v>G5</v>
      </c>
      <c r="N15" s="277">
        <v>42053</v>
      </c>
      <c r="O15" s="199" t="str">
        <v>EDG5</v>
      </c>
      <c r="P15" s="276" t="s">
        <v>213</v>
      </c>
      <c r="Q15" s="199" t="s">
        <v>213</v>
      </c>
      <c r="R15" s="199" t="s">
        <v>213</v>
      </c>
      <c r="S15" s="199" t="s">
        <v>213</v>
      </c>
      <c r="T15" s="199" t="s">
        <v>213</v>
      </c>
      <c r="U15" s="203" t="e">
        <f>_xll.qlMidSafe($Q15,$R15)</f>
        <v>#NUM!</v>
      </c>
      <c r="V15" s="201"/>
      <c r="W15" s="275" t="e">
        <v>#NUM!</v>
      </c>
      <c r="X15" s="201"/>
      <c r="Y15" s="274" t="e">
        <v>#NUM!</v>
      </c>
      <c r="Z15" s="203" t="e">
        <f>_xll.qlSimpleQuoteSetValue(F15,Y15,Trigger)</f>
        <v>#NUM!</v>
      </c>
      <c r="AA15" s="23"/>
      <c r="AB15" s="13"/>
      <c r="AC15" s="13"/>
      <c r="AD15" s="13"/>
      <c r="AE15" s="13"/>
      <c r="AF15" s="236" t="e">
        <f t="shared" si="1"/>
        <v>#VALUE!</v>
      </c>
      <c r="AH15" s="121"/>
      <c r="AI15" s="120">
        <v>10</v>
      </c>
      <c r="AJ15" s="118" t="b">
        <v>0</v>
      </c>
      <c r="AK15" s="118" t="str">
        <v>G5</v>
      </c>
      <c r="AL15" s="192" t="str">
        <f t="shared" si="2"/>
        <v>USDFUT3MG5ConvAdj_Quote</v>
      </c>
      <c r="AM15" s="191" t="str">
        <f>_xll.qlFuturesConvAdjustmentQuote(AL15,IborIndex,AK15,F15,Volatility,MeanReversion,Permanent,AND(ISERROR(Z15),ISERROR(FuturesHWConvAdj!Q14:Q15)),ObjectOverwrite)</f>
        <v>USDFUT3MG5ConvAdj_Quote#0370</v>
      </c>
      <c r="AN15" s="48" t="str">
        <f>_xll.ohRangeRetrieveError(AM15)</f>
        <v/>
      </c>
      <c r="AO15" s="23"/>
    </row>
    <row r="16" spans="1:41" x14ac:dyDescent="0.2">
      <c r="A16" s="121"/>
      <c r="B16" s="120">
        <v>11</v>
      </c>
      <c r="C16" s="119" t="b">
        <v>0</v>
      </c>
      <c r="D16" s="118" t="str">
        <v>H5</v>
      </c>
      <c r="E16" s="117" t="str">
        <f t="shared" si="0"/>
        <v>USDFUT3MH5_Quote</v>
      </c>
      <c r="F16" s="116" t="str">
        <f>_xll.qlSimpleQuote(E16,,PriceTickValue,Permanent,Trigger,ObjectOverwrite)</f>
        <v>USDFUT3MH5_Quote#0000</v>
      </c>
      <c r="G16" s="79" t="str">
        <f>_xll.ohRangeRetrieveError(F16)</f>
        <v/>
      </c>
      <c r="H16" s="115"/>
      <c r="J16" s="273"/>
      <c r="K16" s="279">
        <v>11</v>
      </c>
      <c r="L16" s="278" t="b">
        <v>0</v>
      </c>
      <c r="M16" s="199" t="str">
        <v>H5</v>
      </c>
      <c r="N16" s="277">
        <v>42081</v>
      </c>
      <c r="O16" s="199" t="str">
        <v>EDH5</v>
      </c>
      <c r="P16" s="276">
        <v>42079</v>
      </c>
      <c r="Q16" s="199">
        <v>99.614999999999995</v>
      </c>
      <c r="R16" s="199">
        <v>99.62</v>
      </c>
      <c r="S16" s="199">
        <v>99.614999999999995</v>
      </c>
      <c r="T16" s="199">
        <v>99.614999999999995</v>
      </c>
      <c r="U16" s="203">
        <f>_xll.qlMidSafe($Q16,$R16)</f>
        <v>99.617500000000007</v>
      </c>
      <c r="V16" s="201"/>
      <c r="W16" s="275">
        <v>99.617500000000007</v>
      </c>
      <c r="X16" s="201"/>
      <c r="Y16" s="274">
        <v>99.617500000000007</v>
      </c>
      <c r="Z16" s="203">
        <f>_xll.qlSimpleQuoteSetValue(F16,Y16,Trigger)</f>
        <v>0</v>
      </c>
      <c r="AA16" s="23"/>
      <c r="AB16" s="13"/>
      <c r="AC16" s="13"/>
      <c r="AD16" s="13"/>
      <c r="AE16" s="13"/>
      <c r="AF16" s="236">
        <f t="shared" si="1"/>
        <v>4.9999999999954527E-5</v>
      </c>
      <c r="AH16" s="121"/>
      <c r="AI16" s="120">
        <v>11</v>
      </c>
      <c r="AJ16" s="118" t="b">
        <v>0</v>
      </c>
      <c r="AK16" s="118" t="str">
        <v>H5</v>
      </c>
      <c r="AL16" s="192" t="str">
        <f t="shared" si="2"/>
        <v>USDFUT3MH5ConvAdj_Quote</v>
      </c>
      <c r="AM16" s="191" t="str">
        <f>_xll.qlFuturesConvAdjustmentQuote(AL16,IborIndex,AK16,F16,Volatility,MeanReversion,Permanent,AND(ISERROR(Z16),ISERROR(FuturesHWConvAdj!Q15:Q16)),ObjectOverwrite)</f>
        <v>USDFUT3MH5ConvAdj_Quote#0370</v>
      </c>
      <c r="AN16" s="48" t="str">
        <f>_xll.ohRangeRetrieveError(AM16)</f>
        <v/>
      </c>
      <c r="AO16" s="23"/>
    </row>
    <row r="17" spans="1:41" x14ac:dyDescent="0.2">
      <c r="A17" s="121"/>
      <c r="B17" s="120">
        <v>12</v>
      </c>
      <c r="C17" s="119" t="b">
        <v>0</v>
      </c>
      <c r="D17" s="118" t="str">
        <v>J5</v>
      </c>
      <c r="E17" s="117" t="str">
        <f t="shared" si="0"/>
        <v>USDFUT3MJ5_Quote</v>
      </c>
      <c r="F17" s="116" t="str">
        <f>_xll.qlSimpleQuote(E17,,PriceTickValue,Permanent,Trigger,ObjectOverwrite)</f>
        <v>USDFUT3MJ5_Quote#0000</v>
      </c>
      <c r="G17" s="79" t="str">
        <f>_xll.ohRangeRetrieveError(F17)</f>
        <v/>
      </c>
      <c r="H17" s="115"/>
      <c r="J17" s="273"/>
      <c r="K17" s="279">
        <v>12</v>
      </c>
      <c r="L17" s="278" t="b">
        <v>0</v>
      </c>
      <c r="M17" s="199" t="str">
        <v>J5</v>
      </c>
      <c r="N17" s="277">
        <v>42109</v>
      </c>
      <c r="O17" s="199" t="str">
        <v>EDJ5</v>
      </c>
      <c r="P17" s="276" t="s">
        <v>213</v>
      </c>
      <c r="Q17" s="199" t="s">
        <v>213</v>
      </c>
      <c r="R17" s="199" t="s">
        <v>213</v>
      </c>
      <c r="S17" s="199" t="s">
        <v>213</v>
      </c>
      <c r="T17" s="199" t="s">
        <v>213</v>
      </c>
      <c r="U17" s="203" t="e">
        <f>_xll.qlMidSafe($Q17,$R17)</f>
        <v>#NUM!</v>
      </c>
      <c r="V17" s="201"/>
      <c r="W17" s="275" t="e">
        <v>#NUM!</v>
      </c>
      <c r="X17" s="201"/>
      <c r="Y17" s="274" t="e">
        <v>#NUM!</v>
      </c>
      <c r="Z17" s="203" t="e">
        <f>_xll.qlSimpleQuoteSetValue(F17,Y17,Trigger)</f>
        <v>#NUM!</v>
      </c>
      <c r="AA17" s="23"/>
      <c r="AB17" s="13"/>
      <c r="AC17" s="13"/>
      <c r="AD17" s="13"/>
      <c r="AE17" s="13"/>
      <c r="AF17" s="236" t="e">
        <f t="shared" si="1"/>
        <v>#VALUE!</v>
      </c>
      <c r="AH17" s="121"/>
      <c r="AI17" s="120">
        <v>12</v>
      </c>
      <c r="AJ17" s="118" t="b">
        <v>0</v>
      </c>
      <c r="AK17" s="118" t="str">
        <v>J5</v>
      </c>
      <c r="AL17" s="192" t="str">
        <f t="shared" si="2"/>
        <v>USDFUT3MJ5ConvAdj_Quote</v>
      </c>
      <c r="AM17" s="191" t="str">
        <f>_xll.qlFuturesConvAdjustmentQuote(AL17,IborIndex,AK17,F17,Volatility,MeanReversion,Permanent,AND(ISERROR(Z17),ISERROR(FuturesHWConvAdj!Q16:Q17)),ObjectOverwrite)</f>
        <v>USDFUT3MJ5ConvAdj_Quote#0370</v>
      </c>
      <c r="AN17" s="48" t="str">
        <f>_xll.ohRangeRetrieveError(AM17)</f>
        <v/>
      </c>
      <c r="AO17" s="23"/>
    </row>
    <row r="18" spans="1:41" x14ac:dyDescent="0.2">
      <c r="A18" s="121"/>
      <c r="B18" s="120">
        <v>13</v>
      </c>
      <c r="C18" s="119" t="b">
        <v>1</v>
      </c>
      <c r="D18" s="118" t="str">
        <v>M5</v>
      </c>
      <c r="E18" s="117" t="str">
        <f t="shared" si="0"/>
        <v>USDFUT3MM5_Quote</v>
      </c>
      <c r="F18" s="116" t="str">
        <f>_xll.qlSimpleQuote(E18,,PriceTickValue,Permanent,Trigger,ObjectOverwrite)</f>
        <v>USDFUT3MM5_Quote#0000</v>
      </c>
      <c r="G18" s="79" t="str">
        <f>_xll.ohRangeRetrieveError(F18)</f>
        <v/>
      </c>
      <c r="H18" s="115"/>
      <c r="J18" s="273"/>
      <c r="K18" s="279">
        <v>13</v>
      </c>
      <c r="L18" s="278" t="b">
        <v>1</v>
      </c>
      <c r="M18" s="199" t="str">
        <v>M5</v>
      </c>
      <c r="N18" s="277">
        <v>42172</v>
      </c>
      <c r="O18" s="199" t="str">
        <v>EDM5</v>
      </c>
      <c r="P18" s="276">
        <v>42170</v>
      </c>
      <c r="Q18" s="199">
        <v>99.424999999999997</v>
      </c>
      <c r="R18" s="199">
        <v>99.43</v>
      </c>
      <c r="S18" s="199">
        <v>99.43</v>
      </c>
      <c r="T18" s="199">
        <v>99.424999999999997</v>
      </c>
      <c r="U18" s="203">
        <f>_xll.qlMidSafe($Q18,$R18)</f>
        <v>99.427500000000009</v>
      </c>
      <c r="V18" s="201"/>
      <c r="W18" s="275">
        <v>99.427500000000009</v>
      </c>
      <c r="X18" s="201"/>
      <c r="Y18" s="274">
        <v>99.427500000000009</v>
      </c>
      <c r="Z18" s="203">
        <f>_xll.qlSimpleQuoteSetValue(F18,Y18,Trigger)</f>
        <v>0</v>
      </c>
      <c r="AA18" s="23"/>
      <c r="AB18" s="13"/>
      <c r="AC18" s="13"/>
      <c r="AD18" s="13"/>
      <c r="AE18" s="13"/>
      <c r="AF18" s="236">
        <f t="shared" si="1"/>
        <v>4.9999999999954527E-5</v>
      </c>
      <c r="AH18" s="121"/>
      <c r="AI18" s="120">
        <v>13</v>
      </c>
      <c r="AJ18" s="118" t="b">
        <v>1</v>
      </c>
      <c r="AK18" s="118" t="str">
        <v>M5</v>
      </c>
      <c r="AL18" s="192" t="str">
        <f t="shared" si="2"/>
        <v>USDFUT3MM5ConvAdj_Quote</v>
      </c>
      <c r="AM18" s="191" t="str">
        <f>_xll.qlFuturesConvAdjustmentQuote(AL18,IborIndex,AK18,F18,Volatility,MeanReversion,Permanent,AND(ISERROR(Z18),ISERROR(FuturesHWConvAdj!Q17:Q18)),ObjectOverwrite)</f>
        <v>USDFUT3MM5ConvAdj_Quote#0370</v>
      </c>
      <c r="AN18" s="48" t="str">
        <f>_xll.ohRangeRetrieveError(AM18)</f>
        <v/>
      </c>
      <c r="AO18" s="23"/>
    </row>
    <row r="19" spans="1:41" x14ac:dyDescent="0.2">
      <c r="A19" s="121"/>
      <c r="B19" s="120">
        <v>14</v>
      </c>
      <c r="C19" s="119" t="b">
        <v>1</v>
      </c>
      <c r="D19" s="118" t="str">
        <v>U5</v>
      </c>
      <c r="E19" s="117" t="str">
        <f t="shared" si="0"/>
        <v>USDFUT3MU5_Quote</v>
      </c>
      <c r="F19" s="116" t="str">
        <f>_xll.qlSimpleQuote(E19,,PriceTickValue,Permanent,Trigger,ObjectOverwrite)</f>
        <v>USDFUT3MU5_Quote#0000</v>
      </c>
      <c r="G19" s="79" t="str">
        <f>_xll.ohRangeRetrieveError(F19)</f>
        <v/>
      </c>
      <c r="H19" s="115"/>
      <c r="J19" s="273"/>
      <c r="K19" s="279">
        <v>14</v>
      </c>
      <c r="L19" s="278" t="b">
        <v>1</v>
      </c>
      <c r="M19" s="199" t="str">
        <v>U5</v>
      </c>
      <c r="N19" s="277">
        <v>42263</v>
      </c>
      <c r="O19" s="199" t="str">
        <v>EDU5</v>
      </c>
      <c r="P19" s="276">
        <v>42261</v>
      </c>
      <c r="Q19" s="199">
        <v>99.185000000000002</v>
      </c>
      <c r="R19" s="199">
        <v>99.19</v>
      </c>
      <c r="S19" s="199">
        <v>99.19</v>
      </c>
      <c r="T19" s="199">
        <v>99.19</v>
      </c>
      <c r="U19" s="203">
        <f>_xll.qlMidSafe($Q19,$R19)</f>
        <v>99.1875</v>
      </c>
      <c r="V19" s="201"/>
      <c r="W19" s="275">
        <v>99.1875</v>
      </c>
      <c r="X19" s="201"/>
      <c r="Y19" s="274">
        <v>99.1875</v>
      </c>
      <c r="Z19" s="203">
        <f>_xll.qlSimpleQuoteSetValue(F19,Y19,Trigger)</f>
        <v>0</v>
      </c>
      <c r="AA19" s="23"/>
      <c r="AB19" s="13"/>
      <c r="AC19" s="13"/>
      <c r="AD19" s="13"/>
      <c r="AE19" s="13"/>
      <c r="AF19" s="236">
        <f t="shared" si="1"/>
        <v>4.9999999999954527E-5</v>
      </c>
      <c r="AH19" s="121"/>
      <c r="AI19" s="120">
        <v>14</v>
      </c>
      <c r="AJ19" s="118" t="b">
        <v>1</v>
      </c>
      <c r="AK19" s="118" t="str">
        <v>U5</v>
      </c>
      <c r="AL19" s="192" t="str">
        <f t="shared" si="2"/>
        <v>USDFUT3MU5ConvAdj_Quote</v>
      </c>
      <c r="AM19" s="191" t="str">
        <f>_xll.qlFuturesConvAdjustmentQuote(AL19,IborIndex,AK19,F19,Volatility,MeanReversion,Permanent,AND(ISERROR(Z19),ISERROR(FuturesHWConvAdj!Q18:Q19)),ObjectOverwrite)</f>
        <v>USDFUT3MU5ConvAdj_Quote#0370</v>
      </c>
      <c r="AN19" s="48" t="str">
        <f>_xll.ohRangeRetrieveError(AM19)</f>
        <v/>
      </c>
      <c r="AO19" s="23"/>
    </row>
    <row r="20" spans="1:41" x14ac:dyDescent="0.2">
      <c r="A20" s="121"/>
      <c r="B20" s="120">
        <v>15</v>
      </c>
      <c r="C20" s="119" t="b">
        <v>1</v>
      </c>
      <c r="D20" s="118" t="str">
        <v>Z5</v>
      </c>
      <c r="E20" s="117" t="str">
        <f t="shared" si="0"/>
        <v>USDFUT3MZ5_Quote</v>
      </c>
      <c r="F20" s="116" t="str">
        <f>_xll.qlSimpleQuote(E20,,PriceTickValue,Permanent,Trigger,ObjectOverwrite)</f>
        <v>USDFUT3MZ5_Quote#0000</v>
      </c>
      <c r="G20" s="79" t="str">
        <f>_xll.ohRangeRetrieveError(F20)</f>
        <v/>
      </c>
      <c r="H20" s="115"/>
      <c r="J20" s="273"/>
      <c r="K20" s="279">
        <v>15</v>
      </c>
      <c r="L20" s="278" t="b">
        <v>1</v>
      </c>
      <c r="M20" s="199" t="str">
        <v>Z5</v>
      </c>
      <c r="N20" s="277">
        <v>42354</v>
      </c>
      <c r="O20" s="199" t="str">
        <v>EDZ5</v>
      </c>
      <c r="P20" s="276">
        <v>42352</v>
      </c>
      <c r="Q20" s="199">
        <v>98.91</v>
      </c>
      <c r="R20" s="199">
        <v>98.915000000000006</v>
      </c>
      <c r="S20" s="199">
        <v>98.91</v>
      </c>
      <c r="T20" s="199">
        <v>98.915000000000006</v>
      </c>
      <c r="U20" s="203">
        <f>_xll.qlMidSafe($Q20,$R20)</f>
        <v>98.912499999999994</v>
      </c>
      <c r="V20" s="201"/>
      <c r="W20" s="275">
        <v>98.912499999999994</v>
      </c>
      <c r="X20" s="201"/>
      <c r="Y20" s="274">
        <v>98.912499999999994</v>
      </c>
      <c r="Z20" s="203">
        <f>_xll.qlSimpleQuoteSetValue(F20,Y20,Trigger)</f>
        <v>0</v>
      </c>
      <c r="AA20" s="23"/>
      <c r="AB20" s="13"/>
      <c r="AC20" s="13"/>
      <c r="AD20" s="13"/>
      <c r="AE20" s="13"/>
      <c r="AF20" s="236">
        <f t="shared" si="1"/>
        <v>5.0000000000238744E-5</v>
      </c>
      <c r="AH20" s="121"/>
      <c r="AI20" s="120">
        <v>15</v>
      </c>
      <c r="AJ20" s="118" t="b">
        <v>1</v>
      </c>
      <c r="AK20" s="118" t="str">
        <v>Z5</v>
      </c>
      <c r="AL20" s="192" t="str">
        <f t="shared" si="2"/>
        <v>USDFUT3MZ5ConvAdj_Quote</v>
      </c>
      <c r="AM20" s="191" t="str">
        <f>_xll.qlFuturesConvAdjustmentQuote(AL20,IborIndex,AK20,F20,Volatility,MeanReversion,Permanent,AND(ISERROR(Z20),ISERROR(FuturesHWConvAdj!Q19:Q20)),ObjectOverwrite)</f>
        <v>USDFUT3MZ5ConvAdj_Quote#0370</v>
      </c>
      <c r="AN20" s="48" t="str">
        <f>_xll.ohRangeRetrieveError(AM20)</f>
        <v/>
      </c>
      <c r="AO20" s="23"/>
    </row>
    <row r="21" spans="1:41" x14ac:dyDescent="0.2">
      <c r="A21" s="121"/>
      <c r="B21" s="120">
        <v>16</v>
      </c>
      <c r="C21" s="119" t="b">
        <v>1</v>
      </c>
      <c r="D21" s="118" t="str">
        <v>H6</v>
      </c>
      <c r="E21" s="117" t="str">
        <f t="shared" si="0"/>
        <v>USDFUT3MH6_Quote</v>
      </c>
      <c r="F21" s="116" t="str">
        <f>_xll.qlSimpleQuote(E21,,PriceTickValue,Permanent,Trigger,ObjectOverwrite)</f>
        <v>USDFUT3MH6_Quote#0000</v>
      </c>
      <c r="G21" s="79" t="str">
        <f>_xll.ohRangeRetrieveError(F21)</f>
        <v/>
      </c>
      <c r="H21" s="115"/>
      <c r="J21" s="273"/>
      <c r="K21" s="279">
        <v>16</v>
      </c>
      <c r="L21" s="278" t="b">
        <v>1</v>
      </c>
      <c r="M21" s="199" t="str">
        <v>H6</v>
      </c>
      <c r="N21" s="277">
        <v>42445</v>
      </c>
      <c r="O21" s="199" t="str">
        <v>EDH6</v>
      </c>
      <c r="P21" s="276">
        <v>42443</v>
      </c>
      <c r="Q21" s="199">
        <v>98.614999999999995</v>
      </c>
      <c r="R21" s="199">
        <v>98.62</v>
      </c>
      <c r="S21" s="199">
        <v>98.614999999999995</v>
      </c>
      <c r="T21" s="199">
        <v>98.625</v>
      </c>
      <c r="U21" s="203">
        <f>_xll.qlMidSafe($Q21,$R21)</f>
        <v>98.617500000000007</v>
      </c>
      <c r="V21" s="201"/>
      <c r="W21" s="275">
        <v>98.612499999999997</v>
      </c>
      <c r="X21" s="201"/>
      <c r="Y21" s="274">
        <v>98.617500000000007</v>
      </c>
      <c r="Z21" s="203">
        <f>_xll.qlSimpleQuoteSetValue(F21,Y21,Trigger)</f>
        <v>0</v>
      </c>
      <c r="AA21" s="23"/>
      <c r="AB21" s="13"/>
      <c r="AC21" s="13"/>
      <c r="AD21" s="13"/>
      <c r="AE21" s="13"/>
      <c r="AF21" s="236">
        <f t="shared" si="1"/>
        <v>4.9999999999954527E-5</v>
      </c>
      <c r="AH21" s="121"/>
      <c r="AI21" s="120">
        <v>16</v>
      </c>
      <c r="AJ21" s="118" t="b">
        <v>1</v>
      </c>
      <c r="AK21" s="118" t="str">
        <v>H6</v>
      </c>
      <c r="AL21" s="192" t="str">
        <f t="shared" si="2"/>
        <v>USDFUT3MH6ConvAdj_Quote</v>
      </c>
      <c r="AM21" s="191" t="str">
        <f>_xll.qlFuturesConvAdjustmentQuote(AL21,IborIndex,AK21,F21,Volatility,MeanReversion,Permanent,AND(ISERROR(Z21),ISERROR(FuturesHWConvAdj!Q20:Q21)),ObjectOverwrite)</f>
        <v>USDFUT3MH6ConvAdj_Quote#0370</v>
      </c>
      <c r="AN21" s="48" t="str">
        <f>_xll.ohRangeRetrieveError(AM21)</f>
        <v/>
      </c>
      <c r="AO21" s="23"/>
    </row>
    <row r="22" spans="1:41" x14ac:dyDescent="0.2">
      <c r="A22" s="121"/>
      <c r="B22" s="120">
        <v>17</v>
      </c>
      <c r="C22" s="119" t="b">
        <v>1</v>
      </c>
      <c r="D22" s="118" t="str">
        <v>M6</v>
      </c>
      <c r="E22" s="117" t="str">
        <f t="shared" si="0"/>
        <v>USDFUT3MM6_Quote</v>
      </c>
      <c r="F22" s="116" t="str">
        <f>_xll.qlSimpleQuote(E22,,PriceTickValue,Permanent,Trigger,ObjectOverwrite)</f>
        <v>USDFUT3MM6_Quote#0000</v>
      </c>
      <c r="G22" s="79" t="str">
        <f>_xll.ohRangeRetrieveError(F22)</f>
        <v/>
      </c>
      <c r="H22" s="115"/>
      <c r="J22" s="273"/>
      <c r="K22" s="279">
        <v>17</v>
      </c>
      <c r="L22" s="278" t="b">
        <v>1</v>
      </c>
      <c r="M22" s="199" t="str">
        <v>M6</v>
      </c>
      <c r="N22" s="277">
        <v>42536</v>
      </c>
      <c r="O22" s="199" t="str">
        <v>EDM6</v>
      </c>
      <c r="P22" s="276">
        <v>42534</v>
      </c>
      <c r="Q22" s="199">
        <v>98.314999999999998</v>
      </c>
      <c r="R22" s="199">
        <v>98.32</v>
      </c>
      <c r="S22" s="199">
        <v>98.314999999999998</v>
      </c>
      <c r="T22" s="199">
        <v>98.33</v>
      </c>
      <c r="U22" s="203">
        <f>_xll.qlMidSafe($Q22,$R22)</f>
        <v>98.317499999999995</v>
      </c>
      <c r="V22" s="201"/>
      <c r="W22" s="275">
        <v>98.317499999999995</v>
      </c>
      <c r="X22" s="201"/>
      <c r="Y22" s="274">
        <v>98.317499999999995</v>
      </c>
      <c r="Z22" s="203">
        <f>_xll.qlSimpleQuoteSetValue(F22,Y22,Trigger)</f>
        <v>0</v>
      </c>
      <c r="AA22" s="23"/>
      <c r="AB22" s="13"/>
      <c r="AC22" s="13"/>
      <c r="AD22" s="13"/>
      <c r="AE22" s="13"/>
      <c r="AF22" s="236">
        <f t="shared" si="1"/>
        <v>4.9999999999954527E-5</v>
      </c>
      <c r="AH22" s="121"/>
      <c r="AI22" s="120">
        <v>17</v>
      </c>
      <c r="AJ22" s="118" t="b">
        <v>1</v>
      </c>
      <c r="AK22" s="118" t="str">
        <v>M6</v>
      </c>
      <c r="AL22" s="192" t="str">
        <f t="shared" si="2"/>
        <v>USDFUT3MM6ConvAdj_Quote</v>
      </c>
      <c r="AM22" s="191" t="str">
        <f>_xll.qlFuturesConvAdjustmentQuote(AL22,IborIndex,AK22,F22,Volatility,MeanReversion,Permanent,AND(ISERROR(Z22),ISERROR(FuturesHWConvAdj!Q21:Q22)),ObjectOverwrite)</f>
        <v>USDFUT3MM6ConvAdj_Quote#0370</v>
      </c>
      <c r="AN22" s="48" t="str">
        <f>_xll.ohRangeRetrieveError(AM22)</f>
        <v/>
      </c>
      <c r="AO22" s="23"/>
    </row>
    <row r="23" spans="1:41" x14ac:dyDescent="0.2">
      <c r="A23" s="121"/>
      <c r="B23" s="120">
        <v>18</v>
      </c>
      <c r="C23" s="119" t="b">
        <v>1</v>
      </c>
      <c r="D23" s="118" t="str">
        <v>U6</v>
      </c>
      <c r="E23" s="117" t="str">
        <f t="shared" si="0"/>
        <v>USDFUT3MU6_Quote</v>
      </c>
      <c r="F23" s="116" t="str">
        <f>_xll.qlSimpleQuote(E23,,PriceTickValue,Permanent,Trigger,ObjectOverwrite)</f>
        <v>USDFUT3MU6_Quote#0000</v>
      </c>
      <c r="G23" s="79" t="str">
        <f>_xll.ohRangeRetrieveError(F23)</f>
        <v/>
      </c>
      <c r="H23" s="115"/>
      <c r="J23" s="273"/>
      <c r="K23" s="279">
        <v>18</v>
      </c>
      <c r="L23" s="278" t="b">
        <v>1</v>
      </c>
      <c r="M23" s="199" t="str">
        <v>U6</v>
      </c>
      <c r="N23" s="277">
        <v>42634</v>
      </c>
      <c r="O23" s="199" t="str">
        <v>EDU6</v>
      </c>
      <c r="P23" s="276">
        <v>42632</v>
      </c>
      <c r="Q23" s="199">
        <v>98.034999999999997</v>
      </c>
      <c r="R23" s="199">
        <v>98.04</v>
      </c>
      <c r="S23" s="199">
        <v>98.034999999999997</v>
      </c>
      <c r="T23" s="199">
        <v>98.05</v>
      </c>
      <c r="U23" s="203">
        <f>_xll.qlMidSafe($Q23,$R23)</f>
        <v>98.037499999999994</v>
      </c>
      <c r="V23" s="201"/>
      <c r="W23" s="275">
        <v>98.032499999999999</v>
      </c>
      <c r="X23" s="201"/>
      <c r="Y23" s="274">
        <v>98.037499999999994</v>
      </c>
      <c r="Z23" s="203">
        <f>_xll.qlSimpleQuoteSetValue(F23,Y23,Trigger)</f>
        <v>0</v>
      </c>
      <c r="AA23" s="23"/>
      <c r="AB23" s="13"/>
      <c r="AC23" s="13"/>
      <c r="AD23" s="13"/>
      <c r="AE23" s="13"/>
      <c r="AF23" s="236">
        <f t="shared" si="1"/>
        <v>5.0000000000238744E-5</v>
      </c>
      <c r="AH23" s="121"/>
      <c r="AI23" s="120">
        <v>18</v>
      </c>
      <c r="AJ23" s="118" t="b">
        <v>1</v>
      </c>
      <c r="AK23" s="118" t="str">
        <v>U6</v>
      </c>
      <c r="AL23" s="192" t="str">
        <f t="shared" si="2"/>
        <v>USDFUT3MU6ConvAdj_Quote</v>
      </c>
      <c r="AM23" s="191" t="str">
        <f>_xll.qlFuturesConvAdjustmentQuote(AL23,IborIndex,AK23,F23,Volatility,MeanReversion,Permanent,AND(ISERROR(Z23),ISERROR(FuturesHWConvAdj!Q22:Q23)),ObjectOverwrite)</f>
        <v>USDFUT3MU6ConvAdj_Quote#0370</v>
      </c>
      <c r="AN23" s="48" t="str">
        <f>_xll.ohRangeRetrieveError(AM23)</f>
        <v/>
      </c>
      <c r="AO23" s="23"/>
    </row>
    <row r="24" spans="1:41" x14ac:dyDescent="0.2">
      <c r="A24" s="121"/>
      <c r="B24" s="120">
        <v>19</v>
      </c>
      <c r="C24" s="119" t="b">
        <v>1</v>
      </c>
      <c r="D24" s="118" t="str">
        <v>Z6</v>
      </c>
      <c r="E24" s="117" t="str">
        <f t="shared" si="0"/>
        <v>USDFUT3MZ6_Quote</v>
      </c>
      <c r="F24" s="116" t="str">
        <f>_xll.qlSimpleQuote(E24,,PriceTickValue,Permanent,Trigger,ObjectOverwrite)</f>
        <v>USDFUT3MZ6_Quote#0000</v>
      </c>
      <c r="G24" s="79" t="str">
        <f>_xll.ohRangeRetrieveError(F24)</f>
        <v/>
      </c>
      <c r="H24" s="115"/>
      <c r="J24" s="273"/>
      <c r="K24" s="279">
        <v>19</v>
      </c>
      <c r="L24" s="278" t="b">
        <v>1</v>
      </c>
      <c r="M24" s="199" t="str">
        <v>Z6</v>
      </c>
      <c r="N24" s="277">
        <v>42725</v>
      </c>
      <c r="O24" s="199" t="str">
        <v>EDZ6</v>
      </c>
      <c r="P24" s="276">
        <v>42723</v>
      </c>
      <c r="Q24" s="199">
        <v>97.78</v>
      </c>
      <c r="R24" s="199">
        <v>97.784999999999997</v>
      </c>
      <c r="S24" s="199">
        <v>97.78</v>
      </c>
      <c r="T24" s="199">
        <v>97.79</v>
      </c>
      <c r="U24" s="203">
        <f>_xll.qlMidSafe($Q24,$R24)</f>
        <v>97.782499999999999</v>
      </c>
      <c r="V24" s="201"/>
      <c r="W24" s="275">
        <v>97.777500000000003</v>
      </c>
      <c r="X24" s="201"/>
      <c r="Y24" s="274">
        <v>97.782499999999999</v>
      </c>
      <c r="Z24" s="203">
        <f>_xll.qlSimpleQuoteSetValue(F24,Y24,Trigger)</f>
        <v>0</v>
      </c>
      <c r="AA24" s="23"/>
      <c r="AB24" s="13"/>
      <c r="AC24" s="13"/>
      <c r="AD24" s="13"/>
      <c r="AE24" s="13"/>
      <c r="AF24" s="236">
        <f t="shared" si="1"/>
        <v>4.9999999999954527E-5</v>
      </c>
      <c r="AH24" s="121"/>
      <c r="AI24" s="120">
        <v>19</v>
      </c>
      <c r="AJ24" s="118" t="b">
        <v>1</v>
      </c>
      <c r="AK24" s="118" t="str">
        <v>Z6</v>
      </c>
      <c r="AL24" s="192" t="str">
        <f t="shared" si="2"/>
        <v>USDFUT3MZ6ConvAdj_Quote</v>
      </c>
      <c r="AM24" s="191" t="str">
        <f>_xll.qlFuturesConvAdjustmentQuote(AL24,IborIndex,AK24,F24,Volatility,MeanReversion,Permanent,AND(ISERROR(Z24),ISERROR(FuturesHWConvAdj!Q23:Q24)),ObjectOverwrite)</f>
        <v>USDFUT3MZ6ConvAdj_Quote#0370</v>
      </c>
      <c r="AN24" s="48" t="str">
        <f>_xll.ohRangeRetrieveError(AM24)</f>
        <v/>
      </c>
      <c r="AO24" s="23"/>
    </row>
    <row r="25" spans="1:41" x14ac:dyDescent="0.2">
      <c r="A25" s="121"/>
      <c r="B25" s="120">
        <v>20</v>
      </c>
      <c r="C25" s="119" t="b">
        <v>1</v>
      </c>
      <c r="D25" s="118" t="str">
        <v>H7</v>
      </c>
      <c r="E25" s="117" t="str">
        <f t="shared" si="0"/>
        <v>USDFUT3MH7_Quote</v>
      </c>
      <c r="F25" s="116" t="str">
        <f>_xll.qlSimpleQuote(E25,,PriceTickValue,Permanent,Trigger,ObjectOverwrite)</f>
        <v>USDFUT3MH7_Quote#0000</v>
      </c>
      <c r="G25" s="79" t="str">
        <f>_xll.ohRangeRetrieveError(F25)</f>
        <v/>
      </c>
      <c r="H25" s="115"/>
      <c r="J25" s="273"/>
      <c r="K25" s="279">
        <v>20</v>
      </c>
      <c r="L25" s="278" t="b">
        <v>1</v>
      </c>
      <c r="M25" s="199" t="str">
        <v>H7</v>
      </c>
      <c r="N25" s="277">
        <v>42809</v>
      </c>
      <c r="O25" s="199" t="str">
        <v>EDH7</v>
      </c>
      <c r="P25" s="276">
        <v>42807</v>
      </c>
      <c r="Q25" s="199">
        <v>97.564999999999998</v>
      </c>
      <c r="R25" s="199">
        <v>97.57</v>
      </c>
      <c r="S25" s="199">
        <v>97.57</v>
      </c>
      <c r="T25" s="199">
        <v>97.575000000000003</v>
      </c>
      <c r="U25" s="203">
        <f>_xll.qlMidSafe($Q25,$R25)</f>
        <v>97.567499999999995</v>
      </c>
      <c r="V25" s="201"/>
      <c r="W25" s="275">
        <v>97.567499999999995</v>
      </c>
      <c r="X25" s="201"/>
      <c r="Y25" s="274">
        <v>97.567499999999995</v>
      </c>
      <c r="Z25" s="203">
        <f>_xll.qlSimpleQuoteSetValue(F25,Y25,Trigger)</f>
        <v>0</v>
      </c>
      <c r="AA25" s="23"/>
      <c r="AB25" s="13"/>
      <c r="AC25" s="13"/>
      <c r="AD25" s="13"/>
      <c r="AE25" s="13"/>
      <c r="AF25" s="236">
        <f t="shared" si="1"/>
        <v>4.9999999999954527E-5</v>
      </c>
      <c r="AH25" s="121"/>
      <c r="AI25" s="120">
        <v>20</v>
      </c>
      <c r="AJ25" s="118" t="b">
        <v>1</v>
      </c>
      <c r="AK25" s="118" t="str">
        <v>H7</v>
      </c>
      <c r="AL25" s="192" t="str">
        <f t="shared" si="2"/>
        <v>USDFUT3MH7ConvAdj_Quote</v>
      </c>
      <c r="AM25" s="191" t="str">
        <f>_xll.qlFuturesConvAdjustmentQuote(AL25,IborIndex,AK25,F25,Volatility,MeanReversion,Permanent,AND(ISERROR(Z25),ISERROR(FuturesHWConvAdj!Q24:Q25)),ObjectOverwrite)</f>
        <v>USDFUT3MH7ConvAdj_Quote#0370</v>
      </c>
      <c r="AN25" s="48" t="str">
        <f>_xll.ohRangeRetrieveError(AM25)</f>
        <v/>
      </c>
      <c r="AO25" s="23"/>
    </row>
    <row r="26" spans="1:41" x14ac:dyDescent="0.2">
      <c r="A26" s="121"/>
      <c r="B26" s="120">
        <v>21</v>
      </c>
      <c r="C26" s="119" t="b">
        <v>1</v>
      </c>
      <c r="D26" s="118" t="str">
        <v>M7</v>
      </c>
      <c r="E26" s="117" t="str">
        <f t="shared" si="0"/>
        <v>USDFUT3MM7_Quote</v>
      </c>
      <c r="F26" s="116" t="str">
        <f>_xll.qlSimpleQuote(E26,,PriceTickValue,Permanent,Trigger,ObjectOverwrite)</f>
        <v>USDFUT3MM7_Quote#0000</v>
      </c>
      <c r="G26" s="79" t="str">
        <f>_xll.ohRangeRetrieveError(F26)</f>
        <v/>
      </c>
      <c r="H26" s="115"/>
      <c r="J26" s="273"/>
      <c r="K26" s="279">
        <v>21</v>
      </c>
      <c r="L26" s="278" t="b">
        <v>1</v>
      </c>
      <c r="M26" s="199" t="str">
        <v>M7</v>
      </c>
      <c r="N26" s="277">
        <v>42907</v>
      </c>
      <c r="O26" s="199" t="str">
        <v>EDM7</v>
      </c>
      <c r="P26" s="276">
        <v>42905</v>
      </c>
      <c r="Q26" s="199">
        <v>97.364999999999995</v>
      </c>
      <c r="R26" s="199">
        <v>97.37</v>
      </c>
      <c r="S26" s="199">
        <v>97.364999999999995</v>
      </c>
      <c r="T26" s="199">
        <v>97.37</v>
      </c>
      <c r="U26" s="203">
        <f>_xll.qlMidSafe($Q26,$R26)</f>
        <v>97.367500000000007</v>
      </c>
      <c r="V26" s="201"/>
      <c r="W26" s="275">
        <v>97.362499999999997</v>
      </c>
      <c r="X26" s="201"/>
      <c r="Y26" s="274">
        <v>97.367500000000007</v>
      </c>
      <c r="Z26" s="203">
        <f>_xll.qlSimpleQuoteSetValue(F26,Y26,Trigger)</f>
        <v>0</v>
      </c>
      <c r="AA26" s="23"/>
      <c r="AB26" s="13"/>
      <c r="AC26" s="13"/>
      <c r="AD26" s="13"/>
      <c r="AE26" s="13"/>
      <c r="AF26" s="236">
        <f t="shared" si="1"/>
        <v>4.9999999999954527E-5</v>
      </c>
      <c r="AH26" s="121"/>
      <c r="AI26" s="120">
        <v>21</v>
      </c>
      <c r="AJ26" s="118" t="b">
        <v>1</v>
      </c>
      <c r="AK26" s="118" t="str">
        <v>M7</v>
      </c>
      <c r="AL26" s="192" t="str">
        <f t="shared" si="2"/>
        <v>USDFUT3MM7ConvAdj_Quote</v>
      </c>
      <c r="AM26" s="191" t="str">
        <f>_xll.qlFuturesConvAdjustmentQuote(AL26,IborIndex,AK26,F26,Volatility,MeanReversion,Permanent,AND(ISERROR(Z26),ISERROR(FuturesHWConvAdj!Q25:Q26)),ObjectOverwrite)</f>
        <v>USDFUT3MM7ConvAdj_Quote#0370</v>
      </c>
      <c r="AN26" s="48" t="str">
        <f>_xll.ohRangeRetrieveError(AM26)</f>
        <v/>
      </c>
      <c r="AO26" s="23"/>
    </row>
    <row r="27" spans="1:41" x14ac:dyDescent="0.2">
      <c r="A27" s="121"/>
      <c r="B27" s="120">
        <v>22</v>
      </c>
      <c r="C27" s="119" t="b">
        <v>1</v>
      </c>
      <c r="D27" s="118" t="str">
        <v>U7</v>
      </c>
      <c r="E27" s="117" t="str">
        <f t="shared" si="0"/>
        <v>USDFUT3MU7_Quote</v>
      </c>
      <c r="F27" s="116" t="str">
        <f>_xll.qlSimpleQuote(E27,,PriceTickValue,Permanent,Trigger,ObjectOverwrite)</f>
        <v>USDFUT3MU7_Quote#0000</v>
      </c>
      <c r="G27" s="79" t="str">
        <f>_xll.ohRangeRetrieveError(F27)</f>
        <v/>
      </c>
      <c r="H27" s="115"/>
      <c r="J27" s="273"/>
      <c r="K27" s="279">
        <v>22</v>
      </c>
      <c r="L27" s="278" t="b">
        <v>1</v>
      </c>
      <c r="M27" s="199" t="str">
        <v>U7</v>
      </c>
      <c r="N27" s="277">
        <v>42998</v>
      </c>
      <c r="O27" s="199" t="str">
        <v>EDU7</v>
      </c>
      <c r="P27" s="276">
        <v>42996</v>
      </c>
      <c r="Q27" s="199">
        <v>97.19</v>
      </c>
      <c r="R27" s="199">
        <v>97.194999999999993</v>
      </c>
      <c r="S27" s="199">
        <v>97.19</v>
      </c>
      <c r="T27" s="199">
        <v>97.194999999999993</v>
      </c>
      <c r="U27" s="203">
        <f>_xll.qlMidSafe($Q27,$R27)</f>
        <v>97.192499999999995</v>
      </c>
      <c r="V27" s="201"/>
      <c r="W27" s="275">
        <v>97.1875</v>
      </c>
      <c r="X27" s="201"/>
      <c r="Y27" s="274">
        <v>97.192499999999995</v>
      </c>
      <c r="Z27" s="203">
        <f>_xll.qlSimpleQuoteSetValue(F27,Y27,Trigger)</f>
        <v>0</v>
      </c>
      <c r="AA27" s="23"/>
      <c r="AB27" s="13"/>
      <c r="AC27" s="13"/>
      <c r="AD27" s="13"/>
      <c r="AE27" s="13"/>
      <c r="AF27" s="236">
        <f t="shared" si="1"/>
        <v>4.9999999999954527E-5</v>
      </c>
      <c r="AH27" s="121"/>
      <c r="AI27" s="120">
        <v>22</v>
      </c>
      <c r="AJ27" s="118" t="b">
        <v>1</v>
      </c>
      <c r="AK27" s="118" t="str">
        <v>U7</v>
      </c>
      <c r="AL27" s="192" t="str">
        <f t="shared" si="2"/>
        <v>USDFUT3MU7ConvAdj_Quote</v>
      </c>
      <c r="AM27" s="191" t="str">
        <f>_xll.qlFuturesConvAdjustmentQuote(AL27,IborIndex,AK27,F27,Volatility,MeanReversion,Permanent,AND(ISERROR(Z27),ISERROR(FuturesHWConvAdj!Q26:Q27)),ObjectOverwrite)</f>
        <v>USDFUT3MU7ConvAdj_Quote#0370</v>
      </c>
      <c r="AN27" s="48" t="str">
        <f>_xll.ohRangeRetrieveError(AM27)</f>
        <v/>
      </c>
      <c r="AO27" s="23"/>
    </row>
    <row r="28" spans="1:41" x14ac:dyDescent="0.2">
      <c r="A28" s="121"/>
      <c r="B28" s="120">
        <v>23</v>
      </c>
      <c r="C28" s="119" t="b">
        <v>1</v>
      </c>
      <c r="D28" s="118" t="str">
        <v>Z7</v>
      </c>
      <c r="E28" s="117" t="str">
        <f t="shared" si="0"/>
        <v>USDFUT3MZ7_Quote</v>
      </c>
      <c r="F28" s="116" t="str">
        <f>_xll.qlSimpleQuote(E28,,PriceTickValue,Permanent,Trigger,ObjectOverwrite)</f>
        <v>USDFUT3MZ7_Quote#0000</v>
      </c>
      <c r="G28" s="79" t="str">
        <f>_xll.ohRangeRetrieveError(F28)</f>
        <v/>
      </c>
      <c r="H28" s="115"/>
      <c r="J28" s="273"/>
      <c r="K28" s="279">
        <v>23</v>
      </c>
      <c r="L28" s="278" t="b">
        <v>1</v>
      </c>
      <c r="M28" s="199" t="str">
        <v>Z7</v>
      </c>
      <c r="N28" s="277">
        <v>43089</v>
      </c>
      <c r="O28" s="199" t="str">
        <v>EDZ7</v>
      </c>
      <c r="P28" s="276">
        <v>43087</v>
      </c>
      <c r="Q28" s="199">
        <v>97.02</v>
      </c>
      <c r="R28" s="199">
        <v>97.025000000000006</v>
      </c>
      <c r="S28" s="199">
        <v>97.025000000000006</v>
      </c>
      <c r="T28" s="199">
        <v>97.025000000000006</v>
      </c>
      <c r="U28" s="203">
        <f>_xll.qlMidSafe($Q28,$R28)</f>
        <v>97.022500000000008</v>
      </c>
      <c r="V28" s="201"/>
      <c r="W28" s="275">
        <v>97.022500000000008</v>
      </c>
      <c r="X28" s="201"/>
      <c r="Y28" s="274">
        <v>97.022500000000008</v>
      </c>
      <c r="Z28" s="203">
        <f>_xll.qlSimpleQuoteSetValue(F28,Y28,Trigger)</f>
        <v>0</v>
      </c>
      <c r="AA28" s="23"/>
      <c r="AB28" s="13"/>
      <c r="AC28" s="13"/>
      <c r="AD28" s="13"/>
      <c r="AE28" s="13"/>
      <c r="AF28" s="236">
        <f t="shared" si="1"/>
        <v>4.9999999999954527E-5</v>
      </c>
      <c r="AH28" s="121"/>
      <c r="AI28" s="120">
        <v>23</v>
      </c>
      <c r="AJ28" s="118" t="b">
        <v>1</v>
      </c>
      <c r="AK28" s="118" t="str">
        <v>Z7</v>
      </c>
      <c r="AL28" s="192" t="str">
        <f t="shared" si="2"/>
        <v>USDFUT3MZ7ConvAdj_Quote</v>
      </c>
      <c r="AM28" s="191" t="str">
        <f>_xll.qlFuturesConvAdjustmentQuote(AL28,IborIndex,AK28,F28,Volatility,MeanReversion,Permanent,AND(ISERROR(Z28),ISERROR(FuturesHWConvAdj!Q27:Q28)),ObjectOverwrite)</f>
        <v>USDFUT3MZ7ConvAdj_Quote#0370</v>
      </c>
      <c r="AN28" s="48" t="str">
        <f>_xll.ohRangeRetrieveError(AM28)</f>
        <v/>
      </c>
      <c r="AO28" s="23"/>
    </row>
    <row r="29" spans="1:41" x14ac:dyDescent="0.2">
      <c r="A29" s="121"/>
      <c r="B29" s="120">
        <v>24</v>
      </c>
      <c r="C29" s="119" t="b">
        <v>1</v>
      </c>
      <c r="D29" s="118" t="str">
        <v>H8</v>
      </c>
      <c r="E29" s="117" t="str">
        <f t="shared" si="0"/>
        <v>USDFUT3MH8_Quote</v>
      </c>
      <c r="F29" s="116" t="str">
        <f>_xll.qlSimpleQuote(E29,,PriceTickValue,Permanent,Trigger,ObjectOverwrite)</f>
        <v>USDFUT3MH8_Quote#0000</v>
      </c>
      <c r="G29" s="79" t="str">
        <f>_xll.ohRangeRetrieveError(F29)</f>
        <v/>
      </c>
      <c r="H29" s="115"/>
      <c r="J29" s="273"/>
      <c r="K29" s="279">
        <v>24</v>
      </c>
      <c r="L29" s="278" t="b">
        <v>1</v>
      </c>
      <c r="M29" s="199" t="str">
        <v>H8</v>
      </c>
      <c r="N29" s="277">
        <v>43180</v>
      </c>
      <c r="O29" s="199" t="str">
        <v>EDH8</v>
      </c>
      <c r="P29" s="276">
        <v>43178</v>
      </c>
      <c r="Q29" s="199">
        <v>96.88</v>
      </c>
      <c r="R29" s="199">
        <v>96.89</v>
      </c>
      <c r="S29" s="199">
        <v>96.885000000000005</v>
      </c>
      <c r="T29" s="199">
        <v>96.88</v>
      </c>
      <c r="U29" s="203">
        <f>_xll.qlMidSafe($Q29,$R29)</f>
        <v>96.884999999999991</v>
      </c>
      <c r="V29" s="201"/>
      <c r="W29" s="275">
        <v>96.882499999999993</v>
      </c>
      <c r="X29" s="201"/>
      <c r="Y29" s="274">
        <v>96.884999999999991</v>
      </c>
      <c r="Z29" s="203">
        <f>_xll.qlSimpleQuoteSetValue(F29,Y29,Trigger)</f>
        <v>2.4999999999977263E-3</v>
      </c>
      <c r="AA29" s="23"/>
      <c r="AB29" s="13"/>
      <c r="AC29" s="13"/>
      <c r="AD29" s="13"/>
      <c r="AE29" s="13"/>
      <c r="AF29" s="236">
        <f t="shared" si="1"/>
        <v>1.0000000000019326E-4</v>
      </c>
      <c r="AH29" s="121"/>
      <c r="AI29" s="120">
        <v>24</v>
      </c>
      <c r="AJ29" s="118" t="b">
        <v>1</v>
      </c>
      <c r="AK29" s="118" t="str">
        <v>H8</v>
      </c>
      <c r="AL29" s="192" t="str">
        <f t="shared" si="2"/>
        <v>USDFUT3MH8ConvAdj_Quote</v>
      </c>
      <c r="AM29" s="191" t="str">
        <f>_xll.qlFuturesConvAdjustmentQuote(AL29,IborIndex,AK29,F29,Volatility,MeanReversion,Permanent,AND(ISERROR(Z29),ISERROR(FuturesHWConvAdj!Q28:Q29)),ObjectOverwrite)</f>
        <v>USDFUT3MH8ConvAdj_Quote#0370</v>
      </c>
      <c r="AN29" s="48" t="str">
        <f>_xll.ohRangeRetrieveError(AM29)</f>
        <v/>
      </c>
      <c r="AO29" s="23"/>
    </row>
    <row r="30" spans="1:41" x14ac:dyDescent="0.2">
      <c r="A30" s="121"/>
      <c r="B30" s="120">
        <v>25</v>
      </c>
      <c r="C30" s="119" t="b">
        <v>1</v>
      </c>
      <c r="D30" s="118" t="str">
        <v>M8</v>
      </c>
      <c r="E30" s="117" t="str">
        <f t="shared" si="0"/>
        <v>USDFUT3MM8_Quote</v>
      </c>
      <c r="F30" s="116" t="str">
        <f>_xll.qlSimpleQuote(E30,,PriceTickValue,Permanent,Trigger,ObjectOverwrite)</f>
        <v>USDFUT3MM8_Quote#0000</v>
      </c>
      <c r="G30" s="79" t="str">
        <f>_xll.ohRangeRetrieveError(F30)</f>
        <v/>
      </c>
      <c r="H30" s="115"/>
      <c r="J30" s="273"/>
      <c r="K30" s="279">
        <v>25</v>
      </c>
      <c r="L30" s="278" t="b">
        <v>1</v>
      </c>
      <c r="M30" s="199" t="str">
        <v>M8</v>
      </c>
      <c r="N30" s="277">
        <v>43271</v>
      </c>
      <c r="O30" s="199" t="str">
        <v>EDM8</v>
      </c>
      <c r="P30" s="276">
        <v>43269</v>
      </c>
      <c r="Q30" s="199">
        <v>96.745000000000005</v>
      </c>
      <c r="R30" s="199">
        <v>96.754999999999995</v>
      </c>
      <c r="S30" s="199">
        <v>96.75</v>
      </c>
      <c r="T30" s="199">
        <v>96.74</v>
      </c>
      <c r="U30" s="203">
        <f>_xll.qlMidSafe($Q30,$R30)</f>
        <v>96.75</v>
      </c>
      <c r="V30" s="201"/>
      <c r="W30" s="275">
        <v>96.747500000000002</v>
      </c>
      <c r="X30" s="201"/>
      <c r="Y30" s="274">
        <v>96.75</v>
      </c>
      <c r="Z30" s="203">
        <f>_xll.qlSimpleQuoteSetValue(F30,Y30,Trigger)</f>
        <v>0</v>
      </c>
      <c r="AA30" s="23"/>
      <c r="AB30" s="13"/>
      <c r="AC30" s="13"/>
      <c r="AD30" s="13"/>
      <c r="AE30" s="13"/>
      <c r="AF30" s="236">
        <f t="shared" si="1"/>
        <v>9.9999999999909054E-5</v>
      </c>
      <c r="AH30" s="121"/>
      <c r="AI30" s="120">
        <v>25</v>
      </c>
      <c r="AJ30" s="118" t="b">
        <v>1</v>
      </c>
      <c r="AK30" s="118" t="str">
        <v>M8</v>
      </c>
      <c r="AL30" s="192" t="str">
        <f t="shared" si="2"/>
        <v>USDFUT3MM8ConvAdj_Quote</v>
      </c>
      <c r="AM30" s="191" t="str">
        <f>_xll.qlFuturesConvAdjustmentQuote(AL30,IborIndex,AK30,F30,Volatility,MeanReversion,Permanent,AND(ISERROR(Z30),ISERROR(FuturesHWConvAdj!Q29:Q30)),ObjectOverwrite)</f>
        <v>USDFUT3MM8ConvAdj_Quote#0370</v>
      </c>
      <c r="AN30" s="48" t="str">
        <f>_xll.ohRangeRetrieveError(AM30)</f>
        <v/>
      </c>
      <c r="AO30" s="23"/>
    </row>
    <row r="31" spans="1:41" x14ac:dyDescent="0.2">
      <c r="A31" s="121"/>
      <c r="B31" s="120">
        <v>26</v>
      </c>
      <c r="C31" s="119" t="b">
        <v>1</v>
      </c>
      <c r="D31" s="118" t="str">
        <v>U8</v>
      </c>
      <c r="E31" s="117" t="str">
        <f t="shared" si="0"/>
        <v>USDFUT3MU8_Quote</v>
      </c>
      <c r="F31" s="116" t="str">
        <f>_xll.qlSimpleQuote(E31,,PriceTickValue,Permanent,Trigger,ObjectOverwrite)</f>
        <v>USDFUT3MU8_Quote#0000</v>
      </c>
      <c r="G31" s="79" t="str">
        <f>_xll.ohRangeRetrieveError(F31)</f>
        <v/>
      </c>
      <c r="H31" s="115"/>
      <c r="J31" s="273"/>
      <c r="K31" s="279">
        <v>26</v>
      </c>
      <c r="L31" s="278" t="b">
        <v>1</v>
      </c>
      <c r="M31" s="199" t="str">
        <v>U8</v>
      </c>
      <c r="N31" s="277">
        <v>43362</v>
      </c>
      <c r="O31" s="199" t="str">
        <v>EDU8</v>
      </c>
      <c r="P31" s="276">
        <v>43360</v>
      </c>
      <c r="Q31" s="199">
        <v>96.63</v>
      </c>
      <c r="R31" s="199">
        <v>96.635000000000005</v>
      </c>
      <c r="S31" s="199">
        <v>96.63</v>
      </c>
      <c r="T31" s="199">
        <v>96.62</v>
      </c>
      <c r="U31" s="203">
        <f>_xll.qlMidSafe($Q31,$R31)</f>
        <v>96.632499999999993</v>
      </c>
      <c r="V31" s="201"/>
      <c r="W31" s="275">
        <v>96.63</v>
      </c>
      <c r="X31" s="201"/>
      <c r="Y31" s="274">
        <v>96.632499999999993</v>
      </c>
      <c r="Z31" s="203">
        <f>_xll.qlSimpleQuoteSetValue(F31,Y31,Trigger)</f>
        <v>0</v>
      </c>
      <c r="AA31" s="23"/>
      <c r="AB31" s="13"/>
      <c r="AC31" s="13"/>
      <c r="AD31" s="13"/>
      <c r="AE31" s="13"/>
      <c r="AF31" s="236">
        <f t="shared" si="1"/>
        <v>5.0000000000238744E-5</v>
      </c>
      <c r="AH31" s="121"/>
      <c r="AI31" s="120">
        <v>26</v>
      </c>
      <c r="AJ31" s="118" t="b">
        <v>1</v>
      </c>
      <c r="AK31" s="118" t="str">
        <v>U8</v>
      </c>
      <c r="AL31" s="192" t="str">
        <f t="shared" si="2"/>
        <v>USDFUT3MU8ConvAdj_Quote</v>
      </c>
      <c r="AM31" s="191" t="str">
        <f>_xll.qlFuturesConvAdjustmentQuote(AL31,IborIndex,AK31,F31,Volatility,MeanReversion,Permanent,AND(ISERROR(Z31),ISERROR(FuturesHWConvAdj!Q30:Q31)),ObjectOverwrite)</f>
        <v>USDFUT3MU8ConvAdj_Quote#0370</v>
      </c>
      <c r="AN31" s="48" t="str">
        <f>_xll.ohRangeRetrieveError(AM31)</f>
        <v/>
      </c>
      <c r="AO31" s="23"/>
    </row>
    <row r="32" spans="1:41" x14ac:dyDescent="0.2">
      <c r="A32" s="121"/>
      <c r="B32" s="120">
        <v>27</v>
      </c>
      <c r="C32" s="119" t="b">
        <v>1</v>
      </c>
      <c r="D32" s="118" t="str">
        <v>Z8</v>
      </c>
      <c r="E32" s="117" t="str">
        <f t="shared" si="0"/>
        <v>USDFUT3MZ8_Quote</v>
      </c>
      <c r="F32" s="116" t="str">
        <f>_xll.qlSimpleQuote(E32,,PriceTickValue,Permanent,Trigger,ObjectOverwrite)</f>
        <v>USDFUT3MZ8_Quote#0000</v>
      </c>
      <c r="G32" s="79" t="str">
        <f>_xll.ohRangeRetrieveError(F32)</f>
        <v/>
      </c>
      <c r="H32" s="115"/>
      <c r="J32" s="273"/>
      <c r="K32" s="279">
        <v>27</v>
      </c>
      <c r="L32" s="278" t="b">
        <v>1</v>
      </c>
      <c r="M32" s="199" t="str">
        <v>Z8</v>
      </c>
      <c r="N32" s="277">
        <v>43453</v>
      </c>
      <c r="O32" s="199" t="str">
        <v>EDZ8</v>
      </c>
      <c r="P32" s="276">
        <v>43451</v>
      </c>
      <c r="Q32" s="199">
        <v>96.52</v>
      </c>
      <c r="R32" s="199">
        <v>96.525000000000006</v>
      </c>
      <c r="S32" s="199">
        <v>96.52</v>
      </c>
      <c r="T32" s="199">
        <v>96.51</v>
      </c>
      <c r="U32" s="203">
        <f>_xll.qlMidSafe($Q32,$R32)</f>
        <v>96.522500000000008</v>
      </c>
      <c r="V32" s="201"/>
      <c r="W32" s="275">
        <v>96.517499999999998</v>
      </c>
      <c r="X32" s="201"/>
      <c r="Y32" s="274">
        <v>96.522500000000008</v>
      </c>
      <c r="Z32" s="203">
        <f>_xll.qlSimpleQuoteSetValue(F32,Y32,Trigger)</f>
        <v>2.4999999999977263E-3</v>
      </c>
      <c r="AA32" s="23"/>
      <c r="AB32" s="13"/>
      <c r="AC32" s="13"/>
      <c r="AD32" s="13"/>
      <c r="AE32" s="13"/>
      <c r="AF32" s="236">
        <f t="shared" si="1"/>
        <v>4.9999999999954527E-5</v>
      </c>
      <c r="AH32" s="121"/>
      <c r="AI32" s="120">
        <v>27</v>
      </c>
      <c r="AJ32" s="118" t="b">
        <v>1</v>
      </c>
      <c r="AK32" s="118" t="str">
        <v>Z8</v>
      </c>
      <c r="AL32" s="192" t="str">
        <f t="shared" si="2"/>
        <v>USDFUT3MZ8ConvAdj_Quote</v>
      </c>
      <c r="AM32" s="191" t="str">
        <f>_xll.qlFuturesConvAdjustmentQuote(AL32,IborIndex,AK32,F32,Volatility,MeanReversion,Permanent,AND(ISERROR(Z32),ISERROR(FuturesHWConvAdj!Q31:Q32)),ObjectOverwrite)</f>
        <v>USDFUT3MZ8ConvAdj_Quote#0370</v>
      </c>
      <c r="AN32" s="48" t="str">
        <f>_xll.ohRangeRetrieveError(AM32)</f>
        <v/>
      </c>
      <c r="AO32" s="23"/>
    </row>
    <row r="33" spans="1:41" x14ac:dyDescent="0.2">
      <c r="A33" s="121"/>
      <c r="B33" s="120">
        <v>28</v>
      </c>
      <c r="C33" s="119" t="b">
        <v>1</v>
      </c>
      <c r="D33" s="118" t="str">
        <v>H9</v>
      </c>
      <c r="E33" s="117" t="str">
        <f t="shared" si="0"/>
        <v>USDFUT3MH9_Quote</v>
      </c>
      <c r="F33" s="116" t="str">
        <f>_xll.qlSimpleQuote(E33,,PriceTickValue,Permanent,Trigger,ObjectOverwrite)</f>
        <v>USDFUT3MH9_Quote#0000</v>
      </c>
      <c r="G33" s="79" t="str">
        <f>_xll.ohRangeRetrieveError(F33)</f>
        <v/>
      </c>
      <c r="H33" s="115"/>
      <c r="J33" s="273"/>
      <c r="K33" s="279">
        <v>28</v>
      </c>
      <c r="L33" s="278" t="b">
        <v>1</v>
      </c>
      <c r="M33" s="199" t="str">
        <v>H9</v>
      </c>
      <c r="N33" s="277">
        <v>43544</v>
      </c>
      <c r="O33" s="199" t="str">
        <v>EDH9</v>
      </c>
      <c r="P33" s="276">
        <v>43542</v>
      </c>
      <c r="Q33" s="199">
        <v>96.42</v>
      </c>
      <c r="R33" s="199">
        <v>96.424999999999997</v>
      </c>
      <c r="S33" s="199">
        <v>96.424999999999997</v>
      </c>
      <c r="T33" s="199">
        <v>96.41</v>
      </c>
      <c r="U33" s="203">
        <f>_xll.qlMidSafe($Q33,$R33)</f>
        <v>96.422499999999999</v>
      </c>
      <c r="V33" s="201"/>
      <c r="W33" s="275">
        <v>96.422499999999999</v>
      </c>
      <c r="X33" s="201"/>
      <c r="Y33" s="274">
        <v>96.422499999999999</v>
      </c>
      <c r="Z33" s="203">
        <f>_xll.qlSimpleQuoteSetValue(F33,Y33,Trigger)</f>
        <v>0</v>
      </c>
      <c r="AA33" s="23"/>
      <c r="AB33" s="13"/>
      <c r="AC33" s="13"/>
      <c r="AD33" s="13"/>
      <c r="AE33" s="13"/>
      <c r="AF33" s="236">
        <f t="shared" si="1"/>
        <v>4.9999999999954527E-5</v>
      </c>
      <c r="AH33" s="121"/>
      <c r="AI33" s="120">
        <v>28</v>
      </c>
      <c r="AJ33" s="118" t="b">
        <v>1</v>
      </c>
      <c r="AK33" s="118" t="str">
        <v>H9</v>
      </c>
      <c r="AL33" s="192" t="str">
        <f t="shared" si="2"/>
        <v>USDFUT3MH9ConvAdj_Quote</v>
      </c>
      <c r="AM33" s="191" t="str">
        <f>_xll.qlFuturesConvAdjustmentQuote(AL33,IborIndex,AK33,F33,Volatility,MeanReversion,Permanent,AND(ISERROR(Z33),ISERROR(FuturesHWConvAdj!Q32:Q33)),ObjectOverwrite)</f>
        <v>USDFUT3MH9ConvAdj_Quote#0370</v>
      </c>
      <c r="AN33" s="48" t="str">
        <f>_xll.ohRangeRetrieveError(AM33)</f>
        <v/>
      </c>
      <c r="AO33" s="23"/>
    </row>
    <row r="34" spans="1:41" x14ac:dyDescent="0.2">
      <c r="A34" s="121"/>
      <c r="B34" s="120">
        <v>29</v>
      </c>
      <c r="C34" s="119" t="b">
        <v>1</v>
      </c>
      <c r="D34" s="118" t="str">
        <v>M9</v>
      </c>
      <c r="E34" s="117" t="str">
        <f t="shared" si="0"/>
        <v>USDFUT3MM9_Quote</v>
      </c>
      <c r="F34" s="116" t="str">
        <f>_xll.qlSimpleQuote(E34,,PriceTickValue,Permanent,Trigger,ObjectOverwrite)</f>
        <v>USDFUT3MM9_Quote#0000</v>
      </c>
      <c r="G34" s="79" t="str">
        <f>_xll.ohRangeRetrieveError(F34)</f>
        <v/>
      </c>
      <c r="H34" s="115"/>
      <c r="J34" s="273"/>
      <c r="K34" s="279">
        <v>29</v>
      </c>
      <c r="L34" s="278" t="b">
        <v>1</v>
      </c>
      <c r="M34" s="199" t="str">
        <v>M9</v>
      </c>
      <c r="N34" s="277">
        <v>43635</v>
      </c>
      <c r="O34" s="199" t="str">
        <v>EDM9</v>
      </c>
      <c r="P34" s="276">
        <v>43633</v>
      </c>
      <c r="Q34" s="199">
        <v>96.325000000000003</v>
      </c>
      <c r="R34" s="199">
        <v>96.33</v>
      </c>
      <c r="S34" s="199">
        <v>96.325000000000003</v>
      </c>
      <c r="T34" s="199">
        <v>96.314999999999998</v>
      </c>
      <c r="U34" s="203">
        <f>_xll.qlMidSafe($Q34,$R34)</f>
        <v>96.327500000000001</v>
      </c>
      <c r="V34" s="201"/>
      <c r="W34" s="275">
        <v>96.322499999999991</v>
      </c>
      <c r="X34" s="201"/>
      <c r="Y34" s="274">
        <v>96.327500000000001</v>
      </c>
      <c r="Z34" s="203">
        <f>_xll.qlSimpleQuoteSetValue(F34,Y34,Trigger)</f>
        <v>0</v>
      </c>
      <c r="AA34" s="23"/>
      <c r="AB34" s="13"/>
      <c r="AC34" s="13"/>
      <c r="AD34" s="13"/>
      <c r="AE34" s="13"/>
      <c r="AF34" s="236">
        <f t="shared" si="1"/>
        <v>4.9999999999954527E-5</v>
      </c>
      <c r="AH34" s="121"/>
      <c r="AI34" s="120">
        <v>29</v>
      </c>
      <c r="AJ34" s="118" t="b">
        <v>1</v>
      </c>
      <c r="AK34" s="118" t="str">
        <v>M9</v>
      </c>
      <c r="AL34" s="192" t="str">
        <f t="shared" si="2"/>
        <v>USDFUT3MM9ConvAdj_Quote</v>
      </c>
      <c r="AM34" s="191" t="str">
        <f>_xll.qlFuturesConvAdjustmentQuote(AL34,IborIndex,AK34,F34,Volatility,MeanReversion,Permanent,AND(ISERROR(Z34),ISERROR(FuturesHWConvAdj!Q33:Q34)),ObjectOverwrite)</f>
        <v>USDFUT3MM9ConvAdj_Quote#0370</v>
      </c>
      <c r="AN34" s="48" t="str">
        <f>_xll.ohRangeRetrieveError(AM34)</f>
        <v/>
      </c>
      <c r="AO34" s="23"/>
    </row>
    <row r="35" spans="1:41" x14ac:dyDescent="0.2">
      <c r="A35" s="121"/>
      <c r="B35" s="120">
        <v>30</v>
      </c>
      <c r="C35" s="119" t="b">
        <v>1</v>
      </c>
      <c r="D35" s="118" t="str">
        <v>U9</v>
      </c>
      <c r="E35" s="117" t="str">
        <f t="shared" si="0"/>
        <v>USDFUT3MU9_Quote</v>
      </c>
      <c r="F35" s="116" t="str">
        <f>_xll.qlSimpleQuote(E35,,PriceTickValue,Permanent,Trigger,ObjectOverwrite)</f>
        <v>USDFUT3MU9_Quote#0000</v>
      </c>
      <c r="G35" s="79" t="str">
        <f>_xll.ohRangeRetrieveError(F35)</f>
        <v/>
      </c>
      <c r="H35" s="115"/>
      <c r="J35" s="273"/>
      <c r="K35" s="279">
        <v>30</v>
      </c>
      <c r="L35" s="278" t="b">
        <v>1</v>
      </c>
      <c r="M35" s="199" t="str">
        <v>U9</v>
      </c>
      <c r="N35" s="277">
        <v>43726</v>
      </c>
      <c r="O35" s="199" t="str">
        <v>EDU9</v>
      </c>
      <c r="P35" s="276">
        <v>43724</v>
      </c>
      <c r="Q35" s="199">
        <v>96.24</v>
      </c>
      <c r="R35" s="199">
        <v>96.245000000000005</v>
      </c>
      <c r="S35" s="199">
        <v>96.24</v>
      </c>
      <c r="T35" s="199">
        <v>96.23</v>
      </c>
      <c r="U35" s="203">
        <f>_xll.qlMidSafe($Q35,$R35)</f>
        <v>96.242500000000007</v>
      </c>
      <c r="V35" s="201"/>
      <c r="W35" s="275">
        <v>96.237499999999997</v>
      </c>
      <c r="X35" s="201"/>
      <c r="Y35" s="274">
        <v>96.242500000000007</v>
      </c>
      <c r="Z35" s="203">
        <f>_xll.qlSimpleQuoteSetValue(F35,Y35,Trigger)</f>
        <v>0</v>
      </c>
      <c r="AA35" s="23"/>
      <c r="AB35" s="13"/>
      <c r="AC35" s="13"/>
      <c r="AD35" s="13"/>
      <c r="AE35" s="13"/>
      <c r="AF35" s="236">
        <f t="shared" si="1"/>
        <v>4.9999999999954527E-5</v>
      </c>
      <c r="AH35" s="121"/>
      <c r="AI35" s="120">
        <v>30</v>
      </c>
      <c r="AJ35" s="118" t="b">
        <v>1</v>
      </c>
      <c r="AK35" s="118" t="str">
        <v>U9</v>
      </c>
      <c r="AL35" s="192" t="str">
        <f t="shared" si="2"/>
        <v>USDFUT3MU9ConvAdj_Quote</v>
      </c>
      <c r="AM35" s="191" t="str">
        <f>_xll.qlFuturesConvAdjustmentQuote(AL35,IborIndex,AK35,F35,Volatility,MeanReversion,Permanent,AND(ISERROR(Z35),ISERROR(FuturesHWConvAdj!Q34:Q35)),ObjectOverwrite)</f>
        <v>USDFUT3MU9ConvAdj_Quote#0370</v>
      </c>
      <c r="AN35" s="48" t="str">
        <f>_xll.ohRangeRetrieveError(AM35)</f>
        <v/>
      </c>
      <c r="AO35" s="23"/>
    </row>
    <row r="36" spans="1:41" x14ac:dyDescent="0.2">
      <c r="A36" s="121"/>
      <c r="B36" s="120">
        <v>31</v>
      </c>
      <c r="C36" s="119" t="b">
        <v>1</v>
      </c>
      <c r="D36" s="118" t="str">
        <v>Z9</v>
      </c>
      <c r="E36" s="117" t="str">
        <f t="shared" si="0"/>
        <v>USDFUT3MZ9_Quote</v>
      </c>
      <c r="F36" s="116" t="str">
        <f>_xll.qlSimpleQuote(E36,,PriceTickValue,Permanent,Trigger,ObjectOverwrite)</f>
        <v>USDFUT3MZ9_Quote#0000</v>
      </c>
      <c r="G36" s="79" t="str">
        <f>_xll.ohRangeRetrieveError(F36)</f>
        <v/>
      </c>
      <c r="H36" s="115"/>
      <c r="J36" s="273"/>
      <c r="K36" s="279">
        <v>31</v>
      </c>
      <c r="L36" s="278" t="b">
        <v>1</v>
      </c>
      <c r="M36" s="199" t="str">
        <v>Z9</v>
      </c>
      <c r="N36" s="277">
        <v>43817</v>
      </c>
      <c r="O36" s="199" t="str">
        <v>EDZ9</v>
      </c>
      <c r="P36" s="276">
        <v>43815</v>
      </c>
      <c r="Q36" s="199">
        <v>96.155000000000001</v>
      </c>
      <c r="R36" s="199">
        <v>96.16</v>
      </c>
      <c r="S36" s="199">
        <v>96.16</v>
      </c>
      <c r="T36" s="199">
        <v>96.144999999999996</v>
      </c>
      <c r="U36" s="203">
        <f>_xll.qlMidSafe($Q36,$R36)</f>
        <v>96.157499999999999</v>
      </c>
      <c r="V36" s="201"/>
      <c r="W36" s="275">
        <v>96.157499999999999</v>
      </c>
      <c r="X36" s="201"/>
      <c r="Y36" s="274">
        <v>96.157499999999999</v>
      </c>
      <c r="Z36" s="203">
        <f>_xll.qlSimpleQuoteSetValue(F36,Y36,Trigger)</f>
        <v>0</v>
      </c>
      <c r="AA36" s="23"/>
      <c r="AB36" s="13"/>
      <c r="AC36" s="13"/>
      <c r="AD36" s="13"/>
      <c r="AE36" s="13"/>
      <c r="AF36" s="236">
        <f t="shared" si="1"/>
        <v>4.9999999999954527E-5</v>
      </c>
      <c r="AH36" s="121"/>
      <c r="AI36" s="120">
        <v>31</v>
      </c>
      <c r="AJ36" s="118" t="b">
        <v>1</v>
      </c>
      <c r="AK36" s="118" t="str">
        <v>Z9</v>
      </c>
      <c r="AL36" s="192" t="str">
        <f t="shared" si="2"/>
        <v>USDFUT3MZ9ConvAdj_Quote</v>
      </c>
      <c r="AM36" s="191" t="str">
        <f>_xll.qlFuturesConvAdjustmentQuote(AL36,IborIndex,AK36,F36,Volatility,MeanReversion,Permanent,AND(ISERROR(Z36),ISERROR(FuturesHWConvAdj!Q35:Q36)),ObjectOverwrite)</f>
        <v>USDFUT3MZ9ConvAdj_Quote#0370</v>
      </c>
      <c r="AN36" s="48" t="str">
        <f>_xll.ohRangeRetrieveError(AM36)</f>
        <v/>
      </c>
      <c r="AO36" s="23"/>
    </row>
    <row r="37" spans="1:41" x14ac:dyDescent="0.2">
      <c r="A37" s="121"/>
      <c r="B37" s="120">
        <v>32</v>
      </c>
      <c r="C37" s="119" t="b">
        <v>1</v>
      </c>
      <c r="D37" s="118" t="str">
        <v>H0</v>
      </c>
      <c r="E37" s="117" t="str">
        <f t="shared" si="0"/>
        <v>USDFUT3MH0_Quote</v>
      </c>
      <c r="F37" s="116" t="str">
        <f>_xll.qlSimpleQuote(E37,,PriceTickValue,Permanent,Trigger,ObjectOverwrite)</f>
        <v>USDFUT3MH0_Quote#0000</v>
      </c>
      <c r="G37" s="79" t="str">
        <f>_xll.ohRangeRetrieveError(F37)</f>
        <v/>
      </c>
      <c r="H37" s="115"/>
      <c r="J37" s="273"/>
      <c r="K37" s="279">
        <v>32</v>
      </c>
      <c r="L37" s="278" t="b">
        <v>1</v>
      </c>
      <c r="M37" s="199" t="str">
        <v>H0</v>
      </c>
      <c r="N37" s="277">
        <v>43908</v>
      </c>
      <c r="O37" s="199" t="str">
        <v>EDH0</v>
      </c>
      <c r="P37" s="276">
        <v>43906</v>
      </c>
      <c r="Q37" s="199">
        <v>96.09</v>
      </c>
      <c r="R37" s="199">
        <v>96.094999999999999</v>
      </c>
      <c r="S37" s="199">
        <v>96.084999999999994</v>
      </c>
      <c r="T37" s="199">
        <v>96.08</v>
      </c>
      <c r="U37" s="203">
        <f>_xll.qlMidSafe($Q37,$R37)</f>
        <v>96.092500000000001</v>
      </c>
      <c r="V37" s="201"/>
      <c r="W37" s="275">
        <v>96.092500000000001</v>
      </c>
      <c r="X37" s="201"/>
      <c r="Y37" s="274">
        <v>96.092500000000001</v>
      </c>
      <c r="Z37" s="203">
        <f>_xll.qlSimpleQuoteSetValue(F37,Y37,Trigger)</f>
        <v>-2.4999999999977263E-3</v>
      </c>
      <c r="AA37" s="23"/>
      <c r="AB37" s="13"/>
      <c r="AC37" s="13"/>
      <c r="AD37" s="13"/>
      <c r="AE37" s="13"/>
      <c r="AF37" s="236">
        <f t="shared" si="1"/>
        <v>4.9999999999954527E-5</v>
      </c>
      <c r="AH37" s="121"/>
      <c r="AI37" s="120">
        <v>32</v>
      </c>
      <c r="AJ37" s="118" t="b">
        <v>1</v>
      </c>
      <c r="AK37" s="118" t="str">
        <v>H0</v>
      </c>
      <c r="AL37" s="192" t="str">
        <f t="shared" si="2"/>
        <v>USDFUT3MH0ConvAdj_Quote</v>
      </c>
      <c r="AM37" s="191" t="str">
        <f>_xll.qlFuturesConvAdjustmentQuote(AL37,IborIndex,AK37,F37,Volatility,MeanReversion,Permanent,AND(ISERROR(Z37),ISERROR(FuturesHWConvAdj!Q36:Q37)),ObjectOverwrite)</f>
        <v>USDFUT3MH0ConvAdj_Quote#0370</v>
      </c>
      <c r="AN37" s="48" t="str">
        <f>_xll.ohRangeRetrieveError(AM37)</f>
        <v/>
      </c>
      <c r="AO37" s="23"/>
    </row>
    <row r="38" spans="1:41" x14ac:dyDescent="0.2">
      <c r="A38" s="121"/>
      <c r="B38" s="120">
        <v>33</v>
      </c>
      <c r="C38" s="119" t="b">
        <v>1</v>
      </c>
      <c r="D38" s="118" t="str">
        <v>M0</v>
      </c>
      <c r="E38" s="117" t="str">
        <f t="shared" ref="E38:E47" si="3">Currency&amp;$D$4&amp;$E$4&amp;$D38&amp;QuoteSuffix</f>
        <v>USDFUT3MM0_Quote</v>
      </c>
      <c r="F38" s="116" t="str">
        <f>_xll.qlSimpleQuote(E38,,PriceTickValue,Permanent,Trigger,ObjectOverwrite)</f>
        <v>USDFUT3MM0_Quote#0000</v>
      </c>
      <c r="G38" s="79" t="str">
        <f>_xll.ohRangeRetrieveError(F38)</f>
        <v/>
      </c>
      <c r="H38" s="115"/>
      <c r="J38" s="273"/>
      <c r="K38" s="279">
        <v>33</v>
      </c>
      <c r="L38" s="278" t="b">
        <v>1</v>
      </c>
      <c r="M38" s="199" t="str">
        <v>M0</v>
      </c>
      <c r="N38" s="277">
        <v>43999</v>
      </c>
      <c r="O38" s="199" t="str">
        <v>EDM0</v>
      </c>
      <c r="P38" s="276">
        <v>43997</v>
      </c>
      <c r="Q38" s="199">
        <v>96.025000000000006</v>
      </c>
      <c r="R38" s="199">
        <v>96.034999999999997</v>
      </c>
      <c r="S38" s="199">
        <v>96.025000000000006</v>
      </c>
      <c r="T38" s="199">
        <v>96.02</v>
      </c>
      <c r="U38" s="203">
        <f>_xll.qlMidSafe($Q38,$R38)</f>
        <v>96.03</v>
      </c>
      <c r="V38" s="201"/>
      <c r="W38" s="275">
        <v>96.03</v>
      </c>
      <c r="X38" s="201"/>
      <c r="Y38" s="274">
        <v>96.03</v>
      </c>
      <c r="Z38" s="203">
        <f>_xll.qlSimpleQuoteSetValue(F38,Y38,Trigger)</f>
        <v>0</v>
      </c>
      <c r="AA38" s="23"/>
      <c r="AB38" s="13"/>
      <c r="AC38" s="13"/>
      <c r="AD38" s="13"/>
      <c r="AE38" s="13"/>
      <c r="AF38" s="236">
        <f t="shared" si="1"/>
        <v>9.9999999999909054E-5</v>
      </c>
      <c r="AH38" s="121"/>
      <c r="AI38" s="120">
        <v>33</v>
      </c>
      <c r="AJ38" s="118" t="b">
        <v>1</v>
      </c>
      <c r="AK38" s="118" t="str">
        <v>M0</v>
      </c>
      <c r="AL38" s="192" t="str">
        <f t="shared" si="2"/>
        <v>USDFUT3MM0ConvAdj_Quote</v>
      </c>
      <c r="AM38" s="191" t="str">
        <f>_xll.qlFuturesConvAdjustmentQuote(AL38,IborIndex,AK38,F38,Volatility,MeanReversion,Permanent,AND(ISERROR(Z38),ISERROR(FuturesHWConvAdj!Q37:Q38)),ObjectOverwrite)</f>
        <v>USDFUT3MM0ConvAdj_Quote#0370</v>
      </c>
      <c r="AN38" s="48" t="str">
        <f>_xll.ohRangeRetrieveError(AM38)</f>
        <v/>
      </c>
      <c r="AO38" s="23"/>
    </row>
    <row r="39" spans="1:41" x14ac:dyDescent="0.2">
      <c r="A39" s="121"/>
      <c r="B39" s="120">
        <v>34</v>
      </c>
      <c r="C39" s="119" t="b">
        <v>1</v>
      </c>
      <c r="D39" s="118" t="str">
        <v>U0</v>
      </c>
      <c r="E39" s="117" t="str">
        <f t="shared" si="3"/>
        <v>USDFUT3MU0_Quote</v>
      </c>
      <c r="F39" s="116" t="str">
        <f>_xll.qlSimpleQuote(E39,,PriceTickValue,Permanent,Trigger,ObjectOverwrite)</f>
        <v>USDFUT3MU0_Quote#0000</v>
      </c>
      <c r="G39" s="79" t="str">
        <f>_xll.ohRangeRetrieveError(F39)</f>
        <v/>
      </c>
      <c r="H39" s="115"/>
      <c r="J39" s="273"/>
      <c r="K39" s="279">
        <v>34</v>
      </c>
      <c r="L39" s="278" t="b">
        <v>1</v>
      </c>
      <c r="M39" s="199" t="str">
        <v>U0</v>
      </c>
      <c r="N39" s="277">
        <v>44090</v>
      </c>
      <c r="O39" s="199" t="str">
        <v>EDU0</v>
      </c>
      <c r="P39" s="276">
        <v>44088</v>
      </c>
      <c r="Q39" s="199">
        <v>95.965000000000003</v>
      </c>
      <c r="R39" s="199">
        <v>95.98</v>
      </c>
      <c r="S39" s="199">
        <v>95.98</v>
      </c>
      <c r="T39" s="199">
        <v>95.96</v>
      </c>
      <c r="U39" s="203">
        <f>_xll.qlMidSafe($Q39,$R39)</f>
        <v>95.972499999999997</v>
      </c>
      <c r="V39" s="201"/>
      <c r="W39" s="275">
        <v>95.967500000000001</v>
      </c>
      <c r="X39" s="201"/>
      <c r="Y39" s="274">
        <v>95.972499999999997</v>
      </c>
      <c r="Z39" s="203">
        <f>_xll.qlSimpleQuoteSetValue(F39,Y39,Trigger)</f>
        <v>-2.4999999999977263E-3</v>
      </c>
      <c r="AA39" s="23"/>
      <c r="AB39" s="13"/>
      <c r="AC39" s="13"/>
      <c r="AD39" s="13"/>
      <c r="AE39" s="13"/>
      <c r="AF39" s="236">
        <f t="shared" si="1"/>
        <v>1.5000000000014779E-4</v>
      </c>
      <c r="AH39" s="121"/>
      <c r="AI39" s="120">
        <v>34</v>
      </c>
      <c r="AJ39" s="118" t="b">
        <v>1</v>
      </c>
      <c r="AK39" s="118" t="str">
        <v>U0</v>
      </c>
      <c r="AL39" s="192" t="str">
        <f t="shared" si="2"/>
        <v>USDFUT3MU0ConvAdj_Quote</v>
      </c>
      <c r="AM39" s="191" t="str">
        <f>_xll.qlFuturesConvAdjustmentQuote(AL39,IborIndex,AK39,F39,Volatility,MeanReversion,Permanent,AND(ISERROR(Z39),ISERROR(FuturesHWConvAdj!Q38:Q39)),ObjectOverwrite)</f>
        <v>USDFUT3MU0ConvAdj_Quote#0370</v>
      </c>
      <c r="AN39" s="48" t="str">
        <f>_xll.ohRangeRetrieveError(AM39)</f>
        <v/>
      </c>
      <c r="AO39" s="23"/>
    </row>
    <row r="40" spans="1:41" x14ac:dyDescent="0.2">
      <c r="A40" s="121"/>
      <c r="B40" s="120">
        <v>35</v>
      </c>
      <c r="C40" s="119" t="b">
        <v>1</v>
      </c>
      <c r="D40" s="118" t="str">
        <v>Z0</v>
      </c>
      <c r="E40" s="117" t="str">
        <f t="shared" si="3"/>
        <v>USDFUT3MZ0_Quote</v>
      </c>
      <c r="F40" s="116" t="str">
        <f>_xll.qlSimpleQuote(E40,,PriceTickValue,Permanent,Trigger,ObjectOverwrite)</f>
        <v>USDFUT3MZ0_Quote#0000</v>
      </c>
      <c r="G40" s="79" t="str">
        <f>_xll.ohRangeRetrieveError(F40)</f>
        <v/>
      </c>
      <c r="H40" s="115"/>
      <c r="J40" s="273"/>
      <c r="K40" s="279">
        <v>35</v>
      </c>
      <c r="L40" s="278" t="b">
        <v>1</v>
      </c>
      <c r="M40" s="199" t="str">
        <v>Z0</v>
      </c>
      <c r="N40" s="277">
        <v>44181</v>
      </c>
      <c r="O40" s="199" t="str">
        <v>EDZ0</v>
      </c>
      <c r="P40" s="276">
        <v>44179</v>
      </c>
      <c r="Q40" s="199">
        <v>95.905000000000001</v>
      </c>
      <c r="R40" s="199">
        <v>95.92</v>
      </c>
      <c r="S40" s="199">
        <v>95.91</v>
      </c>
      <c r="T40" s="199">
        <v>95.9</v>
      </c>
      <c r="U40" s="203">
        <f>_xll.qlMidSafe($Q40,$R40)</f>
        <v>95.912499999999994</v>
      </c>
      <c r="V40" s="201"/>
      <c r="W40" s="275">
        <v>95.91</v>
      </c>
      <c r="X40" s="201"/>
      <c r="Y40" s="274">
        <v>95.912499999999994</v>
      </c>
      <c r="Z40" s="203">
        <f>_xll.qlSimpleQuoteSetValue(F40,Y40,Trigger)</f>
        <v>2.4999999999977263E-3</v>
      </c>
      <c r="AA40" s="23"/>
      <c r="AB40" s="13"/>
      <c r="AC40" s="13"/>
      <c r="AD40" s="13"/>
      <c r="AE40" s="13"/>
      <c r="AF40" s="236">
        <f t="shared" si="1"/>
        <v>1.5000000000014779E-4</v>
      </c>
      <c r="AH40" s="121"/>
      <c r="AI40" s="120">
        <v>35</v>
      </c>
      <c r="AJ40" s="118" t="b">
        <v>1</v>
      </c>
      <c r="AK40" s="118" t="str">
        <v>Z0</v>
      </c>
      <c r="AL40" s="192" t="str">
        <f t="shared" si="2"/>
        <v>USDFUT3MZ0ConvAdj_Quote</v>
      </c>
      <c r="AM40" s="191" t="str">
        <f>_xll.qlFuturesConvAdjustmentQuote(AL40,IborIndex,AK40,F40,Volatility,MeanReversion,Permanent,AND(ISERROR(Z40),ISERROR(FuturesHWConvAdj!Q39:Q40)),ObjectOverwrite)</f>
        <v>USDFUT3MZ0ConvAdj_Quote#0370</v>
      </c>
      <c r="AN40" s="48" t="str">
        <f>_xll.ohRangeRetrieveError(AM40)</f>
        <v/>
      </c>
      <c r="AO40" s="23"/>
    </row>
    <row r="41" spans="1:41" x14ac:dyDescent="0.2">
      <c r="A41" s="121"/>
      <c r="B41" s="120">
        <v>36</v>
      </c>
      <c r="C41" s="119" t="b">
        <v>1</v>
      </c>
      <c r="D41" s="118" t="str">
        <v>H1</v>
      </c>
      <c r="E41" s="117" t="str">
        <f t="shared" si="3"/>
        <v>USDFUT3MH1_Quote</v>
      </c>
      <c r="F41" s="116" t="str">
        <f>_xll.qlSimpleQuote(E41,,PriceTickValue,Permanent,Trigger,ObjectOverwrite)</f>
        <v>USDFUT3MH1_Quote#0000</v>
      </c>
      <c r="G41" s="79" t="str">
        <f>_xll.ohRangeRetrieveError(F41)</f>
        <v/>
      </c>
      <c r="H41" s="115"/>
      <c r="J41" s="273"/>
      <c r="K41" s="279">
        <v>36</v>
      </c>
      <c r="L41" s="278" t="b">
        <v>1</v>
      </c>
      <c r="M41" s="199" t="str">
        <v>H1</v>
      </c>
      <c r="N41" s="277">
        <v>44272</v>
      </c>
      <c r="O41" s="199" t="str">
        <v>EDH1</v>
      </c>
      <c r="P41" s="276">
        <v>44270</v>
      </c>
      <c r="Q41" s="199">
        <v>95.86</v>
      </c>
      <c r="R41" s="199">
        <v>95.88</v>
      </c>
      <c r="S41" s="199">
        <v>0</v>
      </c>
      <c r="T41" s="199">
        <v>95.86</v>
      </c>
      <c r="U41" s="203">
        <f>_xll.qlMidSafe($Q41,$R41)</f>
        <v>95.87</v>
      </c>
      <c r="V41" s="201"/>
      <c r="W41" s="275">
        <v>95.865000000000009</v>
      </c>
      <c r="X41" s="201"/>
      <c r="Y41" s="274">
        <v>95.87</v>
      </c>
      <c r="Z41" s="203">
        <f>_xll.qlSimpleQuoteSetValue(F41,Y41,Trigger)</f>
        <v>-2.4999999999977263E-3</v>
      </c>
      <c r="AA41" s="23"/>
      <c r="AB41" s="13"/>
      <c r="AC41" s="13"/>
      <c r="AD41" s="13"/>
      <c r="AE41" s="13"/>
      <c r="AF41" s="236">
        <f t="shared" si="1"/>
        <v>1.9999999999981811E-4</v>
      </c>
      <c r="AH41" s="121"/>
      <c r="AI41" s="120">
        <v>36</v>
      </c>
      <c r="AJ41" s="118" t="b">
        <v>1</v>
      </c>
      <c r="AK41" s="118" t="str">
        <v>H1</v>
      </c>
      <c r="AL41" s="192" t="str">
        <f t="shared" si="2"/>
        <v>USDFUT3MH1ConvAdj_Quote</v>
      </c>
      <c r="AM41" s="191" t="str">
        <f>_xll.qlFuturesConvAdjustmentQuote(AL41,IborIndex,AK41,F41,Volatility,MeanReversion,Permanent,AND(ISERROR(Z41),ISERROR(FuturesHWConvAdj!Q40:Q41)),ObjectOverwrite)</f>
        <v>USDFUT3MH1ConvAdj_Quote#0370</v>
      </c>
      <c r="AN41" s="48" t="str">
        <f>_xll.ohRangeRetrieveError(AM41)</f>
        <v/>
      </c>
      <c r="AO41" s="23"/>
    </row>
    <row r="42" spans="1:41" x14ac:dyDescent="0.2">
      <c r="A42" s="121"/>
      <c r="B42" s="120">
        <v>37</v>
      </c>
      <c r="C42" s="119" t="b">
        <v>1</v>
      </c>
      <c r="D42" s="118" t="str">
        <v>M1</v>
      </c>
      <c r="E42" s="117" t="str">
        <f t="shared" si="3"/>
        <v>USDFUT3MM1_Quote</v>
      </c>
      <c r="F42" s="116" t="str">
        <f>_xll.qlSimpleQuote(E42,,PriceTickValue,Permanent,Trigger,ObjectOverwrite)</f>
        <v>USDFUT3MM1_Quote#0000</v>
      </c>
      <c r="G42" s="79" t="str">
        <f>_xll.ohRangeRetrieveError(F42)</f>
        <v/>
      </c>
      <c r="H42" s="115"/>
      <c r="J42" s="273"/>
      <c r="K42" s="279">
        <v>37</v>
      </c>
      <c r="L42" s="278" t="b">
        <v>1</v>
      </c>
      <c r="M42" s="199" t="str">
        <v>M1</v>
      </c>
      <c r="N42" s="277">
        <v>44363</v>
      </c>
      <c r="O42" s="199" t="str">
        <v>EDM1</v>
      </c>
      <c r="P42" s="276">
        <v>44361</v>
      </c>
      <c r="Q42" s="199">
        <v>95.795000000000002</v>
      </c>
      <c r="R42" s="199">
        <v>95.86</v>
      </c>
      <c r="S42" s="199">
        <v>0</v>
      </c>
      <c r="T42" s="199">
        <v>95.814999999999998</v>
      </c>
      <c r="U42" s="203">
        <f>_xll.qlMidSafe($Q42,$R42)</f>
        <v>95.827500000000001</v>
      </c>
      <c r="V42" s="201"/>
      <c r="W42" s="275">
        <v>95.825000000000003</v>
      </c>
      <c r="X42" s="201"/>
      <c r="Y42" s="274">
        <v>95.827500000000001</v>
      </c>
      <c r="Z42" s="203">
        <f>_xll.qlSimpleQuoteSetValue(F42,Y42,Trigger)</f>
        <v>0</v>
      </c>
      <c r="AA42" s="23"/>
      <c r="AB42" s="13"/>
      <c r="AC42" s="13"/>
      <c r="AD42" s="13"/>
      <c r="AE42" s="13"/>
      <c r="AF42" s="236">
        <f t="shared" si="1"/>
        <v>6.4999999999997731E-4</v>
      </c>
      <c r="AH42" s="121"/>
      <c r="AI42" s="120">
        <v>37</v>
      </c>
      <c r="AJ42" s="118" t="b">
        <v>1</v>
      </c>
      <c r="AK42" s="118" t="str">
        <v>M1</v>
      </c>
      <c r="AL42" s="192" t="str">
        <f t="shared" si="2"/>
        <v>USDFUT3MM1ConvAdj_Quote</v>
      </c>
      <c r="AM42" s="191" t="str">
        <f>_xll.qlFuturesConvAdjustmentQuote(AL42,IborIndex,AK42,F42,Volatility,MeanReversion,Permanent,AND(ISERROR(Z42),ISERROR(FuturesHWConvAdj!Q41:Q42)),ObjectOverwrite)</f>
        <v>USDFUT3MM1ConvAdj_Quote#0370</v>
      </c>
      <c r="AN42" s="48" t="str">
        <f>_xll.ohRangeRetrieveError(AM42)</f>
        <v/>
      </c>
      <c r="AO42" s="23"/>
    </row>
    <row r="43" spans="1:41" x14ac:dyDescent="0.2">
      <c r="A43" s="121"/>
      <c r="B43" s="120">
        <v>38</v>
      </c>
      <c r="C43" s="119" t="b">
        <v>1</v>
      </c>
      <c r="D43" s="118" t="str">
        <v>U1</v>
      </c>
      <c r="E43" s="117" t="str">
        <f t="shared" si="3"/>
        <v>USDFUT3MU1_Quote</v>
      </c>
      <c r="F43" s="116" t="str">
        <f>_xll.qlSimpleQuote(E43,,PriceTickValue,Permanent,Trigger,ObjectOverwrite)</f>
        <v>USDFUT3MU1_Quote#0000</v>
      </c>
      <c r="G43" s="79" t="str">
        <f>_xll.ohRangeRetrieveError(F43)</f>
        <v/>
      </c>
      <c r="H43" s="115"/>
      <c r="J43" s="273"/>
      <c r="K43" s="279">
        <v>38</v>
      </c>
      <c r="L43" s="278" t="b">
        <v>1</v>
      </c>
      <c r="M43" s="199" t="str">
        <v>U1</v>
      </c>
      <c r="N43" s="277">
        <v>44454</v>
      </c>
      <c r="O43" s="199" t="str">
        <v>EDU1</v>
      </c>
      <c r="P43" s="276">
        <v>44452</v>
      </c>
      <c r="Q43" s="199">
        <v>95.75</v>
      </c>
      <c r="R43" s="199">
        <v>95.83</v>
      </c>
      <c r="S43" s="199">
        <v>0</v>
      </c>
      <c r="T43" s="199">
        <v>95.78</v>
      </c>
      <c r="U43" s="203">
        <f>_xll.qlMidSafe($Q43,$R43)</f>
        <v>95.789999999999992</v>
      </c>
      <c r="V43" s="201"/>
      <c r="W43" s="275">
        <v>95.787499999999994</v>
      </c>
      <c r="X43" s="201"/>
      <c r="Y43" s="274">
        <v>95.789999999999992</v>
      </c>
      <c r="Z43" s="203">
        <f>_xll.qlSimpleQuoteSetValue(F43,Y43,Trigger)</f>
        <v>0</v>
      </c>
      <c r="AA43" s="23"/>
      <c r="AB43" s="13"/>
      <c r="AC43" s="13"/>
      <c r="AD43" s="13"/>
      <c r="AE43" s="13"/>
      <c r="AF43" s="236">
        <f t="shared" si="1"/>
        <v>8.0000000000012505E-4</v>
      </c>
      <c r="AH43" s="121"/>
      <c r="AI43" s="120">
        <v>38</v>
      </c>
      <c r="AJ43" s="118" t="b">
        <v>1</v>
      </c>
      <c r="AK43" s="118" t="str">
        <v>U1</v>
      </c>
      <c r="AL43" s="192" t="str">
        <f t="shared" si="2"/>
        <v>USDFUT3MU1ConvAdj_Quote</v>
      </c>
      <c r="AM43" s="191" t="str">
        <f>_xll.qlFuturesConvAdjustmentQuote(AL43,IborIndex,AK43,F43,Volatility,MeanReversion,Permanent,AND(ISERROR(Z43),ISERROR(FuturesHWConvAdj!Q42:Q43)),ObjectOverwrite)</f>
        <v>USDFUT3MU1ConvAdj_Quote#0370</v>
      </c>
      <c r="AN43" s="48" t="str">
        <f>_xll.ohRangeRetrieveError(AM43)</f>
        <v/>
      </c>
      <c r="AO43" s="23"/>
    </row>
    <row r="44" spans="1:41" x14ac:dyDescent="0.2">
      <c r="A44" s="121"/>
      <c r="B44" s="120">
        <v>39</v>
      </c>
      <c r="C44" s="119" t="b">
        <v>1</v>
      </c>
      <c r="D44" s="118" t="str">
        <v>Z1</v>
      </c>
      <c r="E44" s="117" t="str">
        <f t="shared" si="3"/>
        <v>USDFUT3MZ1_Quote</v>
      </c>
      <c r="F44" s="116" t="str">
        <f>_xll.qlSimpleQuote(E44,,PriceTickValue,Permanent,Trigger,ObjectOverwrite)</f>
        <v>USDFUT3MZ1_Quote#0000</v>
      </c>
      <c r="G44" s="79" t="str">
        <f>_xll.ohRangeRetrieveError(F44)</f>
        <v/>
      </c>
      <c r="H44" s="115"/>
      <c r="J44" s="273"/>
      <c r="K44" s="279">
        <v>39</v>
      </c>
      <c r="L44" s="278" t="b">
        <v>1</v>
      </c>
      <c r="M44" s="199" t="str">
        <v>Z1</v>
      </c>
      <c r="N44" s="277">
        <v>44545</v>
      </c>
      <c r="O44" s="199" t="str">
        <v>EDZ1</v>
      </c>
      <c r="P44" s="276">
        <v>44543</v>
      </c>
      <c r="Q44" s="199">
        <v>95.704999999999998</v>
      </c>
      <c r="R44" s="199">
        <v>95.79</v>
      </c>
      <c r="S44" s="199">
        <v>0</v>
      </c>
      <c r="T44" s="199">
        <v>95.734999999999999</v>
      </c>
      <c r="U44" s="203">
        <f>_xll.qlMidSafe($Q44,$R44)</f>
        <v>95.747500000000002</v>
      </c>
      <c r="V44" s="201"/>
      <c r="W44" s="275">
        <v>95.745000000000005</v>
      </c>
      <c r="X44" s="201"/>
      <c r="Y44" s="274">
        <v>95.747500000000002</v>
      </c>
      <c r="Z44" s="203">
        <f>_xll.qlSimpleQuoteSetValue(F44,Y44,Trigger)</f>
        <v>0</v>
      </c>
      <c r="AA44" s="23"/>
      <c r="AB44" s="13"/>
      <c r="AC44" s="13"/>
      <c r="AD44" s="13"/>
      <c r="AE44" s="13"/>
      <c r="AF44" s="236">
        <f t="shared" si="1"/>
        <v>8.5000000000007953E-4</v>
      </c>
      <c r="AH44" s="121"/>
      <c r="AI44" s="120">
        <v>39</v>
      </c>
      <c r="AJ44" s="118" t="b">
        <v>1</v>
      </c>
      <c r="AK44" s="118" t="str">
        <v>Z1</v>
      </c>
      <c r="AL44" s="192" t="str">
        <f t="shared" si="2"/>
        <v>USDFUT3MZ1ConvAdj_Quote</v>
      </c>
      <c r="AM44" s="191" t="str">
        <f>_xll.qlFuturesConvAdjustmentQuote(AL44,IborIndex,AK44,F44,Volatility,MeanReversion,Permanent,AND(ISERROR(Z44),ISERROR(FuturesHWConvAdj!Q43:Q44)),ObjectOverwrite)</f>
        <v>USDFUT3MZ1ConvAdj_Quote#0370</v>
      </c>
      <c r="AN44" s="48" t="str">
        <f>_xll.ohRangeRetrieveError(AM44)</f>
        <v/>
      </c>
      <c r="AO44" s="23"/>
    </row>
    <row r="45" spans="1:41" x14ac:dyDescent="0.2">
      <c r="A45" s="121"/>
      <c r="B45" s="120">
        <v>40</v>
      </c>
      <c r="C45" s="119" t="b">
        <v>1</v>
      </c>
      <c r="D45" s="118" t="str">
        <v>H2</v>
      </c>
      <c r="E45" s="117" t="str">
        <f t="shared" si="3"/>
        <v>USDFUT3MH2_Quote</v>
      </c>
      <c r="F45" s="116" t="str">
        <f>_xll.qlSimpleQuote(E45,,PriceTickValue,Permanent,Trigger,ObjectOverwrite)</f>
        <v>USDFUT3MH2_Quote#0000</v>
      </c>
      <c r="G45" s="79" t="str">
        <f>_xll.ohRangeRetrieveError(F45)</f>
        <v/>
      </c>
      <c r="H45" s="115"/>
      <c r="J45" s="273"/>
      <c r="K45" s="279">
        <v>40</v>
      </c>
      <c r="L45" s="278" t="b">
        <v>1</v>
      </c>
      <c r="M45" s="199" t="str">
        <v>H2</v>
      </c>
      <c r="N45" s="277">
        <v>44636</v>
      </c>
      <c r="O45" s="199" t="str">
        <v>EDH2</v>
      </c>
      <c r="P45" s="276">
        <v>44634</v>
      </c>
      <c r="Q45" s="199">
        <v>95.674999999999997</v>
      </c>
      <c r="R45" s="199">
        <v>95.77</v>
      </c>
      <c r="S45" s="199">
        <v>0</v>
      </c>
      <c r="T45" s="199">
        <v>95.704999999999998</v>
      </c>
      <c r="U45" s="203">
        <f>_xll.qlMidSafe($Q45,$R45)</f>
        <v>95.722499999999997</v>
      </c>
      <c r="V45" s="201"/>
      <c r="W45" s="275">
        <v>95.722499999999997</v>
      </c>
      <c r="X45" s="201"/>
      <c r="Y45" s="274">
        <v>95.722499999999997</v>
      </c>
      <c r="Z45" s="203">
        <f>_xll.qlSimpleQuoteSetValue(F45,Y45,Trigger)</f>
        <v>0</v>
      </c>
      <c r="AA45" s="23"/>
      <c r="AB45" s="13"/>
      <c r="AC45" s="13"/>
      <c r="AD45" s="13"/>
      <c r="AE45" s="13"/>
      <c r="AF45" s="236">
        <f t="shared" si="1"/>
        <v>9.4999999999998861E-4</v>
      </c>
      <c r="AH45" s="121"/>
      <c r="AI45" s="120">
        <v>40</v>
      </c>
      <c r="AJ45" s="118" t="b">
        <v>1</v>
      </c>
      <c r="AK45" s="118" t="str">
        <v>H2</v>
      </c>
      <c r="AL45" s="192" t="str">
        <f t="shared" si="2"/>
        <v>USDFUT3MH2ConvAdj_Quote</v>
      </c>
      <c r="AM45" s="191" t="str">
        <f>_xll.qlFuturesConvAdjustmentQuote(AL45,IborIndex,AK45,F45,Volatility,MeanReversion,Permanent,AND(ISERROR(Z45),ISERROR(FuturesHWConvAdj!Q44:Q45)),ObjectOverwrite)</f>
        <v>USDFUT3MH2ConvAdj_Quote#0370</v>
      </c>
      <c r="AN45" s="48" t="str">
        <f>_xll.ohRangeRetrieveError(AM45)</f>
        <v/>
      </c>
      <c r="AO45" s="23"/>
    </row>
    <row r="46" spans="1:41" x14ac:dyDescent="0.2">
      <c r="A46" s="121"/>
      <c r="B46" s="120">
        <v>41</v>
      </c>
      <c r="C46" s="119" t="b">
        <v>1</v>
      </c>
      <c r="D46" s="118" t="str">
        <v>M2</v>
      </c>
      <c r="E46" s="117" t="str">
        <f t="shared" si="3"/>
        <v>USDFUT3MM2_Quote</v>
      </c>
      <c r="F46" s="116" t="str">
        <f>_xll.qlSimpleQuote(E46,,PriceTickValue,Permanent,Trigger,ObjectOverwrite)</f>
        <v>USDFUT3MM2_Quote#0000</v>
      </c>
      <c r="G46" s="79" t="str">
        <f>_xll.ohRangeRetrieveError(F46)</f>
        <v/>
      </c>
      <c r="H46" s="115"/>
      <c r="J46" s="273"/>
      <c r="K46" s="279">
        <v>41</v>
      </c>
      <c r="L46" s="278" t="b">
        <v>1</v>
      </c>
      <c r="M46" s="199" t="str">
        <v>M2</v>
      </c>
      <c r="N46" s="277">
        <v>44727</v>
      </c>
      <c r="O46" s="199" t="str">
        <v>EDM2</v>
      </c>
      <c r="P46" s="276">
        <v>44725</v>
      </c>
      <c r="Q46" s="199">
        <v>95.64</v>
      </c>
      <c r="R46" s="199">
        <v>95.74</v>
      </c>
      <c r="S46" s="199">
        <v>0</v>
      </c>
      <c r="T46" s="199">
        <v>95.674999999999997</v>
      </c>
      <c r="U46" s="203">
        <f>_xll.qlMidSafe($Q46,$R46)</f>
        <v>95.69</v>
      </c>
      <c r="V46" s="201"/>
      <c r="W46" s="275">
        <v>95.69</v>
      </c>
      <c r="X46" s="201"/>
      <c r="Y46" s="274">
        <v>95.69</v>
      </c>
      <c r="Z46" s="203">
        <f>_xll.qlSimpleQuoteSetValue(F46,Y46,Trigger)</f>
        <v>0</v>
      </c>
      <c r="AA46" s="23"/>
      <c r="AB46" s="13"/>
      <c r="AC46" s="13"/>
      <c r="AD46" s="13"/>
      <c r="AE46" s="13"/>
      <c r="AF46" s="236">
        <f t="shared" si="1"/>
        <v>9.9999999999994321E-4</v>
      </c>
      <c r="AH46" s="121"/>
      <c r="AI46" s="120">
        <v>41</v>
      </c>
      <c r="AJ46" s="118" t="b">
        <v>1</v>
      </c>
      <c r="AK46" s="118" t="str">
        <v>M2</v>
      </c>
      <c r="AL46" s="192" t="str">
        <f t="shared" si="2"/>
        <v>USDFUT3MM2ConvAdj_Quote</v>
      </c>
      <c r="AM46" s="191" t="str">
        <f>_xll.qlFuturesConvAdjustmentQuote(AL46,IborIndex,AK46,F46,Volatility,MeanReversion,Permanent,AND(ISERROR(Z46),ISERROR(FuturesHWConvAdj!Q45:Q46)),ObjectOverwrite)</f>
        <v>USDFUT3MM2ConvAdj_Quote#0370</v>
      </c>
      <c r="AN46" s="48" t="str">
        <f>_xll.ohRangeRetrieveError(AM46)</f>
        <v/>
      </c>
      <c r="AO46" s="23"/>
    </row>
    <row r="47" spans="1:41" x14ac:dyDescent="0.2">
      <c r="A47" s="121"/>
      <c r="B47" s="120">
        <v>42</v>
      </c>
      <c r="C47" s="119" t="b">
        <v>1</v>
      </c>
      <c r="D47" s="118" t="str">
        <v>U2</v>
      </c>
      <c r="E47" s="117" t="str">
        <f t="shared" si="3"/>
        <v>USDFUT3MU2_Quote</v>
      </c>
      <c r="F47" s="116" t="str">
        <f>_xll.qlSimpleQuote(E47,,PriceTickValue,Permanent,Trigger,ObjectOverwrite)</f>
        <v>USDFUT3MU2_Quote#0000</v>
      </c>
      <c r="G47" s="79" t="str">
        <f>_xll.ohRangeRetrieveError(F47)</f>
        <v/>
      </c>
      <c r="H47" s="115"/>
      <c r="J47" s="273"/>
      <c r="K47" s="272">
        <v>42</v>
      </c>
      <c r="L47" s="271" t="b">
        <v>1</v>
      </c>
      <c r="M47" s="212" t="str">
        <v>U2</v>
      </c>
      <c r="N47" s="270">
        <v>44825</v>
      </c>
      <c r="O47" s="212" t="str">
        <v>EDU2</v>
      </c>
      <c r="P47" s="269">
        <v>44823</v>
      </c>
      <c r="Q47" s="212">
        <v>95.614999999999995</v>
      </c>
      <c r="R47" s="212">
        <v>95.72</v>
      </c>
      <c r="S47" s="212">
        <v>0</v>
      </c>
      <c r="T47" s="212">
        <v>95.65</v>
      </c>
      <c r="U47" s="215">
        <f>_xll.qlMidSafe($Q47,$R47)</f>
        <v>95.66749999999999</v>
      </c>
      <c r="V47" s="201"/>
      <c r="W47" s="268">
        <v>95.664999999999992</v>
      </c>
      <c r="X47" s="201"/>
      <c r="Y47" s="267">
        <v>95.66749999999999</v>
      </c>
      <c r="Z47" s="215">
        <f>_xll.qlSimpleQuoteSetValue(F47,Y47,Trigger)</f>
        <v>0</v>
      </c>
      <c r="AA47" s="23"/>
      <c r="AB47" s="13"/>
      <c r="AC47" s="13"/>
      <c r="AD47" s="13"/>
      <c r="AE47" s="13"/>
      <c r="AF47" s="236">
        <f t="shared" si="1"/>
        <v>1.0500000000001819E-3</v>
      </c>
      <c r="AH47" s="121"/>
      <c r="AI47" s="120">
        <v>42</v>
      </c>
      <c r="AJ47" s="118" t="b">
        <v>1</v>
      </c>
      <c r="AK47" s="118" t="str">
        <v>U2</v>
      </c>
      <c r="AL47" s="192" t="str">
        <f t="shared" si="2"/>
        <v>USDFUT3MU2ConvAdj_Quote</v>
      </c>
      <c r="AM47" s="191" t="str">
        <f>_xll.qlFuturesConvAdjustmentQuote(AL47,IborIndex,AK47,F47,Volatility,MeanReversion,Permanent,AND(ISERROR(Z47),ISERROR(FuturesHWConvAdj!Q46:Q47)),ObjectOverwrite)</f>
        <v>USDFUT3MU2ConvAdj_Quote#0370</v>
      </c>
      <c r="AN47" s="48" t="str">
        <f>_xll.ohRangeRetrieveError(AM47)</f>
        <v/>
      </c>
      <c r="AO47" s="23"/>
    </row>
    <row r="48" spans="1:41" ht="12" thickBot="1" x14ac:dyDescent="0.25">
      <c r="A48" s="114"/>
      <c r="B48" s="113"/>
      <c r="C48" s="113"/>
      <c r="D48" s="113"/>
      <c r="E48" s="113"/>
      <c r="F48" s="113"/>
      <c r="G48" s="113"/>
      <c r="H48" s="112"/>
      <c r="J48" s="266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0"/>
      <c r="AB48" s="13"/>
      <c r="AC48" s="13"/>
      <c r="AD48" s="13"/>
      <c r="AE48" s="13"/>
      <c r="AF48" s="13"/>
      <c r="AH48" s="114"/>
      <c r="AI48" s="113"/>
      <c r="AJ48" s="113"/>
      <c r="AK48" s="113"/>
      <c r="AL48" s="113"/>
      <c r="AM48" s="113"/>
      <c r="AN48" s="113"/>
      <c r="AO48" s="20"/>
    </row>
  </sheetData>
  <conditionalFormatting sqref="Z6:Z47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H123"/>
  <sheetViews>
    <sheetView workbookViewId="0">
      <selection activeCell="F23" sqref="F23"/>
    </sheetView>
  </sheetViews>
  <sheetFormatPr defaultRowHeight="11.25" x14ac:dyDescent="0.2"/>
  <cols>
    <col min="1" max="1" width="2.7109375" style="77" customWidth="1"/>
    <col min="2" max="2" width="3.5703125" style="77" bestFit="1" customWidth="1"/>
    <col min="3" max="3" width="5.7109375" style="77" bestFit="1" customWidth="1"/>
    <col min="4" max="4" width="6.5703125" style="77" bestFit="1" customWidth="1"/>
    <col min="5" max="5" width="20.140625" style="77" bestFit="1" customWidth="1"/>
    <col min="6" max="6" width="23.140625" style="77" bestFit="1" customWidth="1"/>
    <col min="7" max="7" width="33.85546875" style="77" customWidth="1"/>
    <col min="8" max="8" width="2.7109375" style="77" customWidth="1"/>
    <col min="9" max="16384" width="9.140625" style="77"/>
  </cols>
  <sheetData>
    <row r="1" spans="1:8" x14ac:dyDescent="0.2">
      <c r="A1" s="132" t="s">
        <v>154</v>
      </c>
      <c r="B1" s="131"/>
      <c r="C1" s="131"/>
      <c r="D1" s="130" t="s">
        <v>153</v>
      </c>
      <c r="E1" s="130" t="s">
        <v>14</v>
      </c>
      <c r="F1" s="129"/>
      <c r="G1" s="129"/>
      <c r="H1" s="128"/>
    </row>
    <row r="2" spans="1:8" ht="22.5" x14ac:dyDescent="0.2">
      <c r="A2" s="127"/>
      <c r="B2" s="66" t="s">
        <v>151</v>
      </c>
      <c r="C2" s="67" t="s">
        <v>150</v>
      </c>
      <c r="D2" s="67" t="s">
        <v>149</v>
      </c>
      <c r="E2" s="65" t="str">
        <f>Currency&amp;"_010_"&amp;$D$1&amp;$E$1&amp;".xml"</f>
        <v>USD_010_IMMFRA6M.xml</v>
      </c>
      <c r="F2" s="64" t="str">
        <f>IF(Serialize,_xll.ohObjectSave(F3:F122,SerializationPath&amp;E2,FileOverwrite,Serialize),"---")</f>
        <v>---</v>
      </c>
      <c r="G2" s="82" t="str">
        <f>_xll.ohRangeRetrieveError(F2)</f>
        <v/>
      </c>
      <c r="H2" s="115"/>
    </row>
    <row r="3" spans="1:8" x14ac:dyDescent="0.2">
      <c r="A3" s="121"/>
      <c r="B3" s="126">
        <v>1</v>
      </c>
      <c r="C3" s="125" t="b">
        <v>0</v>
      </c>
      <c r="D3" s="124" t="str">
        <f t="array" ref="D3:D122">_xll.qlIMMNextCodes(_xll.qlSettingsEvaluationDate(Trigger)-1,$C3:$C122)</f>
        <v>K4</v>
      </c>
      <c r="E3" s="117" t="str">
        <f t="shared" ref="E3:E34" si="0">Currency&amp;$D$1&amp;$E$1&amp;$D3&amp;QuoteSuffix</f>
        <v>USDIMMFRA6MK4_Quote</v>
      </c>
      <c r="F3" s="123" t="str">
        <f>_xll.qlSimpleQuote(E3,,PriceTickValue,Permanent,Trigger,ObjectOverwrite)</f>
        <v>USDIMMFRA6MK4_Quote#0000</v>
      </c>
      <c r="G3" s="122" t="str">
        <f>_xll.ohRangeRetrieveError(F3)</f>
        <v/>
      </c>
      <c r="H3" s="115"/>
    </row>
    <row r="4" spans="1:8" x14ac:dyDescent="0.2">
      <c r="A4" s="121"/>
      <c r="B4" s="120">
        <v>2</v>
      </c>
      <c r="C4" s="119" t="b">
        <v>0</v>
      </c>
      <c r="D4" s="118" t="str">
        <v>M4</v>
      </c>
      <c r="E4" s="117" t="str">
        <f t="shared" si="0"/>
        <v>USDIMMFRA6MM4_Quote</v>
      </c>
      <c r="F4" s="116" t="str">
        <f>_xll.qlSimpleQuote(E4,,PriceTickValue,Permanent,Trigger,ObjectOverwrite)</f>
        <v>USDIMMFRA6MM4_Quote#0000</v>
      </c>
      <c r="G4" s="79" t="str">
        <f>_xll.ohRangeRetrieveError(F4)</f>
        <v/>
      </c>
      <c r="H4" s="115"/>
    </row>
    <row r="5" spans="1:8" x14ac:dyDescent="0.2">
      <c r="A5" s="121"/>
      <c r="B5" s="120">
        <v>3</v>
      </c>
      <c r="C5" s="119" t="b">
        <v>0</v>
      </c>
      <c r="D5" s="118" t="str">
        <v>N4</v>
      </c>
      <c r="E5" s="117" t="str">
        <f t="shared" si="0"/>
        <v>USDIMMFRA6MN4_Quote</v>
      </c>
      <c r="F5" s="116" t="str">
        <f>_xll.qlSimpleQuote(E5,,PriceTickValue,Permanent,Trigger,ObjectOverwrite)</f>
        <v>USDIMMFRA6MN4_Quote#0000</v>
      </c>
      <c r="G5" s="79" t="str">
        <f>_xll.ohRangeRetrieveError(F5)</f>
        <v/>
      </c>
      <c r="H5" s="115"/>
    </row>
    <row r="6" spans="1:8" x14ac:dyDescent="0.2">
      <c r="A6" s="121"/>
      <c r="B6" s="120">
        <v>4</v>
      </c>
      <c r="C6" s="119" t="b">
        <v>0</v>
      </c>
      <c r="D6" s="118" t="str">
        <v>Q4</v>
      </c>
      <c r="E6" s="117" t="str">
        <f t="shared" si="0"/>
        <v>USDIMMFRA6MQ4_Quote</v>
      </c>
      <c r="F6" s="116" t="str">
        <f>_xll.qlSimpleQuote(E6,,PriceTickValue,Permanent,Trigger,ObjectOverwrite)</f>
        <v>USDIMMFRA6MQ4_Quote#0000</v>
      </c>
      <c r="G6" s="79" t="str">
        <f>_xll.ohRangeRetrieveError(F6)</f>
        <v/>
      </c>
      <c r="H6" s="115"/>
    </row>
    <row r="7" spans="1:8" x14ac:dyDescent="0.2">
      <c r="A7" s="121"/>
      <c r="B7" s="120">
        <v>5</v>
      </c>
      <c r="C7" s="119" t="b">
        <v>0</v>
      </c>
      <c r="D7" s="118" t="str">
        <v>U4</v>
      </c>
      <c r="E7" s="117" t="str">
        <f t="shared" si="0"/>
        <v>USDIMMFRA6MU4_Quote</v>
      </c>
      <c r="F7" s="116" t="str">
        <f>_xll.qlSimpleQuote(E7,,PriceTickValue,Permanent,Trigger,ObjectOverwrite)</f>
        <v>USDIMMFRA6MU4_Quote#0000</v>
      </c>
      <c r="G7" s="79" t="str">
        <f>_xll.ohRangeRetrieveError(F7)</f>
        <v/>
      </c>
      <c r="H7" s="115"/>
    </row>
    <row r="8" spans="1:8" x14ac:dyDescent="0.2">
      <c r="A8" s="121"/>
      <c r="B8" s="120">
        <v>6</v>
      </c>
      <c r="C8" s="119" t="b">
        <v>0</v>
      </c>
      <c r="D8" s="118" t="str">
        <v>V4</v>
      </c>
      <c r="E8" s="117" t="str">
        <f t="shared" si="0"/>
        <v>USDIMMFRA6MV4_Quote</v>
      </c>
      <c r="F8" s="116" t="str">
        <f>_xll.qlSimpleQuote(E8,,PriceTickValue,Permanent,Trigger,ObjectOverwrite)</f>
        <v>USDIMMFRA6MV4_Quote#0000</v>
      </c>
      <c r="G8" s="79" t="str">
        <f>_xll.ohRangeRetrieveError(F8)</f>
        <v/>
      </c>
      <c r="H8" s="115"/>
    </row>
    <row r="9" spans="1:8" x14ac:dyDescent="0.2">
      <c r="A9" s="121"/>
      <c r="B9" s="120">
        <v>7</v>
      </c>
      <c r="C9" s="119" t="b">
        <v>0</v>
      </c>
      <c r="D9" s="118" t="str">
        <v>X4</v>
      </c>
      <c r="E9" s="117" t="str">
        <f t="shared" si="0"/>
        <v>USDIMMFRA6MX4_Quote</v>
      </c>
      <c r="F9" s="116" t="str">
        <f>_xll.qlSimpleQuote(E9,,PriceTickValue,Permanent,Trigger,ObjectOverwrite)</f>
        <v>USDIMMFRA6MX4_Quote#0000</v>
      </c>
      <c r="G9" s="79" t="str">
        <f>_xll.ohRangeRetrieveError(F9)</f>
        <v/>
      </c>
      <c r="H9" s="115"/>
    </row>
    <row r="10" spans="1:8" x14ac:dyDescent="0.2">
      <c r="A10" s="121"/>
      <c r="B10" s="120">
        <v>8</v>
      </c>
      <c r="C10" s="119" t="b">
        <v>0</v>
      </c>
      <c r="D10" s="118" t="str">
        <v>Z4</v>
      </c>
      <c r="E10" s="117" t="str">
        <f t="shared" si="0"/>
        <v>USDIMMFRA6MZ4_Quote</v>
      </c>
      <c r="F10" s="116" t="str">
        <f>_xll.qlSimpleQuote(E10,,PriceTickValue,Permanent,Trigger,ObjectOverwrite)</f>
        <v>USDIMMFRA6MZ4_Quote#0000</v>
      </c>
      <c r="G10" s="79" t="str">
        <f>_xll.ohRangeRetrieveError(F10)</f>
        <v/>
      </c>
      <c r="H10" s="115"/>
    </row>
    <row r="11" spans="1:8" x14ac:dyDescent="0.2">
      <c r="A11" s="121"/>
      <c r="B11" s="120">
        <v>9</v>
      </c>
      <c r="C11" s="119" t="b">
        <v>0</v>
      </c>
      <c r="D11" s="118" t="str">
        <v>F5</v>
      </c>
      <c r="E11" s="117" t="str">
        <f t="shared" si="0"/>
        <v>USDIMMFRA6MF5_Quote</v>
      </c>
      <c r="F11" s="116" t="str">
        <f>_xll.qlSimpleQuote(E11,,PriceTickValue,Permanent,Trigger,ObjectOverwrite)</f>
        <v>USDIMMFRA6MF5_Quote#0000</v>
      </c>
      <c r="G11" s="79" t="str">
        <f>_xll.ohRangeRetrieveError(F11)</f>
        <v/>
      </c>
      <c r="H11" s="115"/>
    </row>
    <row r="12" spans="1:8" x14ac:dyDescent="0.2">
      <c r="A12" s="121"/>
      <c r="B12" s="120">
        <v>10</v>
      </c>
      <c r="C12" s="119" t="b">
        <v>0</v>
      </c>
      <c r="D12" s="118" t="str">
        <v>G5</v>
      </c>
      <c r="E12" s="117" t="str">
        <f t="shared" si="0"/>
        <v>USDIMMFRA6MG5_Quote</v>
      </c>
      <c r="F12" s="116" t="str">
        <f>_xll.qlSimpleQuote(E12,,PriceTickValue,Permanent,Trigger,ObjectOverwrite)</f>
        <v>USDIMMFRA6MG5_Quote#0000</v>
      </c>
      <c r="G12" s="79" t="str">
        <f>_xll.ohRangeRetrieveError(F12)</f>
        <v/>
      </c>
      <c r="H12" s="115"/>
    </row>
    <row r="13" spans="1:8" x14ac:dyDescent="0.2">
      <c r="A13" s="121"/>
      <c r="B13" s="120">
        <v>11</v>
      </c>
      <c r="C13" s="119" t="b">
        <v>0</v>
      </c>
      <c r="D13" s="118" t="str">
        <v>H5</v>
      </c>
      <c r="E13" s="117" t="str">
        <f t="shared" si="0"/>
        <v>USDIMMFRA6MH5_Quote</v>
      </c>
      <c r="F13" s="116" t="str">
        <f>_xll.qlSimpleQuote(E13,,PriceTickValue,Permanent,Trigger,ObjectOverwrite)</f>
        <v>USDIMMFRA6MH5_Quote#0000</v>
      </c>
      <c r="G13" s="79" t="str">
        <f>_xll.ohRangeRetrieveError(F13)</f>
        <v/>
      </c>
      <c r="H13" s="115"/>
    </row>
    <row r="14" spans="1:8" x14ac:dyDescent="0.2">
      <c r="A14" s="121"/>
      <c r="B14" s="120">
        <v>12</v>
      </c>
      <c r="C14" s="119" t="b">
        <v>0</v>
      </c>
      <c r="D14" s="118" t="str">
        <v>J5</v>
      </c>
      <c r="E14" s="117" t="str">
        <f t="shared" si="0"/>
        <v>USDIMMFRA6MJ5_Quote</v>
      </c>
      <c r="F14" s="116" t="str">
        <f>_xll.qlSimpleQuote(E14,,PriceTickValue,Permanent,Trigger,ObjectOverwrite)</f>
        <v>USDIMMFRA6MJ5_Quote#0000</v>
      </c>
      <c r="G14" s="79" t="str">
        <f>_xll.ohRangeRetrieveError(F14)</f>
        <v/>
      </c>
      <c r="H14" s="115"/>
    </row>
    <row r="15" spans="1:8" x14ac:dyDescent="0.2">
      <c r="A15" s="121"/>
      <c r="B15" s="120">
        <v>13</v>
      </c>
      <c r="C15" s="119" t="b">
        <v>0</v>
      </c>
      <c r="D15" s="118" t="str">
        <v>K5</v>
      </c>
      <c r="E15" s="117" t="str">
        <f t="shared" si="0"/>
        <v>USDIMMFRA6MK5_Quote</v>
      </c>
      <c r="F15" s="116" t="str">
        <f>_xll.qlSimpleQuote(E15,,PriceTickValue,Permanent,Trigger,ObjectOverwrite)</f>
        <v>USDIMMFRA6MK5_Quote#0000</v>
      </c>
      <c r="G15" s="79" t="str">
        <f>_xll.ohRangeRetrieveError(F15)</f>
        <v/>
      </c>
      <c r="H15" s="115"/>
    </row>
    <row r="16" spans="1:8" x14ac:dyDescent="0.2">
      <c r="A16" s="121"/>
      <c r="B16" s="120">
        <v>14</v>
      </c>
      <c r="C16" s="119" t="b">
        <v>0</v>
      </c>
      <c r="D16" s="118" t="str">
        <v>M5</v>
      </c>
      <c r="E16" s="117" t="str">
        <f t="shared" si="0"/>
        <v>USDIMMFRA6MM5_Quote</v>
      </c>
      <c r="F16" s="116" t="str">
        <f>_xll.qlSimpleQuote(E16,,PriceTickValue,Permanent,Trigger,ObjectOverwrite)</f>
        <v>USDIMMFRA6MM5_Quote#0000</v>
      </c>
      <c r="G16" s="79" t="str">
        <f>_xll.ohRangeRetrieveError(F16)</f>
        <v/>
      </c>
      <c r="H16" s="115"/>
    </row>
    <row r="17" spans="1:8" x14ac:dyDescent="0.2">
      <c r="A17" s="121"/>
      <c r="B17" s="120">
        <v>15</v>
      </c>
      <c r="C17" s="119" t="b">
        <v>0</v>
      </c>
      <c r="D17" s="118" t="str">
        <v>N5</v>
      </c>
      <c r="E17" s="117" t="str">
        <f t="shared" si="0"/>
        <v>USDIMMFRA6MN5_Quote</v>
      </c>
      <c r="F17" s="116" t="str">
        <f>_xll.qlSimpleQuote(E17,,PriceTickValue,Permanent,Trigger,ObjectOverwrite)</f>
        <v>USDIMMFRA6MN5_Quote#0000</v>
      </c>
      <c r="G17" s="79" t="str">
        <f>_xll.ohRangeRetrieveError(F17)</f>
        <v/>
      </c>
      <c r="H17" s="115"/>
    </row>
    <row r="18" spans="1:8" x14ac:dyDescent="0.2">
      <c r="A18" s="121"/>
      <c r="B18" s="120">
        <v>16</v>
      </c>
      <c r="C18" s="119" t="b">
        <v>0</v>
      </c>
      <c r="D18" s="118" t="str">
        <v>Q5</v>
      </c>
      <c r="E18" s="117" t="str">
        <f t="shared" si="0"/>
        <v>USDIMMFRA6MQ5_Quote</v>
      </c>
      <c r="F18" s="116" t="str">
        <f>_xll.qlSimpleQuote(E18,,PriceTickValue,Permanent,Trigger,ObjectOverwrite)</f>
        <v>USDIMMFRA6MQ5_Quote#0000</v>
      </c>
      <c r="G18" s="79" t="str">
        <f>_xll.ohRangeRetrieveError(F18)</f>
        <v/>
      </c>
      <c r="H18" s="115"/>
    </row>
    <row r="19" spans="1:8" x14ac:dyDescent="0.2">
      <c r="A19" s="121"/>
      <c r="B19" s="120">
        <v>17</v>
      </c>
      <c r="C19" s="119" t="b">
        <v>0</v>
      </c>
      <c r="D19" s="118" t="str">
        <v>U5</v>
      </c>
      <c r="E19" s="117" t="str">
        <f t="shared" si="0"/>
        <v>USDIMMFRA6MU5_Quote</v>
      </c>
      <c r="F19" s="116" t="str">
        <f>_xll.qlSimpleQuote(E19,,PriceTickValue,Permanent,Trigger,ObjectOverwrite)</f>
        <v>USDIMMFRA6MU5_Quote#0000</v>
      </c>
      <c r="G19" s="79" t="str">
        <f>_xll.ohRangeRetrieveError(F19)</f>
        <v/>
      </c>
      <c r="H19" s="115"/>
    </row>
    <row r="20" spans="1:8" x14ac:dyDescent="0.2">
      <c r="A20" s="121"/>
      <c r="B20" s="120">
        <v>18</v>
      </c>
      <c r="C20" s="119" t="b">
        <v>0</v>
      </c>
      <c r="D20" s="118" t="str">
        <v>V5</v>
      </c>
      <c r="E20" s="117" t="str">
        <f t="shared" si="0"/>
        <v>USDIMMFRA6MV5_Quote</v>
      </c>
      <c r="F20" s="116" t="str">
        <f>_xll.qlSimpleQuote(E20,,PriceTickValue,Permanent,Trigger,ObjectOverwrite)</f>
        <v>USDIMMFRA6MV5_Quote#0000</v>
      </c>
      <c r="G20" s="79" t="str">
        <f>_xll.ohRangeRetrieveError(F20)</f>
        <v/>
      </c>
      <c r="H20" s="115"/>
    </row>
    <row r="21" spans="1:8" x14ac:dyDescent="0.2">
      <c r="A21" s="121"/>
      <c r="B21" s="120">
        <v>19</v>
      </c>
      <c r="C21" s="119" t="b">
        <v>0</v>
      </c>
      <c r="D21" s="118" t="str">
        <v>X5</v>
      </c>
      <c r="E21" s="117" t="str">
        <f t="shared" si="0"/>
        <v>USDIMMFRA6MX5_Quote</v>
      </c>
      <c r="F21" s="116" t="str">
        <f>_xll.qlSimpleQuote(E21,,PriceTickValue,Permanent,Trigger,ObjectOverwrite)</f>
        <v>USDIMMFRA6MX5_Quote#0000</v>
      </c>
      <c r="G21" s="79" t="str">
        <f>_xll.ohRangeRetrieveError(F21)</f>
        <v/>
      </c>
      <c r="H21" s="115"/>
    </row>
    <row r="22" spans="1:8" x14ac:dyDescent="0.2">
      <c r="A22" s="121"/>
      <c r="B22" s="120">
        <v>20</v>
      </c>
      <c r="C22" s="119" t="b">
        <v>0</v>
      </c>
      <c r="D22" s="118" t="str">
        <v>Z5</v>
      </c>
      <c r="E22" s="117" t="str">
        <f t="shared" si="0"/>
        <v>USDIMMFRA6MZ5_Quote</v>
      </c>
      <c r="F22" s="116" t="str">
        <f>_xll.qlSimpleQuote(E22,,PriceTickValue,Permanent,Trigger,ObjectOverwrite)</f>
        <v>USDIMMFRA6MZ5_Quote#0000</v>
      </c>
      <c r="G22" s="79" t="str">
        <f>_xll.ohRangeRetrieveError(F22)</f>
        <v/>
      </c>
      <c r="H22" s="115"/>
    </row>
    <row r="23" spans="1:8" x14ac:dyDescent="0.2">
      <c r="A23" s="121"/>
      <c r="B23" s="120">
        <v>21</v>
      </c>
      <c r="C23" s="119" t="b">
        <v>0</v>
      </c>
      <c r="D23" s="118" t="str">
        <v>F6</v>
      </c>
      <c r="E23" s="117" t="str">
        <f t="shared" si="0"/>
        <v>USDIMMFRA6MF6_Quote</v>
      </c>
      <c r="F23" s="116" t="str">
        <f>_xll.qlSimpleQuote(E23,,PriceTickValue,Permanent,Trigger,ObjectOverwrite)</f>
        <v>USDIMMFRA6MF6_Quote#0000</v>
      </c>
      <c r="G23" s="79" t="str">
        <f>_xll.ohRangeRetrieveError(F23)</f>
        <v/>
      </c>
      <c r="H23" s="115"/>
    </row>
    <row r="24" spans="1:8" x14ac:dyDescent="0.2">
      <c r="A24" s="121"/>
      <c r="B24" s="120">
        <v>22</v>
      </c>
      <c r="C24" s="119" t="b">
        <v>0</v>
      </c>
      <c r="D24" s="118" t="str">
        <v>G6</v>
      </c>
      <c r="E24" s="117" t="str">
        <f t="shared" si="0"/>
        <v>USDIMMFRA6MG6_Quote</v>
      </c>
      <c r="F24" s="116" t="str">
        <f>_xll.qlSimpleQuote(E24,,PriceTickValue,Permanent,Trigger,ObjectOverwrite)</f>
        <v>USDIMMFRA6MG6_Quote#0000</v>
      </c>
      <c r="G24" s="79" t="str">
        <f>_xll.ohRangeRetrieveError(F24)</f>
        <v/>
      </c>
      <c r="H24" s="115"/>
    </row>
    <row r="25" spans="1:8" x14ac:dyDescent="0.2">
      <c r="A25" s="121"/>
      <c r="B25" s="120">
        <v>23</v>
      </c>
      <c r="C25" s="119" t="b">
        <v>0</v>
      </c>
      <c r="D25" s="118" t="str">
        <v>H6</v>
      </c>
      <c r="E25" s="117" t="str">
        <f t="shared" si="0"/>
        <v>USDIMMFRA6MH6_Quote</v>
      </c>
      <c r="F25" s="116" t="str">
        <f>_xll.qlSimpleQuote(E25,,PriceTickValue,Permanent,Trigger,ObjectOverwrite)</f>
        <v>USDIMMFRA6MH6_Quote#0000</v>
      </c>
      <c r="G25" s="79" t="str">
        <f>_xll.ohRangeRetrieveError(F25)</f>
        <v/>
      </c>
      <c r="H25" s="115"/>
    </row>
    <row r="26" spans="1:8" x14ac:dyDescent="0.2">
      <c r="A26" s="121"/>
      <c r="B26" s="120">
        <v>24</v>
      </c>
      <c r="C26" s="119" t="b">
        <v>0</v>
      </c>
      <c r="D26" s="118" t="str">
        <v>J6</v>
      </c>
      <c r="E26" s="117" t="str">
        <f t="shared" si="0"/>
        <v>USDIMMFRA6MJ6_Quote</v>
      </c>
      <c r="F26" s="116" t="str">
        <f>_xll.qlSimpleQuote(E26,,PriceTickValue,Permanent,Trigger,ObjectOverwrite)</f>
        <v>USDIMMFRA6MJ6_Quote#0000</v>
      </c>
      <c r="G26" s="79" t="str">
        <f>_xll.ohRangeRetrieveError(F26)</f>
        <v/>
      </c>
      <c r="H26" s="115"/>
    </row>
    <row r="27" spans="1:8" x14ac:dyDescent="0.2">
      <c r="A27" s="121"/>
      <c r="B27" s="120">
        <v>25</v>
      </c>
      <c r="C27" s="119" t="b">
        <v>0</v>
      </c>
      <c r="D27" s="118" t="str">
        <v>K6</v>
      </c>
      <c r="E27" s="117" t="str">
        <f t="shared" si="0"/>
        <v>USDIMMFRA6MK6_Quote</v>
      </c>
      <c r="F27" s="116" t="str">
        <f>_xll.qlSimpleQuote(E27,,PriceTickValue,Permanent,Trigger,ObjectOverwrite)</f>
        <v>USDIMMFRA6MK6_Quote#0000</v>
      </c>
      <c r="G27" s="79" t="str">
        <f>_xll.ohRangeRetrieveError(F27)</f>
        <v/>
      </c>
      <c r="H27" s="115"/>
    </row>
    <row r="28" spans="1:8" x14ac:dyDescent="0.2">
      <c r="A28" s="121"/>
      <c r="B28" s="120">
        <v>26</v>
      </c>
      <c r="C28" s="119" t="b">
        <v>0</v>
      </c>
      <c r="D28" s="118" t="str">
        <v>M6</v>
      </c>
      <c r="E28" s="117" t="str">
        <f t="shared" si="0"/>
        <v>USDIMMFRA6MM6_Quote</v>
      </c>
      <c r="F28" s="116" t="str">
        <f>_xll.qlSimpleQuote(E28,,PriceTickValue,Permanent,Trigger,ObjectOverwrite)</f>
        <v>USDIMMFRA6MM6_Quote#0000</v>
      </c>
      <c r="G28" s="79" t="str">
        <f>_xll.ohRangeRetrieveError(F28)</f>
        <v/>
      </c>
      <c r="H28" s="115"/>
    </row>
    <row r="29" spans="1:8" x14ac:dyDescent="0.2">
      <c r="A29" s="121"/>
      <c r="B29" s="120">
        <v>27</v>
      </c>
      <c r="C29" s="119" t="b">
        <v>0</v>
      </c>
      <c r="D29" s="118" t="str">
        <v>N6</v>
      </c>
      <c r="E29" s="117" t="str">
        <f t="shared" si="0"/>
        <v>USDIMMFRA6MN6_Quote</v>
      </c>
      <c r="F29" s="116" t="str">
        <f>_xll.qlSimpleQuote(E29,,PriceTickValue,Permanent,Trigger,ObjectOverwrite)</f>
        <v>USDIMMFRA6MN6_Quote#0000</v>
      </c>
      <c r="G29" s="79" t="str">
        <f>_xll.ohRangeRetrieveError(F29)</f>
        <v/>
      </c>
      <c r="H29" s="115"/>
    </row>
    <row r="30" spans="1:8" x14ac:dyDescent="0.2">
      <c r="A30" s="121"/>
      <c r="B30" s="120">
        <v>28</v>
      </c>
      <c r="C30" s="119" t="b">
        <v>0</v>
      </c>
      <c r="D30" s="118" t="str">
        <v>Q6</v>
      </c>
      <c r="E30" s="117" t="str">
        <f t="shared" si="0"/>
        <v>USDIMMFRA6MQ6_Quote</v>
      </c>
      <c r="F30" s="116" t="str">
        <f>_xll.qlSimpleQuote(E30,,PriceTickValue,Permanent,Trigger,ObjectOverwrite)</f>
        <v>USDIMMFRA6MQ6_Quote#0000</v>
      </c>
      <c r="G30" s="79" t="str">
        <f>_xll.ohRangeRetrieveError(F30)</f>
        <v/>
      </c>
      <c r="H30" s="115"/>
    </row>
    <row r="31" spans="1:8" x14ac:dyDescent="0.2">
      <c r="A31" s="121"/>
      <c r="B31" s="120">
        <v>29</v>
      </c>
      <c r="C31" s="119" t="b">
        <v>0</v>
      </c>
      <c r="D31" s="118" t="str">
        <v>U6</v>
      </c>
      <c r="E31" s="117" t="str">
        <f t="shared" si="0"/>
        <v>USDIMMFRA6MU6_Quote</v>
      </c>
      <c r="F31" s="116" t="str">
        <f>_xll.qlSimpleQuote(E31,,PriceTickValue,Permanent,Trigger,ObjectOverwrite)</f>
        <v>USDIMMFRA6MU6_Quote#0000</v>
      </c>
      <c r="G31" s="79" t="str">
        <f>_xll.ohRangeRetrieveError(F31)</f>
        <v/>
      </c>
      <c r="H31" s="115"/>
    </row>
    <row r="32" spans="1:8" x14ac:dyDescent="0.2">
      <c r="A32" s="121"/>
      <c r="B32" s="120">
        <v>30</v>
      </c>
      <c r="C32" s="119" t="b">
        <v>0</v>
      </c>
      <c r="D32" s="118" t="str">
        <v>V6</v>
      </c>
      <c r="E32" s="117" t="str">
        <f t="shared" si="0"/>
        <v>USDIMMFRA6MV6_Quote</v>
      </c>
      <c r="F32" s="116" t="str">
        <f>_xll.qlSimpleQuote(E32,,PriceTickValue,Permanent,Trigger,ObjectOverwrite)</f>
        <v>USDIMMFRA6MV6_Quote#0000</v>
      </c>
      <c r="G32" s="79" t="str">
        <f>_xll.ohRangeRetrieveError(F32)</f>
        <v/>
      </c>
      <c r="H32" s="115"/>
    </row>
    <row r="33" spans="1:8" x14ac:dyDescent="0.2">
      <c r="A33" s="121"/>
      <c r="B33" s="120">
        <v>31</v>
      </c>
      <c r="C33" s="119" t="b">
        <v>0</v>
      </c>
      <c r="D33" s="118" t="str">
        <v>X6</v>
      </c>
      <c r="E33" s="117" t="str">
        <f t="shared" si="0"/>
        <v>USDIMMFRA6MX6_Quote</v>
      </c>
      <c r="F33" s="116" t="str">
        <f>_xll.qlSimpleQuote(E33,,PriceTickValue,Permanent,Trigger,ObjectOverwrite)</f>
        <v>USDIMMFRA6MX6_Quote#0000</v>
      </c>
      <c r="G33" s="79" t="str">
        <f>_xll.ohRangeRetrieveError(F33)</f>
        <v/>
      </c>
      <c r="H33" s="115"/>
    </row>
    <row r="34" spans="1:8" x14ac:dyDescent="0.2">
      <c r="A34" s="121"/>
      <c r="B34" s="120">
        <v>32</v>
      </c>
      <c r="C34" s="119" t="b">
        <v>0</v>
      </c>
      <c r="D34" s="118" t="str">
        <v>Z6</v>
      </c>
      <c r="E34" s="117" t="str">
        <f t="shared" si="0"/>
        <v>USDIMMFRA6MZ6_Quote</v>
      </c>
      <c r="F34" s="116" t="str">
        <f>_xll.qlSimpleQuote(E34,,PriceTickValue,Permanent,Trigger,ObjectOverwrite)</f>
        <v>USDIMMFRA6MZ6_Quote#0000</v>
      </c>
      <c r="G34" s="79" t="str">
        <f>_xll.ohRangeRetrieveError(F34)</f>
        <v/>
      </c>
      <c r="H34" s="115"/>
    </row>
    <row r="35" spans="1:8" x14ac:dyDescent="0.2">
      <c r="A35" s="121"/>
      <c r="B35" s="120">
        <v>33</v>
      </c>
      <c r="C35" s="119" t="b">
        <v>0</v>
      </c>
      <c r="D35" s="118" t="str">
        <v>F7</v>
      </c>
      <c r="E35" s="117" t="str">
        <f t="shared" ref="E35:E66" si="1">Currency&amp;$D$1&amp;$E$1&amp;$D35&amp;QuoteSuffix</f>
        <v>USDIMMFRA6MF7_Quote</v>
      </c>
      <c r="F35" s="116" t="str">
        <f>_xll.qlSimpleQuote(E35,,PriceTickValue,Permanent,Trigger,ObjectOverwrite)</f>
        <v>USDIMMFRA6MF7_Quote#0000</v>
      </c>
      <c r="G35" s="79" t="str">
        <f>_xll.ohRangeRetrieveError(F35)</f>
        <v/>
      </c>
      <c r="H35" s="115"/>
    </row>
    <row r="36" spans="1:8" x14ac:dyDescent="0.2">
      <c r="A36" s="121"/>
      <c r="B36" s="120">
        <v>34</v>
      </c>
      <c r="C36" s="119" t="b">
        <v>0</v>
      </c>
      <c r="D36" s="118" t="str">
        <v>G7</v>
      </c>
      <c r="E36" s="117" t="str">
        <f t="shared" si="1"/>
        <v>USDIMMFRA6MG7_Quote</v>
      </c>
      <c r="F36" s="116" t="str">
        <f>_xll.qlSimpleQuote(E36,,PriceTickValue,Permanent,Trigger,ObjectOverwrite)</f>
        <v>USDIMMFRA6MG7_Quote#0000</v>
      </c>
      <c r="G36" s="79" t="str">
        <f>_xll.ohRangeRetrieveError(F36)</f>
        <v/>
      </c>
      <c r="H36" s="115"/>
    </row>
    <row r="37" spans="1:8" x14ac:dyDescent="0.2">
      <c r="A37" s="121"/>
      <c r="B37" s="120">
        <v>35</v>
      </c>
      <c r="C37" s="119" t="b">
        <v>0</v>
      </c>
      <c r="D37" s="118" t="str">
        <v>H7</v>
      </c>
      <c r="E37" s="117" t="str">
        <f t="shared" si="1"/>
        <v>USDIMMFRA6MH7_Quote</v>
      </c>
      <c r="F37" s="116" t="str">
        <f>_xll.qlSimpleQuote(E37,,PriceTickValue,Permanent,Trigger,ObjectOverwrite)</f>
        <v>USDIMMFRA6MH7_Quote#0000</v>
      </c>
      <c r="G37" s="79" t="str">
        <f>_xll.ohRangeRetrieveError(F37)</f>
        <v/>
      </c>
      <c r="H37" s="115"/>
    </row>
    <row r="38" spans="1:8" x14ac:dyDescent="0.2">
      <c r="A38" s="121"/>
      <c r="B38" s="120">
        <v>36</v>
      </c>
      <c r="C38" s="119" t="b">
        <v>0</v>
      </c>
      <c r="D38" s="118" t="str">
        <v>J7</v>
      </c>
      <c r="E38" s="117" t="str">
        <f t="shared" si="1"/>
        <v>USDIMMFRA6MJ7_Quote</v>
      </c>
      <c r="F38" s="116" t="str">
        <f>_xll.qlSimpleQuote(E38,,PriceTickValue,Permanent,Trigger,ObjectOverwrite)</f>
        <v>USDIMMFRA6MJ7_Quote#0000</v>
      </c>
      <c r="G38" s="79" t="str">
        <f>_xll.ohRangeRetrieveError(F38)</f>
        <v/>
      </c>
      <c r="H38" s="115"/>
    </row>
    <row r="39" spans="1:8" x14ac:dyDescent="0.2">
      <c r="A39" s="121"/>
      <c r="B39" s="120">
        <v>37</v>
      </c>
      <c r="C39" s="119" t="b">
        <v>0</v>
      </c>
      <c r="D39" s="118" t="str">
        <v>K7</v>
      </c>
      <c r="E39" s="117" t="str">
        <f t="shared" si="1"/>
        <v>USDIMMFRA6MK7_Quote</v>
      </c>
      <c r="F39" s="116" t="str">
        <f>_xll.qlSimpleQuote(E39,,PriceTickValue,Permanent,Trigger,ObjectOverwrite)</f>
        <v>USDIMMFRA6MK7_Quote#0000</v>
      </c>
      <c r="G39" s="79" t="str">
        <f>_xll.ohRangeRetrieveError(F39)</f>
        <v/>
      </c>
      <c r="H39" s="115"/>
    </row>
    <row r="40" spans="1:8" x14ac:dyDescent="0.2">
      <c r="A40" s="121"/>
      <c r="B40" s="120">
        <v>38</v>
      </c>
      <c r="C40" s="119" t="b">
        <v>0</v>
      </c>
      <c r="D40" s="118" t="str">
        <v>M7</v>
      </c>
      <c r="E40" s="117" t="str">
        <f t="shared" si="1"/>
        <v>USDIMMFRA6MM7_Quote</v>
      </c>
      <c r="F40" s="116" t="str">
        <f>_xll.qlSimpleQuote(E40,,PriceTickValue,Permanent,Trigger,ObjectOverwrite)</f>
        <v>USDIMMFRA6MM7_Quote#0000</v>
      </c>
      <c r="G40" s="79" t="str">
        <f>_xll.ohRangeRetrieveError(F40)</f>
        <v/>
      </c>
      <c r="H40" s="115"/>
    </row>
    <row r="41" spans="1:8" x14ac:dyDescent="0.2">
      <c r="A41" s="121"/>
      <c r="B41" s="120">
        <v>39</v>
      </c>
      <c r="C41" s="119" t="b">
        <v>0</v>
      </c>
      <c r="D41" s="118" t="str">
        <v>N7</v>
      </c>
      <c r="E41" s="117" t="str">
        <f t="shared" si="1"/>
        <v>USDIMMFRA6MN7_Quote</v>
      </c>
      <c r="F41" s="116" t="str">
        <f>_xll.qlSimpleQuote(E41,,PriceTickValue,Permanent,Trigger,ObjectOverwrite)</f>
        <v>USDIMMFRA6MN7_Quote#0000</v>
      </c>
      <c r="G41" s="79" t="str">
        <f>_xll.ohRangeRetrieveError(F41)</f>
        <v/>
      </c>
      <c r="H41" s="115"/>
    </row>
    <row r="42" spans="1:8" x14ac:dyDescent="0.2">
      <c r="A42" s="121"/>
      <c r="B42" s="120">
        <v>40</v>
      </c>
      <c r="C42" s="119" t="b">
        <v>0</v>
      </c>
      <c r="D42" s="118" t="str">
        <v>Q7</v>
      </c>
      <c r="E42" s="117" t="str">
        <f t="shared" si="1"/>
        <v>USDIMMFRA6MQ7_Quote</v>
      </c>
      <c r="F42" s="116" t="str">
        <f>_xll.qlSimpleQuote(E42,,PriceTickValue,Permanent,Trigger,ObjectOverwrite)</f>
        <v>USDIMMFRA6MQ7_Quote#0000</v>
      </c>
      <c r="G42" s="79" t="str">
        <f>_xll.ohRangeRetrieveError(F42)</f>
        <v/>
      </c>
      <c r="H42" s="115"/>
    </row>
    <row r="43" spans="1:8" x14ac:dyDescent="0.2">
      <c r="A43" s="121"/>
      <c r="B43" s="120">
        <v>41</v>
      </c>
      <c r="C43" s="119" t="b">
        <v>0</v>
      </c>
      <c r="D43" s="118" t="str">
        <v>U7</v>
      </c>
      <c r="E43" s="117" t="str">
        <f t="shared" si="1"/>
        <v>USDIMMFRA6MU7_Quote</v>
      </c>
      <c r="F43" s="116" t="str">
        <f>_xll.qlSimpleQuote(E43,,PriceTickValue,Permanent,Trigger,ObjectOverwrite)</f>
        <v>USDIMMFRA6MU7_Quote#0000</v>
      </c>
      <c r="G43" s="79" t="str">
        <f>_xll.ohRangeRetrieveError(F43)</f>
        <v/>
      </c>
      <c r="H43" s="115"/>
    </row>
    <row r="44" spans="1:8" x14ac:dyDescent="0.2">
      <c r="A44" s="121"/>
      <c r="B44" s="120">
        <v>42</v>
      </c>
      <c r="C44" s="119" t="b">
        <v>0</v>
      </c>
      <c r="D44" s="118" t="str">
        <v>V7</v>
      </c>
      <c r="E44" s="117" t="str">
        <f t="shared" si="1"/>
        <v>USDIMMFRA6MV7_Quote</v>
      </c>
      <c r="F44" s="116" t="str">
        <f>_xll.qlSimpleQuote(E44,,PriceTickValue,Permanent,Trigger,ObjectOverwrite)</f>
        <v>USDIMMFRA6MV7_Quote#0000</v>
      </c>
      <c r="G44" s="79" t="str">
        <f>_xll.ohRangeRetrieveError(F44)</f>
        <v/>
      </c>
      <c r="H44" s="115"/>
    </row>
    <row r="45" spans="1:8" x14ac:dyDescent="0.2">
      <c r="A45" s="121"/>
      <c r="B45" s="120">
        <v>43</v>
      </c>
      <c r="C45" s="119" t="b">
        <v>0</v>
      </c>
      <c r="D45" s="118" t="str">
        <v>X7</v>
      </c>
      <c r="E45" s="117" t="str">
        <f t="shared" si="1"/>
        <v>USDIMMFRA6MX7_Quote</v>
      </c>
      <c r="F45" s="116" t="str">
        <f>_xll.qlSimpleQuote(E45,,PriceTickValue,Permanent,Trigger,ObjectOverwrite)</f>
        <v>USDIMMFRA6MX7_Quote#0000</v>
      </c>
      <c r="G45" s="79" t="str">
        <f>_xll.ohRangeRetrieveError(F45)</f>
        <v/>
      </c>
      <c r="H45" s="115"/>
    </row>
    <row r="46" spans="1:8" x14ac:dyDescent="0.2">
      <c r="A46" s="121"/>
      <c r="B46" s="120">
        <v>44</v>
      </c>
      <c r="C46" s="119" t="b">
        <v>0</v>
      </c>
      <c r="D46" s="118" t="str">
        <v>Z7</v>
      </c>
      <c r="E46" s="117" t="str">
        <f t="shared" si="1"/>
        <v>USDIMMFRA6MZ7_Quote</v>
      </c>
      <c r="F46" s="116" t="str">
        <f>_xll.qlSimpleQuote(E46,,PriceTickValue,Permanent,Trigger,ObjectOverwrite)</f>
        <v>USDIMMFRA6MZ7_Quote#0000</v>
      </c>
      <c r="G46" s="79" t="str">
        <f>_xll.ohRangeRetrieveError(F46)</f>
        <v/>
      </c>
      <c r="H46" s="115"/>
    </row>
    <row r="47" spans="1:8" x14ac:dyDescent="0.2">
      <c r="A47" s="121"/>
      <c r="B47" s="120">
        <v>45</v>
      </c>
      <c r="C47" s="119" t="b">
        <v>0</v>
      </c>
      <c r="D47" s="118" t="str">
        <v>F8</v>
      </c>
      <c r="E47" s="117" t="str">
        <f t="shared" si="1"/>
        <v>USDIMMFRA6MF8_Quote</v>
      </c>
      <c r="F47" s="116" t="str">
        <f>_xll.qlSimpleQuote(E47,,PriceTickValue,Permanent,Trigger,ObjectOverwrite)</f>
        <v>USDIMMFRA6MF8_Quote#0000</v>
      </c>
      <c r="G47" s="79" t="str">
        <f>_xll.ohRangeRetrieveError(F47)</f>
        <v/>
      </c>
      <c r="H47" s="115"/>
    </row>
    <row r="48" spans="1:8" x14ac:dyDescent="0.2">
      <c r="A48" s="121"/>
      <c r="B48" s="120">
        <v>46</v>
      </c>
      <c r="C48" s="119" t="b">
        <v>0</v>
      </c>
      <c r="D48" s="118" t="str">
        <v>G8</v>
      </c>
      <c r="E48" s="117" t="str">
        <f t="shared" si="1"/>
        <v>USDIMMFRA6MG8_Quote</v>
      </c>
      <c r="F48" s="116" t="str">
        <f>_xll.qlSimpleQuote(E48,,PriceTickValue,Permanent,Trigger,ObjectOverwrite)</f>
        <v>USDIMMFRA6MG8_Quote#0000</v>
      </c>
      <c r="G48" s="79" t="str">
        <f>_xll.ohRangeRetrieveError(F48)</f>
        <v/>
      </c>
      <c r="H48" s="115"/>
    </row>
    <row r="49" spans="1:8" x14ac:dyDescent="0.2">
      <c r="A49" s="121"/>
      <c r="B49" s="120">
        <v>47</v>
      </c>
      <c r="C49" s="119" t="b">
        <v>0</v>
      </c>
      <c r="D49" s="118" t="str">
        <v>H8</v>
      </c>
      <c r="E49" s="117" t="str">
        <f t="shared" si="1"/>
        <v>USDIMMFRA6MH8_Quote</v>
      </c>
      <c r="F49" s="116" t="str">
        <f>_xll.qlSimpleQuote(E49,,PriceTickValue,Permanent,Trigger,ObjectOverwrite)</f>
        <v>USDIMMFRA6MH8_Quote#0000</v>
      </c>
      <c r="G49" s="79" t="str">
        <f>_xll.ohRangeRetrieveError(F49)</f>
        <v/>
      </c>
      <c r="H49" s="115"/>
    </row>
    <row r="50" spans="1:8" x14ac:dyDescent="0.2">
      <c r="A50" s="121"/>
      <c r="B50" s="120">
        <v>48</v>
      </c>
      <c r="C50" s="119" t="b">
        <v>0</v>
      </c>
      <c r="D50" s="118" t="str">
        <v>J8</v>
      </c>
      <c r="E50" s="117" t="str">
        <f t="shared" si="1"/>
        <v>USDIMMFRA6MJ8_Quote</v>
      </c>
      <c r="F50" s="116" t="str">
        <f>_xll.qlSimpleQuote(E50,,PriceTickValue,Permanent,Trigger,ObjectOverwrite)</f>
        <v>USDIMMFRA6MJ8_Quote#0000</v>
      </c>
      <c r="G50" s="79" t="str">
        <f>_xll.ohRangeRetrieveError(F50)</f>
        <v/>
      </c>
      <c r="H50" s="115"/>
    </row>
    <row r="51" spans="1:8" x14ac:dyDescent="0.2">
      <c r="A51" s="121"/>
      <c r="B51" s="120">
        <v>49</v>
      </c>
      <c r="C51" s="119" t="b">
        <v>0</v>
      </c>
      <c r="D51" s="118" t="str">
        <v>K8</v>
      </c>
      <c r="E51" s="117" t="str">
        <f t="shared" si="1"/>
        <v>USDIMMFRA6MK8_Quote</v>
      </c>
      <c r="F51" s="116" t="str">
        <f>_xll.qlSimpleQuote(E51,,PriceTickValue,Permanent,Trigger,ObjectOverwrite)</f>
        <v>USDIMMFRA6MK8_Quote#0000</v>
      </c>
      <c r="G51" s="79" t="str">
        <f>_xll.ohRangeRetrieveError(F51)</f>
        <v/>
      </c>
      <c r="H51" s="115"/>
    </row>
    <row r="52" spans="1:8" x14ac:dyDescent="0.2">
      <c r="A52" s="121"/>
      <c r="B52" s="120">
        <v>50</v>
      </c>
      <c r="C52" s="119" t="b">
        <v>0</v>
      </c>
      <c r="D52" s="118" t="str">
        <v>M8</v>
      </c>
      <c r="E52" s="117" t="str">
        <f t="shared" si="1"/>
        <v>USDIMMFRA6MM8_Quote</v>
      </c>
      <c r="F52" s="116" t="str">
        <f>_xll.qlSimpleQuote(E52,,PriceTickValue,Permanent,Trigger,ObjectOverwrite)</f>
        <v>USDIMMFRA6MM8_Quote#0000</v>
      </c>
      <c r="G52" s="79" t="str">
        <f>_xll.ohRangeRetrieveError(F52)</f>
        <v/>
      </c>
      <c r="H52" s="115"/>
    </row>
    <row r="53" spans="1:8" x14ac:dyDescent="0.2">
      <c r="A53" s="121"/>
      <c r="B53" s="120">
        <v>51</v>
      </c>
      <c r="C53" s="119" t="b">
        <v>0</v>
      </c>
      <c r="D53" s="118" t="str">
        <v>N8</v>
      </c>
      <c r="E53" s="117" t="str">
        <f t="shared" si="1"/>
        <v>USDIMMFRA6MN8_Quote</v>
      </c>
      <c r="F53" s="116" t="str">
        <f>_xll.qlSimpleQuote(E53,,PriceTickValue,Permanent,Trigger,ObjectOverwrite)</f>
        <v>USDIMMFRA6MN8_Quote#0000</v>
      </c>
      <c r="G53" s="79" t="str">
        <f>_xll.ohRangeRetrieveError(F53)</f>
        <v/>
      </c>
      <c r="H53" s="115"/>
    </row>
    <row r="54" spans="1:8" x14ac:dyDescent="0.2">
      <c r="A54" s="121"/>
      <c r="B54" s="120">
        <v>52</v>
      </c>
      <c r="C54" s="119" t="b">
        <v>0</v>
      </c>
      <c r="D54" s="118" t="str">
        <v>Q8</v>
      </c>
      <c r="E54" s="117" t="str">
        <f t="shared" si="1"/>
        <v>USDIMMFRA6MQ8_Quote</v>
      </c>
      <c r="F54" s="116" t="str">
        <f>_xll.qlSimpleQuote(E54,,PriceTickValue,Permanent,Trigger,ObjectOverwrite)</f>
        <v>USDIMMFRA6MQ8_Quote#0000</v>
      </c>
      <c r="G54" s="79" t="str">
        <f>_xll.ohRangeRetrieveError(F54)</f>
        <v/>
      </c>
      <c r="H54" s="115"/>
    </row>
    <row r="55" spans="1:8" x14ac:dyDescent="0.2">
      <c r="A55" s="121"/>
      <c r="B55" s="120">
        <v>53</v>
      </c>
      <c r="C55" s="119" t="b">
        <v>0</v>
      </c>
      <c r="D55" s="118" t="str">
        <v>U8</v>
      </c>
      <c r="E55" s="117" t="str">
        <f t="shared" si="1"/>
        <v>USDIMMFRA6MU8_Quote</v>
      </c>
      <c r="F55" s="116" t="str">
        <f>_xll.qlSimpleQuote(E55,,PriceTickValue,Permanent,Trigger,ObjectOverwrite)</f>
        <v>USDIMMFRA6MU8_Quote#0000</v>
      </c>
      <c r="G55" s="79" t="str">
        <f>_xll.ohRangeRetrieveError(F55)</f>
        <v/>
      </c>
      <c r="H55" s="115"/>
    </row>
    <row r="56" spans="1:8" x14ac:dyDescent="0.2">
      <c r="A56" s="121"/>
      <c r="B56" s="120">
        <v>54</v>
      </c>
      <c r="C56" s="119" t="b">
        <v>0</v>
      </c>
      <c r="D56" s="118" t="str">
        <v>V8</v>
      </c>
      <c r="E56" s="117" t="str">
        <f t="shared" si="1"/>
        <v>USDIMMFRA6MV8_Quote</v>
      </c>
      <c r="F56" s="116" t="str">
        <f>_xll.qlSimpleQuote(E56,,PriceTickValue,Permanent,Trigger,ObjectOverwrite)</f>
        <v>USDIMMFRA6MV8_Quote#0000</v>
      </c>
      <c r="G56" s="79" t="str">
        <f>_xll.ohRangeRetrieveError(F56)</f>
        <v/>
      </c>
      <c r="H56" s="115"/>
    </row>
    <row r="57" spans="1:8" x14ac:dyDescent="0.2">
      <c r="A57" s="121"/>
      <c r="B57" s="120">
        <v>55</v>
      </c>
      <c r="C57" s="119" t="b">
        <v>0</v>
      </c>
      <c r="D57" s="118" t="str">
        <v>X8</v>
      </c>
      <c r="E57" s="117" t="str">
        <f t="shared" si="1"/>
        <v>USDIMMFRA6MX8_Quote</v>
      </c>
      <c r="F57" s="116" t="str">
        <f>_xll.qlSimpleQuote(E57,,PriceTickValue,Permanent,Trigger,ObjectOverwrite)</f>
        <v>USDIMMFRA6MX8_Quote#0000</v>
      </c>
      <c r="G57" s="79" t="str">
        <f>_xll.ohRangeRetrieveError(F57)</f>
        <v/>
      </c>
      <c r="H57" s="115"/>
    </row>
    <row r="58" spans="1:8" x14ac:dyDescent="0.2">
      <c r="A58" s="121"/>
      <c r="B58" s="120">
        <v>56</v>
      </c>
      <c r="C58" s="119" t="b">
        <v>0</v>
      </c>
      <c r="D58" s="118" t="str">
        <v>Z8</v>
      </c>
      <c r="E58" s="117" t="str">
        <f t="shared" si="1"/>
        <v>USDIMMFRA6MZ8_Quote</v>
      </c>
      <c r="F58" s="116" t="str">
        <f>_xll.qlSimpleQuote(E58,,PriceTickValue,Permanent,Trigger,ObjectOverwrite)</f>
        <v>USDIMMFRA6MZ8_Quote#0000</v>
      </c>
      <c r="G58" s="79" t="str">
        <f>_xll.ohRangeRetrieveError(F58)</f>
        <v/>
      </c>
      <c r="H58" s="115"/>
    </row>
    <row r="59" spans="1:8" x14ac:dyDescent="0.2">
      <c r="A59" s="121"/>
      <c r="B59" s="120">
        <v>57</v>
      </c>
      <c r="C59" s="119" t="b">
        <v>0</v>
      </c>
      <c r="D59" s="118" t="str">
        <v>F9</v>
      </c>
      <c r="E59" s="117" t="str">
        <f t="shared" si="1"/>
        <v>USDIMMFRA6MF9_Quote</v>
      </c>
      <c r="F59" s="116" t="str">
        <f>_xll.qlSimpleQuote(E59,,PriceTickValue,Permanent,Trigger,ObjectOverwrite)</f>
        <v>USDIMMFRA6MF9_Quote#0000</v>
      </c>
      <c r="G59" s="79" t="str">
        <f>_xll.ohRangeRetrieveError(F59)</f>
        <v/>
      </c>
      <c r="H59" s="115"/>
    </row>
    <row r="60" spans="1:8" x14ac:dyDescent="0.2">
      <c r="A60" s="121"/>
      <c r="B60" s="120">
        <v>58</v>
      </c>
      <c r="C60" s="119" t="b">
        <v>0</v>
      </c>
      <c r="D60" s="118" t="str">
        <v>G9</v>
      </c>
      <c r="E60" s="117" t="str">
        <f t="shared" si="1"/>
        <v>USDIMMFRA6MG9_Quote</v>
      </c>
      <c r="F60" s="116" t="str">
        <f>_xll.qlSimpleQuote(E60,,PriceTickValue,Permanent,Trigger,ObjectOverwrite)</f>
        <v>USDIMMFRA6MG9_Quote#0000</v>
      </c>
      <c r="G60" s="79" t="str">
        <f>_xll.ohRangeRetrieveError(F60)</f>
        <v/>
      </c>
      <c r="H60" s="115"/>
    </row>
    <row r="61" spans="1:8" x14ac:dyDescent="0.2">
      <c r="A61" s="121"/>
      <c r="B61" s="120">
        <v>59</v>
      </c>
      <c r="C61" s="119" t="b">
        <v>0</v>
      </c>
      <c r="D61" s="118" t="str">
        <v>H9</v>
      </c>
      <c r="E61" s="117" t="str">
        <f t="shared" si="1"/>
        <v>USDIMMFRA6MH9_Quote</v>
      </c>
      <c r="F61" s="116" t="str">
        <f>_xll.qlSimpleQuote(E61,,PriceTickValue,Permanent,Trigger,ObjectOverwrite)</f>
        <v>USDIMMFRA6MH9_Quote#0000</v>
      </c>
      <c r="G61" s="79" t="str">
        <f>_xll.ohRangeRetrieveError(F61)</f>
        <v/>
      </c>
      <c r="H61" s="115"/>
    </row>
    <row r="62" spans="1:8" x14ac:dyDescent="0.2">
      <c r="A62" s="121"/>
      <c r="B62" s="120">
        <v>60</v>
      </c>
      <c r="C62" s="119" t="b">
        <v>0</v>
      </c>
      <c r="D62" s="118" t="str">
        <v>J9</v>
      </c>
      <c r="E62" s="117" t="str">
        <f t="shared" si="1"/>
        <v>USDIMMFRA6MJ9_Quote</v>
      </c>
      <c r="F62" s="116" t="str">
        <f>_xll.qlSimpleQuote(E62,,PriceTickValue,Permanent,Trigger,ObjectOverwrite)</f>
        <v>USDIMMFRA6MJ9_Quote#0000</v>
      </c>
      <c r="G62" s="79" t="str">
        <f>_xll.ohRangeRetrieveError(F62)</f>
        <v/>
      </c>
      <c r="H62" s="115"/>
    </row>
    <row r="63" spans="1:8" x14ac:dyDescent="0.2">
      <c r="A63" s="121"/>
      <c r="B63" s="120">
        <v>61</v>
      </c>
      <c r="C63" s="119" t="b">
        <v>0</v>
      </c>
      <c r="D63" s="118" t="str">
        <v>K9</v>
      </c>
      <c r="E63" s="117" t="str">
        <f t="shared" si="1"/>
        <v>USDIMMFRA6MK9_Quote</v>
      </c>
      <c r="F63" s="116" t="str">
        <f>_xll.qlSimpleQuote(E63,,PriceTickValue,Permanent,Trigger,ObjectOverwrite)</f>
        <v>USDIMMFRA6MK9_Quote#0000</v>
      </c>
      <c r="G63" s="79" t="str">
        <f>_xll.ohRangeRetrieveError(F63)</f>
        <v/>
      </c>
      <c r="H63" s="115"/>
    </row>
    <row r="64" spans="1:8" x14ac:dyDescent="0.2">
      <c r="A64" s="121"/>
      <c r="B64" s="120">
        <v>62</v>
      </c>
      <c r="C64" s="119" t="b">
        <v>0</v>
      </c>
      <c r="D64" s="118" t="str">
        <v>M9</v>
      </c>
      <c r="E64" s="117" t="str">
        <f t="shared" si="1"/>
        <v>USDIMMFRA6MM9_Quote</v>
      </c>
      <c r="F64" s="116" t="str">
        <f>_xll.qlSimpleQuote(E64,,PriceTickValue,Permanent,Trigger,ObjectOverwrite)</f>
        <v>USDIMMFRA6MM9_Quote#0000</v>
      </c>
      <c r="G64" s="79" t="str">
        <f>_xll.ohRangeRetrieveError(F64)</f>
        <v/>
      </c>
      <c r="H64" s="115"/>
    </row>
    <row r="65" spans="1:8" x14ac:dyDescent="0.2">
      <c r="A65" s="121"/>
      <c r="B65" s="120">
        <v>63</v>
      </c>
      <c r="C65" s="119" t="b">
        <v>0</v>
      </c>
      <c r="D65" s="118" t="str">
        <v>N9</v>
      </c>
      <c r="E65" s="117" t="str">
        <f t="shared" si="1"/>
        <v>USDIMMFRA6MN9_Quote</v>
      </c>
      <c r="F65" s="116" t="str">
        <f>_xll.qlSimpleQuote(E65,,PriceTickValue,Permanent,Trigger,ObjectOverwrite)</f>
        <v>USDIMMFRA6MN9_Quote#0000</v>
      </c>
      <c r="G65" s="79" t="str">
        <f>_xll.ohRangeRetrieveError(F65)</f>
        <v/>
      </c>
      <c r="H65" s="115"/>
    </row>
    <row r="66" spans="1:8" x14ac:dyDescent="0.2">
      <c r="A66" s="121"/>
      <c r="B66" s="120">
        <v>64</v>
      </c>
      <c r="C66" s="119" t="b">
        <v>0</v>
      </c>
      <c r="D66" s="118" t="str">
        <v>Q9</v>
      </c>
      <c r="E66" s="117" t="str">
        <f t="shared" si="1"/>
        <v>USDIMMFRA6MQ9_Quote</v>
      </c>
      <c r="F66" s="116" t="str">
        <f>_xll.qlSimpleQuote(E66,,PriceTickValue,Permanent,Trigger,ObjectOverwrite)</f>
        <v>USDIMMFRA6MQ9_Quote#0000</v>
      </c>
      <c r="G66" s="79" t="str">
        <f>_xll.ohRangeRetrieveError(F66)</f>
        <v/>
      </c>
      <c r="H66" s="115"/>
    </row>
    <row r="67" spans="1:8" x14ac:dyDescent="0.2">
      <c r="A67" s="121"/>
      <c r="B67" s="120">
        <v>65</v>
      </c>
      <c r="C67" s="119" t="b">
        <v>0</v>
      </c>
      <c r="D67" s="118" t="str">
        <v>U9</v>
      </c>
      <c r="E67" s="117" t="str">
        <f t="shared" ref="E67:E98" si="2">Currency&amp;$D$1&amp;$E$1&amp;$D67&amp;QuoteSuffix</f>
        <v>USDIMMFRA6MU9_Quote</v>
      </c>
      <c r="F67" s="116" t="str">
        <f>_xll.qlSimpleQuote(E67,,PriceTickValue,Permanent,Trigger,ObjectOverwrite)</f>
        <v>USDIMMFRA6MU9_Quote#0000</v>
      </c>
      <c r="G67" s="79" t="str">
        <f>_xll.ohRangeRetrieveError(F67)</f>
        <v/>
      </c>
      <c r="H67" s="115"/>
    </row>
    <row r="68" spans="1:8" x14ac:dyDescent="0.2">
      <c r="A68" s="121"/>
      <c r="B68" s="120">
        <v>66</v>
      </c>
      <c r="C68" s="119" t="b">
        <v>0</v>
      </c>
      <c r="D68" s="118" t="str">
        <v>V9</v>
      </c>
      <c r="E68" s="117" t="str">
        <f t="shared" si="2"/>
        <v>USDIMMFRA6MV9_Quote</v>
      </c>
      <c r="F68" s="116" t="str">
        <f>_xll.qlSimpleQuote(E68,,PriceTickValue,Permanent,Trigger,ObjectOverwrite)</f>
        <v>USDIMMFRA6MV9_Quote#0000</v>
      </c>
      <c r="G68" s="79" t="str">
        <f>_xll.ohRangeRetrieveError(F68)</f>
        <v/>
      </c>
      <c r="H68" s="115"/>
    </row>
    <row r="69" spans="1:8" x14ac:dyDescent="0.2">
      <c r="A69" s="121"/>
      <c r="B69" s="120">
        <v>67</v>
      </c>
      <c r="C69" s="119" t="b">
        <v>0</v>
      </c>
      <c r="D69" s="118" t="str">
        <v>X9</v>
      </c>
      <c r="E69" s="117" t="str">
        <f t="shared" si="2"/>
        <v>USDIMMFRA6MX9_Quote</v>
      </c>
      <c r="F69" s="116" t="str">
        <f>_xll.qlSimpleQuote(E69,,PriceTickValue,Permanent,Trigger,ObjectOverwrite)</f>
        <v>USDIMMFRA6MX9_Quote#0000</v>
      </c>
      <c r="G69" s="79" t="str">
        <f>_xll.ohRangeRetrieveError(F69)</f>
        <v/>
      </c>
      <c r="H69" s="115"/>
    </row>
    <row r="70" spans="1:8" x14ac:dyDescent="0.2">
      <c r="A70" s="121"/>
      <c r="B70" s="120">
        <v>68</v>
      </c>
      <c r="C70" s="119" t="b">
        <v>0</v>
      </c>
      <c r="D70" s="118" t="str">
        <v>Z9</v>
      </c>
      <c r="E70" s="117" t="str">
        <f t="shared" si="2"/>
        <v>USDIMMFRA6MZ9_Quote</v>
      </c>
      <c r="F70" s="116" t="str">
        <f>_xll.qlSimpleQuote(E70,,PriceTickValue,Permanent,Trigger,ObjectOverwrite)</f>
        <v>USDIMMFRA6MZ9_Quote#0000</v>
      </c>
      <c r="G70" s="79" t="str">
        <f>_xll.ohRangeRetrieveError(F70)</f>
        <v/>
      </c>
      <c r="H70" s="115"/>
    </row>
    <row r="71" spans="1:8" x14ac:dyDescent="0.2">
      <c r="A71" s="121"/>
      <c r="B71" s="120">
        <v>69</v>
      </c>
      <c r="C71" s="119" t="b">
        <v>0</v>
      </c>
      <c r="D71" s="118" t="str">
        <v>F0</v>
      </c>
      <c r="E71" s="117" t="str">
        <f t="shared" si="2"/>
        <v>USDIMMFRA6MF0_Quote</v>
      </c>
      <c r="F71" s="116" t="str">
        <f>_xll.qlSimpleQuote(E71,,PriceTickValue,Permanent,Trigger,ObjectOverwrite)</f>
        <v>USDIMMFRA6MF0_Quote#0000</v>
      </c>
      <c r="G71" s="79" t="str">
        <f>_xll.ohRangeRetrieveError(F71)</f>
        <v/>
      </c>
      <c r="H71" s="115"/>
    </row>
    <row r="72" spans="1:8" x14ac:dyDescent="0.2">
      <c r="A72" s="121"/>
      <c r="B72" s="120">
        <v>70</v>
      </c>
      <c r="C72" s="119" t="b">
        <v>0</v>
      </c>
      <c r="D72" s="118" t="str">
        <v>G0</v>
      </c>
      <c r="E72" s="117" t="str">
        <f t="shared" si="2"/>
        <v>USDIMMFRA6MG0_Quote</v>
      </c>
      <c r="F72" s="116" t="str">
        <f>_xll.qlSimpleQuote(E72,,PriceTickValue,Permanent,Trigger,ObjectOverwrite)</f>
        <v>USDIMMFRA6MG0_Quote#0000</v>
      </c>
      <c r="G72" s="79" t="str">
        <f>_xll.ohRangeRetrieveError(F72)</f>
        <v/>
      </c>
      <c r="H72" s="115"/>
    </row>
    <row r="73" spans="1:8" x14ac:dyDescent="0.2">
      <c r="A73" s="121"/>
      <c r="B73" s="120">
        <v>71</v>
      </c>
      <c r="C73" s="119" t="b">
        <v>0</v>
      </c>
      <c r="D73" s="118" t="str">
        <v>H0</v>
      </c>
      <c r="E73" s="117" t="str">
        <f t="shared" si="2"/>
        <v>USDIMMFRA6MH0_Quote</v>
      </c>
      <c r="F73" s="116" t="str">
        <f>_xll.qlSimpleQuote(E73,,PriceTickValue,Permanent,Trigger,ObjectOverwrite)</f>
        <v>USDIMMFRA6MH0_Quote#0000</v>
      </c>
      <c r="G73" s="79" t="str">
        <f>_xll.ohRangeRetrieveError(F73)</f>
        <v/>
      </c>
      <c r="H73" s="115"/>
    </row>
    <row r="74" spans="1:8" x14ac:dyDescent="0.2">
      <c r="A74" s="121"/>
      <c r="B74" s="120">
        <v>72</v>
      </c>
      <c r="C74" s="119" t="b">
        <v>0</v>
      </c>
      <c r="D74" s="118" t="str">
        <v>J0</v>
      </c>
      <c r="E74" s="117" t="str">
        <f t="shared" si="2"/>
        <v>USDIMMFRA6MJ0_Quote</v>
      </c>
      <c r="F74" s="116" t="str">
        <f>_xll.qlSimpleQuote(E74,,PriceTickValue,Permanent,Trigger,ObjectOverwrite)</f>
        <v>USDIMMFRA6MJ0_Quote#0000</v>
      </c>
      <c r="G74" s="79" t="str">
        <f>_xll.ohRangeRetrieveError(F74)</f>
        <v/>
      </c>
      <c r="H74" s="115"/>
    </row>
    <row r="75" spans="1:8" x14ac:dyDescent="0.2">
      <c r="A75" s="121"/>
      <c r="B75" s="120">
        <v>73</v>
      </c>
      <c r="C75" s="119" t="b">
        <v>0</v>
      </c>
      <c r="D75" s="118" t="str">
        <v>K0</v>
      </c>
      <c r="E75" s="117" t="str">
        <f t="shared" si="2"/>
        <v>USDIMMFRA6MK0_Quote</v>
      </c>
      <c r="F75" s="116" t="str">
        <f>_xll.qlSimpleQuote(E75,,PriceTickValue,Permanent,Trigger,ObjectOverwrite)</f>
        <v>USDIMMFRA6MK0_Quote#0000</v>
      </c>
      <c r="G75" s="79" t="str">
        <f>_xll.ohRangeRetrieveError(F75)</f>
        <v/>
      </c>
      <c r="H75" s="115"/>
    </row>
    <row r="76" spans="1:8" x14ac:dyDescent="0.2">
      <c r="A76" s="121"/>
      <c r="B76" s="120">
        <v>74</v>
      </c>
      <c r="C76" s="119" t="b">
        <v>0</v>
      </c>
      <c r="D76" s="118" t="str">
        <v>M0</v>
      </c>
      <c r="E76" s="117" t="str">
        <f t="shared" si="2"/>
        <v>USDIMMFRA6MM0_Quote</v>
      </c>
      <c r="F76" s="116" t="str">
        <f>_xll.qlSimpleQuote(E76,,PriceTickValue,Permanent,Trigger,ObjectOverwrite)</f>
        <v>USDIMMFRA6MM0_Quote#0000</v>
      </c>
      <c r="G76" s="79" t="str">
        <f>_xll.ohRangeRetrieveError(F76)</f>
        <v/>
      </c>
      <c r="H76" s="115"/>
    </row>
    <row r="77" spans="1:8" x14ac:dyDescent="0.2">
      <c r="A77" s="121"/>
      <c r="B77" s="120">
        <v>75</v>
      </c>
      <c r="C77" s="119" t="b">
        <v>0</v>
      </c>
      <c r="D77" s="118" t="str">
        <v>N0</v>
      </c>
      <c r="E77" s="117" t="str">
        <f t="shared" si="2"/>
        <v>USDIMMFRA6MN0_Quote</v>
      </c>
      <c r="F77" s="116" t="str">
        <f>_xll.qlSimpleQuote(E77,,PriceTickValue,Permanent,Trigger,ObjectOverwrite)</f>
        <v>USDIMMFRA6MN0_Quote#0000</v>
      </c>
      <c r="G77" s="79" t="str">
        <f>_xll.ohRangeRetrieveError(F77)</f>
        <v/>
      </c>
      <c r="H77" s="115"/>
    </row>
    <row r="78" spans="1:8" x14ac:dyDescent="0.2">
      <c r="A78" s="121"/>
      <c r="B78" s="120">
        <v>76</v>
      </c>
      <c r="C78" s="119" t="b">
        <v>0</v>
      </c>
      <c r="D78" s="118" t="str">
        <v>Q0</v>
      </c>
      <c r="E78" s="117" t="str">
        <f t="shared" si="2"/>
        <v>USDIMMFRA6MQ0_Quote</v>
      </c>
      <c r="F78" s="116" t="str">
        <f>_xll.qlSimpleQuote(E78,,PriceTickValue,Permanent,Trigger,ObjectOverwrite)</f>
        <v>USDIMMFRA6MQ0_Quote#0000</v>
      </c>
      <c r="G78" s="79" t="str">
        <f>_xll.ohRangeRetrieveError(F78)</f>
        <v/>
      </c>
      <c r="H78" s="115"/>
    </row>
    <row r="79" spans="1:8" x14ac:dyDescent="0.2">
      <c r="A79" s="121"/>
      <c r="B79" s="120">
        <v>77</v>
      </c>
      <c r="C79" s="119" t="b">
        <v>0</v>
      </c>
      <c r="D79" s="118" t="str">
        <v>U0</v>
      </c>
      <c r="E79" s="117" t="str">
        <f t="shared" si="2"/>
        <v>USDIMMFRA6MU0_Quote</v>
      </c>
      <c r="F79" s="116" t="str">
        <f>_xll.qlSimpleQuote(E79,,PriceTickValue,Permanent,Trigger,ObjectOverwrite)</f>
        <v>USDIMMFRA6MU0_Quote#0000</v>
      </c>
      <c r="G79" s="79" t="str">
        <f>_xll.ohRangeRetrieveError(F79)</f>
        <v/>
      </c>
      <c r="H79" s="115"/>
    </row>
    <row r="80" spans="1:8" x14ac:dyDescent="0.2">
      <c r="A80" s="121"/>
      <c r="B80" s="120">
        <v>78</v>
      </c>
      <c r="C80" s="119" t="b">
        <v>0</v>
      </c>
      <c r="D80" s="118" t="str">
        <v>V0</v>
      </c>
      <c r="E80" s="117" t="str">
        <f t="shared" si="2"/>
        <v>USDIMMFRA6MV0_Quote</v>
      </c>
      <c r="F80" s="116" t="str">
        <f>_xll.qlSimpleQuote(E80,,PriceTickValue,Permanent,Trigger,ObjectOverwrite)</f>
        <v>USDIMMFRA6MV0_Quote#0000</v>
      </c>
      <c r="G80" s="79" t="str">
        <f>_xll.ohRangeRetrieveError(F80)</f>
        <v/>
      </c>
      <c r="H80" s="115"/>
    </row>
    <row r="81" spans="1:8" x14ac:dyDescent="0.2">
      <c r="A81" s="121"/>
      <c r="B81" s="120">
        <v>79</v>
      </c>
      <c r="C81" s="119" t="b">
        <v>0</v>
      </c>
      <c r="D81" s="118" t="str">
        <v>X0</v>
      </c>
      <c r="E81" s="117" t="str">
        <f t="shared" si="2"/>
        <v>USDIMMFRA6MX0_Quote</v>
      </c>
      <c r="F81" s="116" t="str">
        <f>_xll.qlSimpleQuote(E81,,PriceTickValue,Permanent,Trigger,ObjectOverwrite)</f>
        <v>USDIMMFRA6MX0_Quote#0000</v>
      </c>
      <c r="G81" s="79" t="str">
        <f>_xll.ohRangeRetrieveError(F81)</f>
        <v/>
      </c>
      <c r="H81" s="115"/>
    </row>
    <row r="82" spans="1:8" x14ac:dyDescent="0.2">
      <c r="A82" s="121"/>
      <c r="B82" s="120">
        <v>80</v>
      </c>
      <c r="C82" s="119" t="b">
        <v>0</v>
      </c>
      <c r="D82" s="118" t="str">
        <v>Z0</v>
      </c>
      <c r="E82" s="117" t="str">
        <f t="shared" si="2"/>
        <v>USDIMMFRA6MZ0_Quote</v>
      </c>
      <c r="F82" s="116" t="str">
        <f>_xll.qlSimpleQuote(E82,,PriceTickValue,Permanent,Trigger,ObjectOverwrite)</f>
        <v>USDIMMFRA6MZ0_Quote#0000</v>
      </c>
      <c r="G82" s="79" t="str">
        <f>_xll.ohRangeRetrieveError(F82)</f>
        <v/>
      </c>
      <c r="H82" s="115"/>
    </row>
    <row r="83" spans="1:8" x14ac:dyDescent="0.2">
      <c r="A83" s="121"/>
      <c r="B83" s="120">
        <v>81</v>
      </c>
      <c r="C83" s="119" t="b">
        <v>0</v>
      </c>
      <c r="D83" s="118" t="str">
        <v>F1</v>
      </c>
      <c r="E83" s="117" t="str">
        <f t="shared" si="2"/>
        <v>USDIMMFRA6MF1_Quote</v>
      </c>
      <c r="F83" s="116" t="str">
        <f>_xll.qlSimpleQuote(E83,,PriceTickValue,Permanent,Trigger,ObjectOverwrite)</f>
        <v>USDIMMFRA6MF1_Quote#0000</v>
      </c>
      <c r="G83" s="79" t="str">
        <f>_xll.ohRangeRetrieveError(F83)</f>
        <v/>
      </c>
      <c r="H83" s="115"/>
    </row>
    <row r="84" spans="1:8" x14ac:dyDescent="0.2">
      <c r="A84" s="121"/>
      <c r="B84" s="120">
        <v>82</v>
      </c>
      <c r="C84" s="119" t="b">
        <v>0</v>
      </c>
      <c r="D84" s="118" t="str">
        <v>G1</v>
      </c>
      <c r="E84" s="117" t="str">
        <f t="shared" si="2"/>
        <v>USDIMMFRA6MG1_Quote</v>
      </c>
      <c r="F84" s="116" t="str">
        <f>_xll.qlSimpleQuote(E84,,PriceTickValue,Permanent,Trigger,ObjectOverwrite)</f>
        <v>USDIMMFRA6MG1_Quote#0000</v>
      </c>
      <c r="G84" s="79" t="str">
        <f>_xll.ohRangeRetrieveError(F84)</f>
        <v/>
      </c>
      <c r="H84" s="115"/>
    </row>
    <row r="85" spans="1:8" x14ac:dyDescent="0.2">
      <c r="A85" s="121"/>
      <c r="B85" s="120">
        <v>83</v>
      </c>
      <c r="C85" s="119" t="b">
        <v>0</v>
      </c>
      <c r="D85" s="118" t="str">
        <v>H1</v>
      </c>
      <c r="E85" s="117" t="str">
        <f t="shared" si="2"/>
        <v>USDIMMFRA6MH1_Quote</v>
      </c>
      <c r="F85" s="116" t="str">
        <f>_xll.qlSimpleQuote(E85,,PriceTickValue,Permanent,Trigger,ObjectOverwrite)</f>
        <v>USDIMMFRA6MH1_Quote#0000</v>
      </c>
      <c r="G85" s="79" t="str">
        <f>_xll.ohRangeRetrieveError(F85)</f>
        <v/>
      </c>
      <c r="H85" s="115"/>
    </row>
    <row r="86" spans="1:8" x14ac:dyDescent="0.2">
      <c r="A86" s="121"/>
      <c r="B86" s="120">
        <v>84</v>
      </c>
      <c r="C86" s="119" t="b">
        <v>0</v>
      </c>
      <c r="D86" s="118" t="str">
        <v>J1</v>
      </c>
      <c r="E86" s="117" t="str">
        <f t="shared" si="2"/>
        <v>USDIMMFRA6MJ1_Quote</v>
      </c>
      <c r="F86" s="116" t="str">
        <f>_xll.qlSimpleQuote(E86,,PriceTickValue,Permanent,Trigger,ObjectOverwrite)</f>
        <v>USDIMMFRA6MJ1_Quote#0000</v>
      </c>
      <c r="G86" s="79" t="str">
        <f>_xll.ohRangeRetrieveError(F86)</f>
        <v/>
      </c>
      <c r="H86" s="115"/>
    </row>
    <row r="87" spans="1:8" x14ac:dyDescent="0.2">
      <c r="A87" s="121"/>
      <c r="B87" s="120">
        <v>85</v>
      </c>
      <c r="C87" s="119" t="b">
        <v>0</v>
      </c>
      <c r="D87" s="118" t="str">
        <v>K1</v>
      </c>
      <c r="E87" s="117" t="str">
        <f t="shared" si="2"/>
        <v>USDIMMFRA6MK1_Quote</v>
      </c>
      <c r="F87" s="116" t="str">
        <f>_xll.qlSimpleQuote(E87,,PriceTickValue,Permanent,Trigger,ObjectOverwrite)</f>
        <v>USDIMMFRA6MK1_Quote#0000</v>
      </c>
      <c r="G87" s="79" t="str">
        <f>_xll.ohRangeRetrieveError(F87)</f>
        <v/>
      </c>
      <c r="H87" s="115"/>
    </row>
    <row r="88" spans="1:8" x14ac:dyDescent="0.2">
      <c r="A88" s="121"/>
      <c r="B88" s="120">
        <v>86</v>
      </c>
      <c r="C88" s="119" t="b">
        <v>0</v>
      </c>
      <c r="D88" s="118" t="str">
        <v>M1</v>
      </c>
      <c r="E88" s="117" t="str">
        <f t="shared" si="2"/>
        <v>USDIMMFRA6MM1_Quote</v>
      </c>
      <c r="F88" s="116" t="str">
        <f>_xll.qlSimpleQuote(E88,,PriceTickValue,Permanent,Trigger,ObjectOverwrite)</f>
        <v>USDIMMFRA6MM1_Quote#0000</v>
      </c>
      <c r="G88" s="79" t="str">
        <f>_xll.ohRangeRetrieveError(F88)</f>
        <v/>
      </c>
      <c r="H88" s="115"/>
    </row>
    <row r="89" spans="1:8" x14ac:dyDescent="0.2">
      <c r="A89" s="121"/>
      <c r="B89" s="120">
        <v>87</v>
      </c>
      <c r="C89" s="119" t="b">
        <v>0</v>
      </c>
      <c r="D89" s="118" t="str">
        <v>N1</v>
      </c>
      <c r="E89" s="117" t="str">
        <f t="shared" si="2"/>
        <v>USDIMMFRA6MN1_Quote</v>
      </c>
      <c r="F89" s="116" t="str">
        <f>_xll.qlSimpleQuote(E89,,PriceTickValue,Permanent,Trigger,ObjectOverwrite)</f>
        <v>USDIMMFRA6MN1_Quote#0000</v>
      </c>
      <c r="G89" s="79" t="str">
        <f>_xll.ohRangeRetrieveError(F89)</f>
        <v/>
      </c>
      <c r="H89" s="115"/>
    </row>
    <row r="90" spans="1:8" x14ac:dyDescent="0.2">
      <c r="A90" s="121"/>
      <c r="B90" s="120">
        <v>88</v>
      </c>
      <c r="C90" s="119" t="b">
        <v>0</v>
      </c>
      <c r="D90" s="118" t="str">
        <v>Q1</v>
      </c>
      <c r="E90" s="117" t="str">
        <f t="shared" si="2"/>
        <v>USDIMMFRA6MQ1_Quote</v>
      </c>
      <c r="F90" s="116" t="str">
        <f>_xll.qlSimpleQuote(E90,,PriceTickValue,Permanent,Trigger,ObjectOverwrite)</f>
        <v>USDIMMFRA6MQ1_Quote#0000</v>
      </c>
      <c r="G90" s="79" t="str">
        <f>_xll.ohRangeRetrieveError(F90)</f>
        <v/>
      </c>
      <c r="H90" s="115"/>
    </row>
    <row r="91" spans="1:8" x14ac:dyDescent="0.2">
      <c r="A91" s="121"/>
      <c r="B91" s="120">
        <v>89</v>
      </c>
      <c r="C91" s="119" t="b">
        <v>0</v>
      </c>
      <c r="D91" s="118" t="str">
        <v>U1</v>
      </c>
      <c r="E91" s="117" t="str">
        <f t="shared" si="2"/>
        <v>USDIMMFRA6MU1_Quote</v>
      </c>
      <c r="F91" s="116" t="str">
        <f>_xll.qlSimpleQuote(E91,,PriceTickValue,Permanent,Trigger,ObjectOverwrite)</f>
        <v>USDIMMFRA6MU1_Quote#0000</v>
      </c>
      <c r="G91" s="79" t="str">
        <f>_xll.ohRangeRetrieveError(F91)</f>
        <v/>
      </c>
      <c r="H91" s="115"/>
    </row>
    <row r="92" spans="1:8" x14ac:dyDescent="0.2">
      <c r="A92" s="121"/>
      <c r="B92" s="120">
        <v>90</v>
      </c>
      <c r="C92" s="119" t="b">
        <v>0</v>
      </c>
      <c r="D92" s="118" t="str">
        <v>V1</v>
      </c>
      <c r="E92" s="117" t="str">
        <f t="shared" si="2"/>
        <v>USDIMMFRA6MV1_Quote</v>
      </c>
      <c r="F92" s="116" t="str">
        <f>_xll.qlSimpleQuote(E92,,PriceTickValue,Permanent,Trigger,ObjectOverwrite)</f>
        <v>USDIMMFRA6MV1_Quote#0000</v>
      </c>
      <c r="G92" s="79" t="str">
        <f>_xll.ohRangeRetrieveError(F92)</f>
        <v/>
      </c>
      <c r="H92" s="115"/>
    </row>
    <row r="93" spans="1:8" x14ac:dyDescent="0.2">
      <c r="A93" s="121"/>
      <c r="B93" s="120">
        <v>91</v>
      </c>
      <c r="C93" s="119" t="b">
        <v>0</v>
      </c>
      <c r="D93" s="118" t="str">
        <v>X1</v>
      </c>
      <c r="E93" s="117" t="str">
        <f t="shared" si="2"/>
        <v>USDIMMFRA6MX1_Quote</v>
      </c>
      <c r="F93" s="116" t="str">
        <f>_xll.qlSimpleQuote(E93,,PriceTickValue,Permanent,Trigger,ObjectOverwrite)</f>
        <v>USDIMMFRA6MX1_Quote#0000</v>
      </c>
      <c r="G93" s="79" t="str">
        <f>_xll.ohRangeRetrieveError(F93)</f>
        <v/>
      </c>
      <c r="H93" s="115"/>
    </row>
    <row r="94" spans="1:8" x14ac:dyDescent="0.2">
      <c r="A94" s="121"/>
      <c r="B94" s="120">
        <v>92</v>
      </c>
      <c r="C94" s="119" t="b">
        <v>0</v>
      </c>
      <c r="D94" s="118" t="str">
        <v>Z1</v>
      </c>
      <c r="E94" s="117" t="str">
        <f t="shared" si="2"/>
        <v>USDIMMFRA6MZ1_Quote</v>
      </c>
      <c r="F94" s="116" t="str">
        <f>_xll.qlSimpleQuote(E94,,PriceTickValue,Permanent,Trigger,ObjectOverwrite)</f>
        <v>USDIMMFRA6MZ1_Quote#0000</v>
      </c>
      <c r="G94" s="79" t="str">
        <f>_xll.ohRangeRetrieveError(F94)</f>
        <v/>
      </c>
      <c r="H94" s="115"/>
    </row>
    <row r="95" spans="1:8" x14ac:dyDescent="0.2">
      <c r="A95" s="121"/>
      <c r="B95" s="120">
        <v>93</v>
      </c>
      <c r="C95" s="119" t="b">
        <v>0</v>
      </c>
      <c r="D95" s="118" t="str">
        <v>F2</v>
      </c>
      <c r="E95" s="117" t="str">
        <f t="shared" si="2"/>
        <v>USDIMMFRA6MF2_Quote</v>
      </c>
      <c r="F95" s="116" t="str">
        <f>_xll.qlSimpleQuote(E95,,PriceTickValue,Permanent,Trigger,ObjectOverwrite)</f>
        <v>USDIMMFRA6MF2_Quote#0000</v>
      </c>
      <c r="G95" s="79" t="str">
        <f>_xll.ohRangeRetrieveError(F95)</f>
        <v/>
      </c>
      <c r="H95" s="115"/>
    </row>
    <row r="96" spans="1:8" x14ac:dyDescent="0.2">
      <c r="A96" s="121"/>
      <c r="B96" s="120">
        <v>94</v>
      </c>
      <c r="C96" s="119" t="b">
        <v>0</v>
      </c>
      <c r="D96" s="118" t="str">
        <v>G2</v>
      </c>
      <c r="E96" s="117" t="str">
        <f t="shared" si="2"/>
        <v>USDIMMFRA6MG2_Quote</v>
      </c>
      <c r="F96" s="116" t="str">
        <f>_xll.qlSimpleQuote(E96,,PriceTickValue,Permanent,Trigger,ObjectOverwrite)</f>
        <v>USDIMMFRA6MG2_Quote#0000</v>
      </c>
      <c r="G96" s="79" t="str">
        <f>_xll.ohRangeRetrieveError(F96)</f>
        <v/>
      </c>
      <c r="H96" s="115"/>
    </row>
    <row r="97" spans="1:8" x14ac:dyDescent="0.2">
      <c r="A97" s="121"/>
      <c r="B97" s="120">
        <v>95</v>
      </c>
      <c r="C97" s="119" t="b">
        <v>0</v>
      </c>
      <c r="D97" s="118" t="str">
        <v>H2</v>
      </c>
      <c r="E97" s="117" t="str">
        <f t="shared" si="2"/>
        <v>USDIMMFRA6MH2_Quote</v>
      </c>
      <c r="F97" s="116" t="str">
        <f>_xll.qlSimpleQuote(E97,,PriceTickValue,Permanent,Trigger,ObjectOverwrite)</f>
        <v>USDIMMFRA6MH2_Quote#0000</v>
      </c>
      <c r="G97" s="79" t="str">
        <f>_xll.ohRangeRetrieveError(F97)</f>
        <v/>
      </c>
      <c r="H97" s="115"/>
    </row>
    <row r="98" spans="1:8" x14ac:dyDescent="0.2">
      <c r="A98" s="121"/>
      <c r="B98" s="120">
        <v>96</v>
      </c>
      <c r="C98" s="119" t="b">
        <v>0</v>
      </c>
      <c r="D98" s="118" t="str">
        <v>J2</v>
      </c>
      <c r="E98" s="117" t="str">
        <f t="shared" si="2"/>
        <v>USDIMMFRA6MJ2_Quote</v>
      </c>
      <c r="F98" s="116" t="str">
        <f>_xll.qlSimpleQuote(E98,,PriceTickValue,Permanent,Trigger,ObjectOverwrite)</f>
        <v>USDIMMFRA6MJ2_Quote#0000</v>
      </c>
      <c r="G98" s="79" t="str">
        <f>_xll.ohRangeRetrieveError(F98)</f>
        <v/>
      </c>
      <c r="H98" s="115"/>
    </row>
    <row r="99" spans="1:8" x14ac:dyDescent="0.2">
      <c r="A99" s="121"/>
      <c r="B99" s="120">
        <v>97</v>
      </c>
      <c r="C99" s="119" t="b">
        <v>0</v>
      </c>
      <c r="D99" s="118" t="str">
        <v>K2</v>
      </c>
      <c r="E99" s="117" t="str">
        <f t="shared" ref="E99:E122" si="3">Currency&amp;$D$1&amp;$E$1&amp;$D99&amp;QuoteSuffix</f>
        <v>USDIMMFRA6MK2_Quote</v>
      </c>
      <c r="F99" s="116" t="str">
        <f>_xll.qlSimpleQuote(E99,,PriceTickValue,Permanent,Trigger,ObjectOverwrite)</f>
        <v>USDIMMFRA6MK2_Quote#0000</v>
      </c>
      <c r="G99" s="79" t="str">
        <f>_xll.ohRangeRetrieveError(F99)</f>
        <v/>
      </c>
      <c r="H99" s="115"/>
    </row>
    <row r="100" spans="1:8" x14ac:dyDescent="0.2">
      <c r="A100" s="121"/>
      <c r="B100" s="120">
        <v>98</v>
      </c>
      <c r="C100" s="119" t="b">
        <v>0</v>
      </c>
      <c r="D100" s="118" t="str">
        <v>M2</v>
      </c>
      <c r="E100" s="117" t="str">
        <f t="shared" si="3"/>
        <v>USDIMMFRA6MM2_Quote</v>
      </c>
      <c r="F100" s="116" t="str">
        <f>_xll.qlSimpleQuote(E100,,PriceTickValue,Permanent,Trigger,ObjectOverwrite)</f>
        <v>USDIMMFRA6MM2_Quote#0000</v>
      </c>
      <c r="G100" s="79" t="str">
        <f>_xll.ohRangeRetrieveError(F100)</f>
        <v/>
      </c>
      <c r="H100" s="115"/>
    </row>
    <row r="101" spans="1:8" x14ac:dyDescent="0.2">
      <c r="A101" s="121"/>
      <c r="B101" s="120">
        <v>99</v>
      </c>
      <c r="C101" s="119" t="b">
        <v>0</v>
      </c>
      <c r="D101" s="118" t="str">
        <v>N2</v>
      </c>
      <c r="E101" s="117" t="str">
        <f t="shared" si="3"/>
        <v>USDIMMFRA6MN2_Quote</v>
      </c>
      <c r="F101" s="116" t="str">
        <f>_xll.qlSimpleQuote(E101,,PriceTickValue,Permanent,Trigger,ObjectOverwrite)</f>
        <v>USDIMMFRA6MN2_Quote#0000</v>
      </c>
      <c r="G101" s="79" t="str">
        <f>_xll.ohRangeRetrieveError(F101)</f>
        <v/>
      </c>
      <c r="H101" s="115"/>
    </row>
    <row r="102" spans="1:8" x14ac:dyDescent="0.2">
      <c r="A102" s="121"/>
      <c r="B102" s="120">
        <v>100</v>
      </c>
      <c r="C102" s="119" t="b">
        <v>0</v>
      </c>
      <c r="D102" s="118" t="str">
        <v>Q2</v>
      </c>
      <c r="E102" s="117" t="str">
        <f t="shared" si="3"/>
        <v>USDIMMFRA6MQ2_Quote</v>
      </c>
      <c r="F102" s="116" t="str">
        <f>_xll.qlSimpleQuote(E102,,PriceTickValue,Permanent,Trigger,ObjectOverwrite)</f>
        <v>USDIMMFRA6MQ2_Quote#0000</v>
      </c>
      <c r="G102" s="79" t="str">
        <f>_xll.ohRangeRetrieveError(F102)</f>
        <v/>
      </c>
      <c r="H102" s="115"/>
    </row>
    <row r="103" spans="1:8" x14ac:dyDescent="0.2">
      <c r="A103" s="121"/>
      <c r="B103" s="120">
        <v>101</v>
      </c>
      <c r="C103" s="119" t="b">
        <v>0</v>
      </c>
      <c r="D103" s="118" t="str">
        <v>U2</v>
      </c>
      <c r="E103" s="117" t="str">
        <f t="shared" si="3"/>
        <v>USDIMMFRA6MU2_Quote</v>
      </c>
      <c r="F103" s="116" t="str">
        <f>_xll.qlSimpleQuote(E103,,PriceTickValue,Permanent,Trigger,ObjectOverwrite)</f>
        <v>USDIMMFRA6MU2_Quote#0000</v>
      </c>
      <c r="G103" s="79" t="str">
        <f>_xll.ohRangeRetrieveError(F103)</f>
        <v/>
      </c>
      <c r="H103" s="115"/>
    </row>
    <row r="104" spans="1:8" x14ac:dyDescent="0.2">
      <c r="A104" s="121"/>
      <c r="B104" s="120">
        <v>102</v>
      </c>
      <c r="C104" s="119" t="b">
        <v>0</v>
      </c>
      <c r="D104" s="118" t="str">
        <v>V2</v>
      </c>
      <c r="E104" s="117" t="str">
        <f t="shared" si="3"/>
        <v>USDIMMFRA6MV2_Quote</v>
      </c>
      <c r="F104" s="116" t="str">
        <f>_xll.qlSimpleQuote(E104,,PriceTickValue,Permanent,Trigger,ObjectOverwrite)</f>
        <v>USDIMMFRA6MV2_Quote#0000</v>
      </c>
      <c r="G104" s="79" t="str">
        <f>_xll.ohRangeRetrieveError(F104)</f>
        <v/>
      </c>
      <c r="H104" s="115"/>
    </row>
    <row r="105" spans="1:8" x14ac:dyDescent="0.2">
      <c r="A105" s="121"/>
      <c r="B105" s="120">
        <v>103</v>
      </c>
      <c r="C105" s="119" t="b">
        <v>0</v>
      </c>
      <c r="D105" s="118" t="str">
        <v>X2</v>
      </c>
      <c r="E105" s="117" t="str">
        <f t="shared" si="3"/>
        <v>USDIMMFRA6MX2_Quote</v>
      </c>
      <c r="F105" s="116" t="str">
        <f>_xll.qlSimpleQuote(E105,,PriceTickValue,Permanent,Trigger,ObjectOverwrite)</f>
        <v>USDIMMFRA6MX2_Quote#0000</v>
      </c>
      <c r="G105" s="79" t="str">
        <f>_xll.ohRangeRetrieveError(F105)</f>
        <v/>
      </c>
      <c r="H105" s="115"/>
    </row>
    <row r="106" spans="1:8" x14ac:dyDescent="0.2">
      <c r="A106" s="121"/>
      <c r="B106" s="120">
        <v>104</v>
      </c>
      <c r="C106" s="119" t="b">
        <v>0</v>
      </c>
      <c r="D106" s="118" t="str">
        <v>Z2</v>
      </c>
      <c r="E106" s="117" t="str">
        <f t="shared" si="3"/>
        <v>USDIMMFRA6MZ2_Quote</v>
      </c>
      <c r="F106" s="116" t="str">
        <f>_xll.qlSimpleQuote(E106,,PriceTickValue,Permanent,Trigger,ObjectOverwrite)</f>
        <v>USDIMMFRA6MZ2_Quote#0000</v>
      </c>
      <c r="G106" s="79" t="str">
        <f>_xll.ohRangeRetrieveError(F106)</f>
        <v/>
      </c>
      <c r="H106" s="115"/>
    </row>
    <row r="107" spans="1:8" x14ac:dyDescent="0.2">
      <c r="A107" s="121"/>
      <c r="B107" s="120">
        <v>105</v>
      </c>
      <c r="C107" s="119" t="b">
        <v>0</v>
      </c>
      <c r="D107" s="118" t="str">
        <v>F3</v>
      </c>
      <c r="E107" s="117" t="str">
        <f t="shared" si="3"/>
        <v>USDIMMFRA6MF3_Quote</v>
      </c>
      <c r="F107" s="116" t="str">
        <f>_xll.qlSimpleQuote(E107,,PriceTickValue,Permanent,Trigger,ObjectOverwrite)</f>
        <v>USDIMMFRA6MF3_Quote#0000</v>
      </c>
      <c r="G107" s="79" t="str">
        <f>_xll.ohRangeRetrieveError(F107)</f>
        <v/>
      </c>
      <c r="H107" s="115"/>
    </row>
    <row r="108" spans="1:8" x14ac:dyDescent="0.2">
      <c r="A108" s="121"/>
      <c r="B108" s="120">
        <v>106</v>
      </c>
      <c r="C108" s="119" t="b">
        <v>0</v>
      </c>
      <c r="D108" s="118" t="str">
        <v>G3</v>
      </c>
      <c r="E108" s="117" t="str">
        <f t="shared" si="3"/>
        <v>USDIMMFRA6MG3_Quote</v>
      </c>
      <c r="F108" s="116" t="str">
        <f>_xll.qlSimpleQuote(E108,,PriceTickValue,Permanent,Trigger,ObjectOverwrite)</f>
        <v>USDIMMFRA6MG3_Quote#0000</v>
      </c>
      <c r="G108" s="79" t="str">
        <f>_xll.ohRangeRetrieveError(F108)</f>
        <v/>
      </c>
      <c r="H108" s="115"/>
    </row>
    <row r="109" spans="1:8" x14ac:dyDescent="0.2">
      <c r="A109" s="121"/>
      <c r="B109" s="120">
        <v>107</v>
      </c>
      <c r="C109" s="119" t="b">
        <v>0</v>
      </c>
      <c r="D109" s="118" t="str">
        <v>H3</v>
      </c>
      <c r="E109" s="117" t="str">
        <f t="shared" si="3"/>
        <v>USDIMMFRA6MH3_Quote</v>
      </c>
      <c r="F109" s="116" t="str">
        <f>_xll.qlSimpleQuote(E109,,PriceTickValue,Permanent,Trigger,ObjectOverwrite)</f>
        <v>USDIMMFRA6MH3_Quote#0000</v>
      </c>
      <c r="G109" s="79" t="str">
        <f>_xll.ohRangeRetrieveError(F109)</f>
        <v/>
      </c>
      <c r="H109" s="115"/>
    </row>
    <row r="110" spans="1:8" x14ac:dyDescent="0.2">
      <c r="A110" s="121"/>
      <c r="B110" s="120">
        <v>108</v>
      </c>
      <c r="C110" s="119" t="b">
        <v>0</v>
      </c>
      <c r="D110" s="118" t="str">
        <v>J3</v>
      </c>
      <c r="E110" s="117" t="str">
        <f t="shared" si="3"/>
        <v>USDIMMFRA6MJ3_Quote</v>
      </c>
      <c r="F110" s="116" t="str">
        <f>_xll.qlSimpleQuote(E110,,PriceTickValue,Permanent,Trigger,ObjectOverwrite)</f>
        <v>USDIMMFRA6MJ3_Quote#0000</v>
      </c>
      <c r="G110" s="79" t="str">
        <f>_xll.ohRangeRetrieveError(F110)</f>
        <v/>
      </c>
      <c r="H110" s="115"/>
    </row>
    <row r="111" spans="1:8" x14ac:dyDescent="0.2">
      <c r="A111" s="121"/>
      <c r="B111" s="120">
        <v>109</v>
      </c>
      <c r="C111" s="119" t="b">
        <v>0</v>
      </c>
      <c r="D111" s="118" t="str">
        <v>K3</v>
      </c>
      <c r="E111" s="117" t="str">
        <f t="shared" si="3"/>
        <v>USDIMMFRA6MK3_Quote</v>
      </c>
      <c r="F111" s="116" t="str">
        <f>_xll.qlSimpleQuote(E111,,PriceTickValue,Permanent,Trigger,ObjectOverwrite)</f>
        <v>USDIMMFRA6MK3_Quote#0000</v>
      </c>
      <c r="G111" s="79" t="str">
        <f>_xll.ohRangeRetrieveError(F111)</f>
        <v/>
      </c>
      <c r="H111" s="115"/>
    </row>
    <row r="112" spans="1:8" x14ac:dyDescent="0.2">
      <c r="A112" s="121"/>
      <c r="B112" s="120">
        <v>110</v>
      </c>
      <c r="C112" s="119" t="b">
        <v>0</v>
      </c>
      <c r="D112" s="118" t="str">
        <v>M3</v>
      </c>
      <c r="E112" s="117" t="str">
        <f t="shared" si="3"/>
        <v>USDIMMFRA6MM3_Quote</v>
      </c>
      <c r="F112" s="116" t="str">
        <f>_xll.qlSimpleQuote(E112,,PriceTickValue,Permanent,Trigger,ObjectOverwrite)</f>
        <v>USDIMMFRA6MM3_Quote#0000</v>
      </c>
      <c r="G112" s="79" t="str">
        <f>_xll.ohRangeRetrieveError(F112)</f>
        <v/>
      </c>
      <c r="H112" s="115"/>
    </row>
    <row r="113" spans="1:8" x14ac:dyDescent="0.2">
      <c r="A113" s="121"/>
      <c r="B113" s="120">
        <v>111</v>
      </c>
      <c r="C113" s="119" t="b">
        <v>0</v>
      </c>
      <c r="D113" s="118" t="str">
        <v>N3</v>
      </c>
      <c r="E113" s="117" t="str">
        <f t="shared" si="3"/>
        <v>USDIMMFRA6MN3_Quote</v>
      </c>
      <c r="F113" s="116" t="str">
        <f>_xll.qlSimpleQuote(E113,,PriceTickValue,Permanent,Trigger,ObjectOverwrite)</f>
        <v>USDIMMFRA6MN3_Quote#0000</v>
      </c>
      <c r="G113" s="79" t="str">
        <f>_xll.ohRangeRetrieveError(F113)</f>
        <v/>
      </c>
      <c r="H113" s="115"/>
    </row>
    <row r="114" spans="1:8" x14ac:dyDescent="0.2">
      <c r="A114" s="121"/>
      <c r="B114" s="120">
        <v>112</v>
      </c>
      <c r="C114" s="119" t="b">
        <v>0</v>
      </c>
      <c r="D114" s="118" t="str">
        <v>Q3</v>
      </c>
      <c r="E114" s="117" t="str">
        <f t="shared" si="3"/>
        <v>USDIMMFRA6MQ3_Quote</v>
      </c>
      <c r="F114" s="116" t="str">
        <f>_xll.qlSimpleQuote(E114,,PriceTickValue,Permanent,Trigger,ObjectOverwrite)</f>
        <v>USDIMMFRA6MQ3_Quote#0000</v>
      </c>
      <c r="G114" s="79" t="str">
        <f>_xll.ohRangeRetrieveError(F114)</f>
        <v/>
      </c>
      <c r="H114" s="115"/>
    </row>
    <row r="115" spans="1:8" x14ac:dyDescent="0.2">
      <c r="A115" s="121"/>
      <c r="B115" s="120">
        <v>113</v>
      </c>
      <c r="C115" s="119" t="b">
        <v>0</v>
      </c>
      <c r="D115" s="118" t="str">
        <v>U3</v>
      </c>
      <c r="E115" s="117" t="str">
        <f t="shared" si="3"/>
        <v>USDIMMFRA6MU3_Quote</v>
      </c>
      <c r="F115" s="116" t="str">
        <f>_xll.qlSimpleQuote(E115,,PriceTickValue,Permanent,Trigger,ObjectOverwrite)</f>
        <v>USDIMMFRA6MU3_Quote#0000</v>
      </c>
      <c r="G115" s="79" t="str">
        <f>_xll.ohRangeRetrieveError(F115)</f>
        <v/>
      </c>
      <c r="H115" s="115"/>
    </row>
    <row r="116" spans="1:8" x14ac:dyDescent="0.2">
      <c r="A116" s="121"/>
      <c r="B116" s="120">
        <v>114</v>
      </c>
      <c r="C116" s="119" t="b">
        <v>0</v>
      </c>
      <c r="D116" s="118" t="str">
        <v>V3</v>
      </c>
      <c r="E116" s="117" t="str">
        <f t="shared" si="3"/>
        <v>USDIMMFRA6MV3_Quote</v>
      </c>
      <c r="F116" s="116" t="str">
        <f>_xll.qlSimpleQuote(E116,,PriceTickValue,Permanent,Trigger,ObjectOverwrite)</f>
        <v>USDIMMFRA6MV3_Quote#0000</v>
      </c>
      <c r="G116" s="79" t="str">
        <f>_xll.ohRangeRetrieveError(F116)</f>
        <v/>
      </c>
      <c r="H116" s="115"/>
    </row>
    <row r="117" spans="1:8" x14ac:dyDescent="0.2">
      <c r="A117" s="121"/>
      <c r="B117" s="120">
        <v>115</v>
      </c>
      <c r="C117" s="119" t="b">
        <v>0</v>
      </c>
      <c r="D117" s="118" t="str">
        <v>X3</v>
      </c>
      <c r="E117" s="117" t="str">
        <f t="shared" si="3"/>
        <v>USDIMMFRA6MX3_Quote</v>
      </c>
      <c r="F117" s="116" t="str">
        <f>_xll.qlSimpleQuote(E117,,PriceTickValue,Permanent,Trigger,ObjectOverwrite)</f>
        <v>USDIMMFRA6MX3_Quote#0000</v>
      </c>
      <c r="G117" s="79" t="str">
        <f>_xll.ohRangeRetrieveError(F117)</f>
        <v/>
      </c>
      <c r="H117" s="115"/>
    </row>
    <row r="118" spans="1:8" x14ac:dyDescent="0.2">
      <c r="A118" s="121"/>
      <c r="B118" s="120">
        <v>116</v>
      </c>
      <c r="C118" s="119" t="b">
        <v>0</v>
      </c>
      <c r="D118" s="118" t="str">
        <v>Z3</v>
      </c>
      <c r="E118" s="117" t="str">
        <f t="shared" si="3"/>
        <v>USDIMMFRA6MZ3_Quote</v>
      </c>
      <c r="F118" s="116" t="str">
        <f>_xll.qlSimpleQuote(E118,,PriceTickValue,Permanent,Trigger,ObjectOverwrite)</f>
        <v>USDIMMFRA6MZ3_Quote#0000</v>
      </c>
      <c r="G118" s="79" t="str">
        <f>_xll.ohRangeRetrieveError(F118)</f>
        <v/>
      </c>
      <c r="H118" s="115"/>
    </row>
    <row r="119" spans="1:8" x14ac:dyDescent="0.2">
      <c r="A119" s="121"/>
      <c r="B119" s="120">
        <v>117</v>
      </c>
      <c r="C119" s="119" t="b">
        <v>0</v>
      </c>
      <c r="D119" s="118" t="str">
        <v>F4</v>
      </c>
      <c r="E119" s="117" t="str">
        <f t="shared" si="3"/>
        <v>USDIMMFRA6MF4_Quote</v>
      </c>
      <c r="F119" s="116" t="str">
        <f>_xll.qlSimpleQuote(E119,,PriceTickValue,Permanent,Trigger,ObjectOverwrite)</f>
        <v>USDIMMFRA6MF4_Quote#0000</v>
      </c>
      <c r="G119" s="79" t="str">
        <f>_xll.ohRangeRetrieveError(F119)</f>
        <v/>
      </c>
      <c r="H119" s="115"/>
    </row>
    <row r="120" spans="1:8" x14ac:dyDescent="0.2">
      <c r="A120" s="121"/>
      <c r="B120" s="120">
        <v>118</v>
      </c>
      <c r="C120" s="119" t="b">
        <v>0</v>
      </c>
      <c r="D120" s="118" t="str">
        <v>G4</v>
      </c>
      <c r="E120" s="117" t="str">
        <f t="shared" si="3"/>
        <v>USDIMMFRA6MG4_Quote</v>
      </c>
      <c r="F120" s="116" t="str">
        <f>_xll.qlSimpleQuote(E120,,PriceTickValue,Permanent,Trigger,ObjectOverwrite)</f>
        <v>USDIMMFRA6MG4_Quote#0000</v>
      </c>
      <c r="G120" s="79" t="str">
        <f>_xll.ohRangeRetrieveError(F120)</f>
        <v/>
      </c>
      <c r="H120" s="115"/>
    </row>
    <row r="121" spans="1:8" x14ac:dyDescent="0.2">
      <c r="A121" s="121"/>
      <c r="B121" s="120">
        <v>119</v>
      </c>
      <c r="C121" s="119" t="b">
        <v>0</v>
      </c>
      <c r="D121" s="118" t="str">
        <v>H4</v>
      </c>
      <c r="E121" s="117" t="str">
        <f t="shared" si="3"/>
        <v>USDIMMFRA6MH4_Quote</v>
      </c>
      <c r="F121" s="116" t="str">
        <f>_xll.qlSimpleQuote(E121,,PriceTickValue,Permanent,Trigger,ObjectOverwrite)</f>
        <v>USDIMMFRA6MH4_Quote#0000</v>
      </c>
      <c r="G121" s="79" t="str">
        <f>_xll.ohRangeRetrieveError(F121)</f>
        <v/>
      </c>
      <c r="H121" s="115"/>
    </row>
    <row r="122" spans="1:8" x14ac:dyDescent="0.2">
      <c r="A122" s="121"/>
      <c r="B122" s="120">
        <v>120</v>
      </c>
      <c r="C122" s="119" t="b">
        <v>0</v>
      </c>
      <c r="D122" s="118" t="str">
        <v>J4</v>
      </c>
      <c r="E122" s="117" t="str">
        <f t="shared" si="3"/>
        <v>USDIMMFRA6MJ4_Quote</v>
      </c>
      <c r="F122" s="116" t="str">
        <f>_xll.qlSimpleQuote(E122,,PriceTickValue,Permanent,Trigger,ObjectOverwrite)</f>
        <v>USDIMMFRA6MJ4_Quote#0000</v>
      </c>
      <c r="G122" s="79" t="str">
        <f>_xll.ohRangeRetrieveError(F122)</f>
        <v/>
      </c>
      <c r="H122" s="115"/>
    </row>
    <row r="123" spans="1:8" ht="12" thickBot="1" x14ac:dyDescent="0.25">
      <c r="A123" s="114"/>
      <c r="B123" s="113"/>
      <c r="C123" s="113"/>
      <c r="D123" s="113"/>
      <c r="E123" s="113"/>
      <c r="F123" s="113"/>
      <c r="G123" s="113"/>
      <c r="H123" s="112"/>
    </row>
  </sheetData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9"/>
  <sheetViews>
    <sheetView workbookViewId="0">
      <selection activeCell="L6" sqref="L6"/>
    </sheetView>
  </sheetViews>
  <sheetFormatPr defaultRowHeight="11.25" x14ac:dyDescent="0.2"/>
  <cols>
    <col min="1" max="1" width="2.7109375" style="77" customWidth="1"/>
    <col min="2" max="2" width="25.5703125" style="77" bestFit="1" customWidth="1"/>
    <col min="3" max="3" width="27.7109375" style="77" bestFit="1" customWidth="1"/>
    <col min="4" max="4" width="23.28515625" style="77" customWidth="1"/>
    <col min="5" max="7" width="2.7109375" style="77" customWidth="1"/>
    <col min="8" max="8" width="14.140625" style="77" bestFit="1" customWidth="1"/>
    <col min="9" max="9" width="9.140625" style="77"/>
    <col min="10" max="10" width="2.7109375" style="77" customWidth="1"/>
    <col min="11" max="11" width="11.7109375" style="77" bestFit="1" customWidth="1"/>
    <col min="12" max="12" width="9.140625" style="77"/>
    <col min="13" max="13" width="2.7109375" style="77" customWidth="1"/>
    <col min="14" max="14" width="9.140625" style="77"/>
    <col min="15" max="15" width="2.7109375" style="77" customWidth="1"/>
    <col min="16" max="17" width="9.140625" style="77"/>
    <col min="18" max="19" width="2.7109375" style="77" customWidth="1"/>
    <col min="20" max="16384" width="9.140625" style="77"/>
  </cols>
  <sheetData>
    <row r="1" spans="1:22" x14ac:dyDescent="0.2">
      <c r="G1" s="235" t="s">
        <v>280</v>
      </c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47"/>
      <c r="S1" s="13"/>
      <c r="T1" s="13"/>
      <c r="U1" s="13"/>
      <c r="V1" s="13"/>
    </row>
    <row r="2" spans="1:22" x14ac:dyDescent="0.2">
      <c r="G2" s="234"/>
      <c r="H2" s="118" t="s">
        <v>214</v>
      </c>
      <c r="I2" s="111"/>
      <c r="J2" s="111"/>
      <c r="K2" s="111"/>
      <c r="L2" s="111"/>
      <c r="M2" s="111"/>
      <c r="N2" s="111"/>
      <c r="O2" s="111"/>
      <c r="P2" s="111"/>
      <c r="Q2" s="111"/>
      <c r="R2" s="23"/>
      <c r="S2" s="13"/>
      <c r="T2" s="13"/>
      <c r="U2" s="13"/>
      <c r="V2" s="13"/>
    </row>
    <row r="3" spans="1:22" x14ac:dyDescent="0.2">
      <c r="A3" s="87" t="s">
        <v>154</v>
      </c>
      <c r="B3" s="86"/>
      <c r="C3" s="86"/>
      <c r="D3" s="86"/>
      <c r="E3" s="85"/>
      <c r="G3" s="234"/>
      <c r="H3" s="111"/>
      <c r="I3" s="111"/>
      <c r="J3" s="111"/>
      <c r="K3" s="111"/>
      <c r="L3" s="111"/>
      <c r="M3" s="111"/>
      <c r="N3" s="111"/>
      <c r="O3" s="111"/>
      <c r="P3" s="111"/>
      <c r="Q3" s="231">
        <f>_xll.ohTrigger(Q5:Q9)</f>
        <v>154</v>
      </c>
      <c r="R3" s="23"/>
      <c r="S3" s="13"/>
      <c r="T3" s="13"/>
      <c r="U3" s="13" t="s">
        <v>82</v>
      </c>
      <c r="V3" s="13"/>
    </row>
    <row r="4" spans="1:22" ht="13.5" thickBot="1" x14ac:dyDescent="0.25">
      <c r="A4" s="138"/>
      <c r="B4" s="18" t="str">
        <f>Currency&amp;"_010_"&amp;"FuturesHWConvAdj.xml"</f>
        <v>USD_010_FuturesHWConvAdj.xml</v>
      </c>
      <c r="C4" s="7" t="str">
        <f>IF(Serialize,_xll.ohObjectSave(C5:C6,SerializationPath&amp;B4,FileOverwrite,Serialize),"---")</f>
        <v>---</v>
      </c>
      <c r="D4" s="79" t="str">
        <f>_xll.ohRangeRetrieveError(C4)</f>
        <v/>
      </c>
      <c r="E4" s="136"/>
      <c r="G4" s="234"/>
      <c r="H4" s="287" t="str">
        <f>_xll.RData(H5,I4,"RTFEED:IDN",ReutersRtMode,,I5)</f>
        <v>Updated at 16:55:08</v>
      </c>
      <c r="I4" s="314" t="s">
        <v>201</v>
      </c>
      <c r="J4" s="305"/>
      <c r="K4" s="508" t="s">
        <v>254</v>
      </c>
      <c r="L4" s="509"/>
      <c r="M4" s="305"/>
      <c r="N4" s="229" t="s">
        <v>231</v>
      </c>
      <c r="O4" s="303"/>
      <c r="P4" s="437" t="s">
        <v>229</v>
      </c>
      <c r="Q4" s="230" t="s">
        <v>228</v>
      </c>
      <c r="R4" s="23"/>
      <c r="S4" s="13"/>
      <c r="T4" s="13"/>
      <c r="U4" s="13"/>
      <c r="V4" s="13"/>
    </row>
    <row r="5" spans="1:22" x14ac:dyDescent="0.2">
      <c r="A5" s="138"/>
      <c r="B5" s="137" t="str">
        <f>Currency&amp;"HW_Volatility"&amp;QuoteSuffix</f>
        <v>USDHW_Volatility_Quote</v>
      </c>
      <c r="C5" s="137" t="str">
        <f>_xll.qlSimpleQuote(B5,,,Permanent,Trigger,ObjectOverwrite)</f>
        <v>USDHW_Volatility_Quote#0000</v>
      </c>
      <c r="D5" s="79" t="str">
        <f>_xll.ohRangeRetrieveError(C5)</f>
        <v/>
      </c>
      <c r="E5" s="136"/>
      <c r="G5" s="234"/>
      <c r="H5" s="313" t="str">
        <f>VLOOKUP(Currency,$T$5:$V$9,2)&amp;U3&amp;VLOOKUP(Currency,$T$5:$V$9,3)&amp;"ATM="&amp;VLOOKUP(Contributor,ContributorTable,2,FALSE)</f>
        <v>US4Y3LATM=ICAP</v>
      </c>
      <c r="I5" s="312">
        <v>53.43</v>
      </c>
      <c r="J5" s="305"/>
      <c r="K5" s="311" t="s">
        <v>253</v>
      </c>
      <c r="L5" s="309">
        <f>I5/100*IF(ISNUMBER(Swap3M4Y),Swap3M4Y/100,Swap6M4Y/100)*0</f>
        <v>0</v>
      </c>
      <c r="M5" s="305"/>
      <c r="N5" s="310">
        <v>0</v>
      </c>
      <c r="O5" s="303"/>
      <c r="P5" s="438">
        <f t="array" ref="P5:P6">QuoteLive</f>
        <v>0</v>
      </c>
      <c r="Q5" s="309">
        <f>_xll.qlSimpleQuoteSetValue(C5,P5,Trigger)</f>
        <v>0</v>
      </c>
      <c r="R5" s="23"/>
      <c r="S5" s="13"/>
      <c r="T5" s="62" t="s">
        <v>105</v>
      </c>
      <c r="U5" s="188" t="s">
        <v>252</v>
      </c>
      <c r="V5" s="308" t="s">
        <v>99</v>
      </c>
    </row>
    <row r="6" spans="1:22" x14ac:dyDescent="0.2">
      <c r="A6" s="138"/>
      <c r="B6" s="137" t="str">
        <f>Currency&amp;"HW_MeanReversion"&amp;QuoteSuffix</f>
        <v>USDHW_MeanReversion_Quote</v>
      </c>
      <c r="C6" s="137" t="str">
        <f>_xll.qlSimpleQuote(B6,,,Permanent,Trigger,ObjectOverwrite)</f>
        <v>USDHW_MeanReversion_Quote#0000</v>
      </c>
      <c r="D6" s="79" t="str">
        <f>_xll.ohRangeRetrieveError(C6)</f>
        <v/>
      </c>
      <c r="E6" s="136"/>
      <c r="G6" s="234"/>
      <c r="H6" s="302"/>
      <c r="I6" s="307"/>
      <c r="J6" s="305"/>
      <c r="K6" s="306" t="s">
        <v>251</v>
      </c>
      <c r="L6" s="301">
        <v>0.03</v>
      </c>
      <c r="M6" s="305"/>
      <c r="N6" s="304">
        <v>0.03</v>
      </c>
      <c r="O6" s="303"/>
      <c r="P6" s="439">
        <v>0.03</v>
      </c>
      <c r="Q6" s="301">
        <f>_xll.qlSimpleQuoteSetValue(C6,P6,Trigger)</f>
        <v>0</v>
      </c>
      <c r="R6" s="23"/>
      <c r="S6" s="13"/>
      <c r="T6" s="59" t="s">
        <v>104</v>
      </c>
      <c r="U6" s="300" t="s">
        <v>250</v>
      </c>
      <c r="V6" s="299" t="s">
        <v>99</v>
      </c>
    </row>
    <row r="7" spans="1:22" ht="12" thickBot="1" x14ac:dyDescent="0.25">
      <c r="A7" s="135"/>
      <c r="B7" s="134"/>
      <c r="C7" s="134"/>
      <c r="D7" s="134"/>
      <c r="E7" s="133"/>
      <c r="G7" s="22"/>
      <c r="H7" s="21"/>
      <c r="I7" s="21"/>
      <c r="J7" s="21"/>
      <c r="K7" s="21"/>
      <c r="L7" s="21"/>
      <c r="M7" s="21"/>
      <c r="N7" s="21"/>
      <c r="O7" s="21"/>
      <c r="P7" s="21"/>
      <c r="Q7" s="21"/>
      <c r="R7" s="20"/>
      <c r="S7" s="13"/>
      <c r="T7" s="59" t="s">
        <v>101</v>
      </c>
      <c r="U7" s="300" t="s">
        <v>249</v>
      </c>
      <c r="V7" s="299" t="s">
        <v>98</v>
      </c>
    </row>
    <row r="8" spans="1:22" x14ac:dyDescent="0.2"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59" t="s">
        <v>100</v>
      </c>
      <c r="U8" s="300" t="s">
        <v>248</v>
      </c>
      <c r="V8" s="299" t="s">
        <v>99</v>
      </c>
    </row>
    <row r="9" spans="1:22" ht="12" thickBot="1" x14ac:dyDescent="0.25"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56" t="s">
        <v>95</v>
      </c>
      <c r="U9" s="298" t="s">
        <v>247</v>
      </c>
      <c r="V9" s="297" t="s">
        <v>98</v>
      </c>
    </row>
  </sheetData>
  <mergeCells count="1">
    <mergeCell ref="K4:L4"/>
  </mergeCells>
  <dataValidations count="1">
    <dataValidation type="list" showInputMessage="1" showErrorMessage="1" sqref="H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Z96"/>
  <sheetViews>
    <sheetView topLeftCell="K1" workbookViewId="0">
      <selection activeCell="O2" sqref="O2"/>
    </sheetView>
  </sheetViews>
  <sheetFormatPr defaultRowHeight="11.25" x14ac:dyDescent="0.2"/>
  <cols>
    <col min="1" max="1" width="2.7109375" style="13" customWidth="1"/>
    <col min="2" max="3" width="4" style="13" bestFit="1" customWidth="1"/>
    <col min="4" max="4" width="6" style="13" bestFit="1" customWidth="1"/>
    <col min="5" max="5" width="21.42578125" style="13" bestFit="1" customWidth="1"/>
    <col min="6" max="6" width="26.5703125" style="42" bestFit="1" customWidth="1"/>
    <col min="7" max="7" width="38.28515625" style="13" customWidth="1"/>
    <col min="8" max="10" width="2.7109375" style="13" customWidth="1"/>
    <col min="11" max="13" width="9.140625" style="13"/>
    <col min="14" max="14" width="9.28515625" style="13" bestFit="1" customWidth="1"/>
    <col min="15" max="15" width="13.5703125" style="13" bestFit="1" customWidth="1"/>
    <col min="16" max="18" width="9.140625" style="13"/>
    <col min="19" max="19" width="10" style="13" customWidth="1"/>
    <col min="20" max="20" width="9.140625" style="13"/>
    <col min="21" max="21" width="2.7109375" style="13" customWidth="1"/>
    <col min="22" max="22" width="9.140625" style="13"/>
    <col min="23" max="23" width="2.7109375" style="13" customWidth="1"/>
    <col min="24" max="24" width="10.5703125" style="13" bestFit="1" customWidth="1"/>
    <col min="25" max="25" width="7.7109375" style="13" bestFit="1" customWidth="1"/>
    <col min="26" max="26" width="2.7109375" style="13" customWidth="1"/>
    <col min="27" max="16384" width="9.140625" style="13"/>
  </cols>
  <sheetData>
    <row r="1" spans="1:26" x14ac:dyDescent="0.2">
      <c r="J1" s="265" t="s">
        <v>308</v>
      </c>
      <c r="K1" s="150"/>
      <c r="L1" s="150"/>
      <c r="M1" s="150"/>
      <c r="N1" s="150"/>
      <c r="O1" s="150"/>
      <c r="P1" s="150"/>
      <c r="Q1" s="150"/>
      <c r="R1" s="150"/>
      <c r="S1" s="150"/>
      <c r="T1" s="150"/>
      <c r="U1" s="150"/>
      <c r="V1" s="150"/>
      <c r="W1" s="150"/>
      <c r="X1" s="150"/>
      <c r="Y1" s="150"/>
      <c r="Z1" s="147"/>
    </row>
    <row r="2" spans="1:26" ht="12" thickBot="1" x14ac:dyDescent="0.25">
      <c r="J2" s="234"/>
      <c r="K2" s="111"/>
      <c r="L2" s="111"/>
      <c r="M2" s="111"/>
      <c r="N2" s="111"/>
      <c r="O2" s="118" t="s">
        <v>212</v>
      </c>
      <c r="P2" s="111"/>
      <c r="Q2" s="111"/>
      <c r="R2" s="111"/>
      <c r="S2" s="111"/>
      <c r="T2" s="111"/>
      <c r="U2" s="201"/>
      <c r="V2" s="201"/>
      <c r="W2" s="201"/>
      <c r="X2" s="201"/>
      <c r="Y2" s="201"/>
      <c r="Z2" s="23"/>
    </row>
    <row r="3" spans="1:26" x14ac:dyDescent="0.2">
      <c r="A3" s="168" t="s">
        <v>186</v>
      </c>
      <c r="B3" s="150"/>
      <c r="C3" s="150"/>
      <c r="D3" s="150"/>
      <c r="E3" s="188"/>
      <c r="F3" s="461"/>
      <c r="G3" s="188"/>
      <c r="H3" s="147"/>
      <c r="J3" s="96"/>
      <c r="K3" s="201"/>
      <c r="L3" s="111"/>
      <c r="M3" s="111"/>
      <c r="N3" s="111"/>
      <c r="O3" s="111"/>
      <c r="P3" s="111"/>
      <c r="Q3" s="111"/>
      <c r="R3" s="111"/>
      <c r="S3" s="111"/>
      <c r="T3" s="111"/>
      <c r="U3" s="201"/>
      <c r="V3" s="201"/>
      <c r="W3" s="201"/>
      <c r="X3" s="111"/>
      <c r="Y3" s="231">
        <f>_xll.ohTrigger(Y5:Y24)</f>
        <v>246</v>
      </c>
      <c r="Z3" s="169"/>
    </row>
    <row r="4" spans="1:26" ht="22.5" x14ac:dyDescent="0.2">
      <c r="A4" s="96"/>
      <c r="B4" s="66"/>
      <c r="C4" s="66"/>
      <c r="D4" s="146"/>
      <c r="E4" s="452" t="str">
        <f>Currency&amp;"_010_"&amp;"OIS.xml"</f>
        <v>USD_010_OIS.xml</v>
      </c>
      <c r="F4" s="453" t="str">
        <f>IF(Serialize,_xll.ohObjectSave(_xll.ohPack(F5:F95),SerializationPath&amp;E4,FileOverwrite,Serialize),"---")</f>
        <v>---</v>
      </c>
      <c r="G4" s="454" t="str">
        <f>_xll.ohRangeRetrieveError(F4)</f>
        <v/>
      </c>
      <c r="H4" s="23"/>
      <c r="J4" s="96"/>
      <c r="K4" s="327"/>
      <c r="L4" s="109"/>
      <c r="M4" s="109"/>
      <c r="N4" s="109"/>
      <c r="O4" s="295" t="str">
        <f>_xll.RData(O5:O58,P4:S4,"RTFEED:IDN",ReutersRtMode,,P5)</f>
        <v>Updated at 16:55:18</v>
      </c>
      <c r="P4" s="292" t="s">
        <v>201</v>
      </c>
      <c r="Q4" s="292" t="s">
        <v>200</v>
      </c>
      <c r="R4" s="292" t="s">
        <v>218</v>
      </c>
      <c r="S4" s="292" t="s">
        <v>236</v>
      </c>
      <c r="T4" s="294" t="s">
        <v>257</v>
      </c>
      <c r="U4" s="201"/>
      <c r="V4" s="229" t="s">
        <v>231</v>
      </c>
      <c r="W4" s="201"/>
      <c r="X4" s="431" t="s">
        <v>229</v>
      </c>
      <c r="Y4" s="67" t="s">
        <v>228</v>
      </c>
      <c r="Z4" s="169"/>
    </row>
    <row r="5" spans="1:26" x14ac:dyDescent="0.2">
      <c r="A5" s="96"/>
      <c r="B5" s="141"/>
      <c r="C5" s="141" t="s">
        <v>155</v>
      </c>
      <c r="D5" s="455" t="s">
        <v>22</v>
      </c>
      <c r="E5" s="179" t="str">
        <f t="shared" ref="E5:E36" si="0">Currency&amp;$B5&amp;$C5&amp;$D5&amp;QuoteSuffix</f>
        <v>USDOISSW_Quote</v>
      </c>
      <c r="F5" s="179" t="str">
        <f>_xll.qlSimpleQuote(Currency&amp;$B5&amp;$C5&amp;$D5&amp;QuoteSuffix,,RateTickValue,Permanent,Trigger,ObjectOverwrite)</f>
        <v>USDOISSW_Quote#0000</v>
      </c>
      <c r="G5" s="24" t="str">
        <f>_xll.ohRangeRetrieveError(F5)</f>
        <v/>
      </c>
      <c r="H5" s="23"/>
      <c r="J5" s="96"/>
      <c r="K5" s="223" t="s">
        <v>22</v>
      </c>
      <c r="L5" s="259"/>
      <c r="M5" s="259" t="s">
        <v>155</v>
      </c>
      <c r="N5" s="257" t="str">
        <f t="shared" ref="N5:N36" si="1">Currency&amp;$K5&amp;$L5&amp;$M5</f>
        <v>USDSWOIS</v>
      </c>
      <c r="O5" s="257" t="str">
        <f t="array" ref="O5:O58">Instruments&amp;"="&amp;VLOOKUP(Contributor,ContributorTable,2,FALSE)</f>
        <v>USDSWOIS=TTKL</v>
      </c>
      <c r="P5" s="219">
        <v>7.0000000000000007E-2</v>
      </c>
      <c r="Q5" s="219">
        <v>0.1</v>
      </c>
      <c r="R5" s="219">
        <v>0</v>
      </c>
      <c r="S5" s="219">
        <v>0</v>
      </c>
      <c r="T5" s="221">
        <f>_xll.qlMidEquivalent($P5,$Q5,$R5,$S5)</f>
        <v>8.5000000000000006E-2</v>
      </c>
      <c r="U5" s="201"/>
      <c r="V5" s="220">
        <v>8.5000000000000006E-2</v>
      </c>
      <c r="W5" s="201"/>
      <c r="X5" s="281">
        <f t="array" ref="X5:X58">QuoteLive</f>
        <v>8.5000000000000006E-2</v>
      </c>
      <c r="Y5" s="218">
        <f>_xll.qlSimpleQuoteSetValue(F5,X5/100,Trigger)</f>
        <v>0</v>
      </c>
      <c r="Z5" s="169"/>
    </row>
    <row r="6" spans="1:26" x14ac:dyDescent="0.2">
      <c r="A6" s="96"/>
      <c r="B6" s="141"/>
      <c r="C6" s="141" t="s">
        <v>155</v>
      </c>
      <c r="D6" s="455" t="s">
        <v>21</v>
      </c>
      <c r="E6" s="179" t="str">
        <f t="shared" si="0"/>
        <v>USDOIS2W_Quote</v>
      </c>
      <c r="F6" s="179" t="str">
        <f>_xll.qlSimpleQuote(Currency&amp;$B6&amp;$C6&amp;$D6&amp;QuoteSuffix,,RateTickValue,Permanent,Trigger,ObjectOverwrite)</f>
        <v>USDOIS2W_Quote#0000</v>
      </c>
      <c r="G6" s="24" t="str">
        <f>_xll.ohRangeRetrieveError(F6)</f>
        <v/>
      </c>
      <c r="H6" s="23"/>
      <c r="J6" s="96"/>
      <c r="K6" s="205" t="s">
        <v>21</v>
      </c>
      <c r="L6" s="254"/>
      <c r="M6" s="254" t="s">
        <v>155</v>
      </c>
      <c r="N6" s="252" t="str">
        <f t="shared" si="1"/>
        <v>USD2WOIS</v>
      </c>
      <c r="O6" s="252" t="str">
        <v>USD2WOIS=TTKL</v>
      </c>
      <c r="P6" s="199">
        <v>7.0000000000000007E-2</v>
      </c>
      <c r="Q6" s="199">
        <v>0.1</v>
      </c>
      <c r="R6" s="199">
        <v>0</v>
      </c>
      <c r="S6" s="199">
        <v>0</v>
      </c>
      <c r="T6" s="203">
        <f>_xll.qlMidEquivalent($P6,$Q6,$R6,$S6)</f>
        <v>8.5000000000000006E-2</v>
      </c>
      <c r="U6" s="201"/>
      <c r="V6" s="202">
        <v>8.5000000000000006E-2</v>
      </c>
      <c r="W6" s="201"/>
      <c r="X6" s="274">
        <v>8.5000000000000006E-2</v>
      </c>
      <c r="Y6" s="198">
        <f>_xll.qlSimpleQuoteSetValue(F6,X6/100,Trigger)</f>
        <v>0</v>
      </c>
      <c r="Z6" s="169"/>
    </row>
    <row r="7" spans="1:26" x14ac:dyDescent="0.2">
      <c r="A7" s="96"/>
      <c r="B7" s="141"/>
      <c r="C7" s="141" t="s">
        <v>155</v>
      </c>
      <c r="D7" s="455" t="s">
        <v>20</v>
      </c>
      <c r="E7" s="179" t="str">
        <f t="shared" si="0"/>
        <v>USDOIS3W_Quote</v>
      </c>
      <c r="F7" s="179" t="str">
        <f>_xll.qlSimpleQuote(Currency&amp;$B7&amp;$C7&amp;$D7&amp;QuoteSuffix,,RateTickValue,Permanent,Trigger,ObjectOverwrite)</f>
        <v>USDOIS3W_Quote#0000</v>
      </c>
      <c r="G7" s="24" t="str">
        <f>_xll.ohRangeRetrieveError(F7)</f>
        <v/>
      </c>
      <c r="H7" s="23"/>
      <c r="J7" s="96"/>
      <c r="K7" s="205" t="s">
        <v>20</v>
      </c>
      <c r="L7" s="254"/>
      <c r="M7" s="254" t="s">
        <v>155</v>
      </c>
      <c r="N7" s="252" t="str">
        <f t="shared" si="1"/>
        <v>USD3WOIS</v>
      </c>
      <c r="O7" s="252" t="str">
        <v>USD3WOIS=TTKL</v>
      </c>
      <c r="P7" s="199">
        <v>7.0000000000000007E-2</v>
      </c>
      <c r="Q7" s="199">
        <v>0.1</v>
      </c>
      <c r="R7" s="199">
        <v>0</v>
      </c>
      <c r="S7" s="199">
        <v>0</v>
      </c>
      <c r="T7" s="203">
        <f>_xll.qlMidEquivalent($P7,$Q7,$R7,$S7)</f>
        <v>8.5000000000000006E-2</v>
      </c>
      <c r="U7" s="201"/>
      <c r="V7" s="202">
        <v>8.5000000000000006E-2</v>
      </c>
      <c r="W7" s="201"/>
      <c r="X7" s="274">
        <v>8.5000000000000006E-2</v>
      </c>
      <c r="Y7" s="198">
        <f>_xll.qlSimpleQuoteSetValue(F7,X7/100,Trigger)</f>
        <v>0</v>
      </c>
      <c r="Z7" s="169"/>
    </row>
    <row r="8" spans="1:26" x14ac:dyDescent="0.2">
      <c r="A8" s="96"/>
      <c r="B8" s="141"/>
      <c r="C8" s="141" t="s">
        <v>155</v>
      </c>
      <c r="D8" s="455" t="s">
        <v>19</v>
      </c>
      <c r="E8" s="179" t="str">
        <f t="shared" si="0"/>
        <v>USDOIS1M_Quote</v>
      </c>
      <c r="F8" s="179" t="str">
        <f>_xll.qlSimpleQuote(Currency&amp;$B8&amp;$C8&amp;$D8&amp;QuoteSuffix,,RateTickValue,Permanent,Trigger,ObjectOverwrite)</f>
        <v>USDOIS1M_Quote#0000</v>
      </c>
      <c r="G8" s="24" t="str">
        <f>_xll.ohRangeRetrieveError(F8)</f>
        <v/>
      </c>
      <c r="H8" s="23"/>
      <c r="J8" s="96"/>
      <c r="K8" s="205" t="s">
        <v>19</v>
      </c>
      <c r="L8" s="254"/>
      <c r="M8" s="254" t="s">
        <v>155</v>
      </c>
      <c r="N8" s="252" t="str">
        <f t="shared" si="1"/>
        <v>USD1MOIS</v>
      </c>
      <c r="O8" s="252" t="str">
        <v>USD1MOIS=TTKL</v>
      </c>
      <c r="P8" s="199">
        <v>7.0000000000000007E-2</v>
      </c>
      <c r="Q8" s="199">
        <v>0.1</v>
      </c>
      <c r="R8" s="199">
        <v>0</v>
      </c>
      <c r="S8" s="199">
        <v>0</v>
      </c>
      <c r="T8" s="203">
        <f>_xll.qlMidEquivalent($P8,$Q8,$R8,$S8)</f>
        <v>8.5000000000000006E-2</v>
      </c>
      <c r="U8" s="201"/>
      <c r="V8" s="202">
        <v>8.5000000000000006E-2</v>
      </c>
      <c r="W8" s="201"/>
      <c r="X8" s="274">
        <v>8.5000000000000006E-2</v>
      </c>
      <c r="Y8" s="198">
        <f>_xll.qlSimpleQuoteSetValue(F8,X8/100,Trigger)</f>
        <v>0</v>
      </c>
      <c r="Z8" s="169"/>
    </row>
    <row r="9" spans="1:26" x14ac:dyDescent="0.2">
      <c r="A9" s="96"/>
      <c r="B9" s="141"/>
      <c r="C9" s="141" t="s">
        <v>155</v>
      </c>
      <c r="D9" s="455" t="s">
        <v>18</v>
      </c>
      <c r="E9" s="179" t="str">
        <f t="shared" si="0"/>
        <v>USDOIS2M_Quote</v>
      </c>
      <c r="F9" s="179" t="str">
        <f>_xll.qlSimpleQuote(Currency&amp;$B9&amp;$C9&amp;$D9&amp;QuoteSuffix,,RateTickValue,Permanent,Trigger,ObjectOverwrite)</f>
        <v>USDOIS2M_Quote#0000</v>
      </c>
      <c r="G9" s="24" t="str">
        <f>_xll.ohRangeRetrieveError(F9)</f>
        <v/>
      </c>
      <c r="H9" s="23"/>
      <c r="J9" s="96"/>
      <c r="K9" s="205" t="s">
        <v>18</v>
      </c>
      <c r="L9" s="254"/>
      <c r="M9" s="254" t="s">
        <v>155</v>
      </c>
      <c r="N9" s="252" t="str">
        <f t="shared" si="1"/>
        <v>USD2MOIS</v>
      </c>
      <c r="O9" s="252" t="str">
        <v>USD2MOIS=TTKL</v>
      </c>
      <c r="P9" s="199">
        <v>7.4999999999999997E-2</v>
      </c>
      <c r="Q9" s="199">
        <v>0.105</v>
      </c>
      <c r="R9" s="199">
        <v>0</v>
      </c>
      <c r="S9" s="199">
        <v>0</v>
      </c>
      <c r="T9" s="203">
        <f>_xll.qlMidEquivalent($P9,$Q9,$R9,$S9)</f>
        <v>0.09</v>
      </c>
      <c r="U9" s="201"/>
      <c r="V9" s="202">
        <v>0.09</v>
      </c>
      <c r="W9" s="201"/>
      <c r="X9" s="274">
        <v>0.09</v>
      </c>
      <c r="Y9" s="198">
        <f>_xll.qlSimpleQuoteSetValue(F9,X9/100,Trigger)</f>
        <v>0</v>
      </c>
      <c r="Z9" s="169"/>
    </row>
    <row r="10" spans="1:26" x14ac:dyDescent="0.2">
      <c r="A10" s="96"/>
      <c r="B10" s="141"/>
      <c r="C10" s="141" t="s">
        <v>155</v>
      </c>
      <c r="D10" s="455" t="s">
        <v>17</v>
      </c>
      <c r="E10" s="179" t="str">
        <f t="shared" si="0"/>
        <v>USDOIS3M_Quote</v>
      </c>
      <c r="F10" s="179" t="str">
        <f>_xll.qlSimpleQuote(Currency&amp;$B10&amp;$C10&amp;$D10&amp;QuoteSuffix,,RateTickValue,Permanent,Trigger,ObjectOverwrite)</f>
        <v>USDOIS3M_Quote#0000</v>
      </c>
      <c r="G10" s="24" t="str">
        <f>_xll.ohRangeRetrieveError(F10)</f>
        <v/>
      </c>
      <c r="H10" s="23"/>
      <c r="J10" s="96"/>
      <c r="K10" s="205" t="s">
        <v>17</v>
      </c>
      <c r="L10" s="254"/>
      <c r="M10" s="254" t="s">
        <v>155</v>
      </c>
      <c r="N10" s="252" t="str">
        <f t="shared" si="1"/>
        <v>USD3MOIS</v>
      </c>
      <c r="O10" s="252" t="str">
        <v>USD3MOIS=TTKL</v>
      </c>
      <c r="P10" s="199">
        <v>7.8E-2</v>
      </c>
      <c r="Q10" s="199">
        <v>0.108</v>
      </c>
      <c r="R10" s="199">
        <v>0</v>
      </c>
      <c r="S10" s="199">
        <v>0</v>
      </c>
      <c r="T10" s="203">
        <f>_xll.qlMidEquivalent($P10,$Q10,$R10,$S10)</f>
        <v>9.2999999999999999E-2</v>
      </c>
      <c r="U10" s="201"/>
      <c r="V10" s="202">
        <v>9.2999999999999999E-2</v>
      </c>
      <c r="W10" s="201"/>
      <c r="X10" s="274">
        <v>9.2999999999999999E-2</v>
      </c>
      <c r="Y10" s="198">
        <f>_xll.qlSimpleQuoteSetValue(F10,X10/100,Trigger)</f>
        <v>0</v>
      </c>
      <c r="Z10" s="169"/>
    </row>
    <row r="11" spans="1:26" x14ac:dyDescent="0.2">
      <c r="A11" s="96"/>
      <c r="B11" s="141"/>
      <c r="C11" s="141" t="s">
        <v>155</v>
      </c>
      <c r="D11" s="455" t="s">
        <v>16</v>
      </c>
      <c r="E11" s="179" t="str">
        <f t="shared" si="0"/>
        <v>USDOIS4M_Quote</v>
      </c>
      <c r="F11" s="179" t="str">
        <f>_xll.qlSimpleQuote(Currency&amp;$B11&amp;$C11&amp;$D11&amp;QuoteSuffix,,RateTickValue,Permanent,Trigger,ObjectOverwrite)</f>
        <v>USDOIS4M_Quote#0000</v>
      </c>
      <c r="G11" s="24" t="str">
        <f>_xll.ohRangeRetrieveError(F11)</f>
        <v/>
      </c>
      <c r="H11" s="23"/>
      <c r="J11" s="96"/>
      <c r="K11" s="205" t="s">
        <v>16</v>
      </c>
      <c r="L11" s="254"/>
      <c r="M11" s="254" t="s">
        <v>155</v>
      </c>
      <c r="N11" s="252" t="str">
        <f t="shared" si="1"/>
        <v>USD4MOIS</v>
      </c>
      <c r="O11" s="252" t="str">
        <v>USD4MOIS=TTKL</v>
      </c>
      <c r="P11" s="199">
        <v>0.08</v>
      </c>
      <c r="Q11" s="199">
        <v>0.11</v>
      </c>
      <c r="R11" s="199">
        <v>0</v>
      </c>
      <c r="S11" s="199">
        <v>0</v>
      </c>
      <c r="T11" s="203">
        <f>_xll.qlMidEquivalent($P11,$Q11,$R11,$S11)</f>
        <v>9.5000000000000001E-2</v>
      </c>
      <c r="U11" s="201"/>
      <c r="V11" s="202">
        <v>9.5000000000000001E-2</v>
      </c>
      <c r="W11" s="201"/>
      <c r="X11" s="274">
        <v>9.5000000000000001E-2</v>
      </c>
      <c r="Y11" s="198">
        <f>_xll.qlSimpleQuoteSetValue(F11,X11/100,Trigger)</f>
        <v>0</v>
      </c>
      <c r="Z11" s="169"/>
    </row>
    <row r="12" spans="1:26" x14ac:dyDescent="0.2">
      <c r="A12" s="96"/>
      <c r="B12" s="141"/>
      <c r="C12" s="141" t="s">
        <v>155</v>
      </c>
      <c r="D12" s="455" t="s">
        <v>15</v>
      </c>
      <c r="E12" s="179" t="str">
        <f t="shared" si="0"/>
        <v>USDOIS5M_Quote</v>
      </c>
      <c r="F12" s="179" t="str">
        <f>_xll.qlSimpleQuote(Currency&amp;$B12&amp;$C12&amp;$D12&amp;QuoteSuffix,,RateTickValue,Permanent,Trigger,ObjectOverwrite)</f>
        <v>USDOIS5M_Quote#0000</v>
      </c>
      <c r="G12" s="24" t="str">
        <f>_xll.ohRangeRetrieveError(F12)</f>
        <v/>
      </c>
      <c r="H12" s="23"/>
      <c r="J12" s="96"/>
      <c r="K12" s="205" t="s">
        <v>15</v>
      </c>
      <c r="L12" s="254"/>
      <c r="M12" s="254" t="s">
        <v>155</v>
      </c>
      <c r="N12" s="252" t="str">
        <f t="shared" si="1"/>
        <v>USD5MOIS</v>
      </c>
      <c r="O12" s="252" t="str">
        <v>USD5MOIS=TTKL</v>
      </c>
      <c r="P12" s="199">
        <v>8.3000000000000004E-2</v>
      </c>
      <c r="Q12" s="199">
        <v>0.113</v>
      </c>
      <c r="R12" s="199">
        <v>0</v>
      </c>
      <c r="S12" s="199">
        <v>0</v>
      </c>
      <c r="T12" s="203">
        <f>_xll.qlMidEquivalent($P12,$Q12,$R12,$S12)</f>
        <v>9.8000000000000004E-2</v>
      </c>
      <c r="U12" s="201"/>
      <c r="V12" s="202">
        <v>9.8000000000000004E-2</v>
      </c>
      <c r="W12" s="201"/>
      <c r="X12" s="274">
        <v>9.8000000000000004E-2</v>
      </c>
      <c r="Y12" s="198">
        <f>_xll.qlSimpleQuoteSetValue(F12,X12/100,Trigger)</f>
        <v>0</v>
      </c>
      <c r="Z12" s="169"/>
    </row>
    <row r="13" spans="1:26" x14ac:dyDescent="0.2">
      <c r="A13" s="96"/>
      <c r="B13" s="141"/>
      <c r="C13" s="141" t="s">
        <v>155</v>
      </c>
      <c r="D13" s="455" t="s">
        <v>14</v>
      </c>
      <c r="E13" s="179" t="str">
        <f t="shared" si="0"/>
        <v>USDOIS6M_Quote</v>
      </c>
      <c r="F13" s="179" t="str">
        <f>_xll.qlSimpleQuote(Currency&amp;$B13&amp;$C13&amp;$D13&amp;QuoteSuffix,,RateTickValue,Permanent,Trigger,ObjectOverwrite)</f>
        <v>USDOIS6M_Quote#0000</v>
      </c>
      <c r="G13" s="24" t="str">
        <f>_xll.ohRangeRetrieveError(F13)</f>
        <v/>
      </c>
      <c r="H13" s="23"/>
      <c r="J13" s="96"/>
      <c r="K13" s="205" t="s">
        <v>14</v>
      </c>
      <c r="L13" s="254"/>
      <c r="M13" s="254" t="s">
        <v>155</v>
      </c>
      <c r="N13" s="252" t="str">
        <f t="shared" si="1"/>
        <v>USD6MOIS</v>
      </c>
      <c r="O13" s="252" t="str">
        <v>USD6MOIS=TTKL</v>
      </c>
      <c r="P13" s="199">
        <v>8.5999999999999993E-2</v>
      </c>
      <c r="Q13" s="199">
        <v>0.11600000000000001</v>
      </c>
      <c r="R13" s="199">
        <v>0</v>
      </c>
      <c r="S13" s="199">
        <v>0</v>
      </c>
      <c r="T13" s="203">
        <f>_xll.qlMidEquivalent($P13,$Q13,$R13,$S13)</f>
        <v>0.10100000000000001</v>
      </c>
      <c r="U13" s="201"/>
      <c r="V13" s="202">
        <v>0.10100000000000001</v>
      </c>
      <c r="W13" s="201"/>
      <c r="X13" s="274">
        <v>0.10100000000000001</v>
      </c>
      <c r="Y13" s="198">
        <f>_xll.qlSimpleQuoteSetValue(F13,X13/100,Trigger)</f>
        <v>0</v>
      </c>
      <c r="Z13" s="169"/>
    </row>
    <row r="14" spans="1:26" x14ac:dyDescent="0.2">
      <c r="A14" s="96"/>
      <c r="B14" s="141"/>
      <c r="C14" s="141" t="s">
        <v>155</v>
      </c>
      <c r="D14" s="455" t="s">
        <v>13</v>
      </c>
      <c r="E14" s="179" t="str">
        <f t="shared" si="0"/>
        <v>USDOIS7M_Quote</v>
      </c>
      <c r="F14" s="179" t="str">
        <f>_xll.qlSimpleQuote(Currency&amp;$B14&amp;$C14&amp;$D14&amp;QuoteSuffix,,RateTickValue,Permanent,Trigger,ObjectOverwrite)</f>
        <v>USDOIS7M_Quote#0000</v>
      </c>
      <c r="G14" s="24" t="str">
        <f>_xll.ohRangeRetrieveError(F14)</f>
        <v/>
      </c>
      <c r="H14" s="23"/>
      <c r="J14" s="96"/>
      <c r="K14" s="205" t="s">
        <v>13</v>
      </c>
      <c r="L14" s="254"/>
      <c r="M14" s="254" t="s">
        <v>155</v>
      </c>
      <c r="N14" s="252" t="str">
        <f t="shared" si="1"/>
        <v>USD7MOIS</v>
      </c>
      <c r="O14" s="252" t="str">
        <v>USD7MOIS=TTKL</v>
      </c>
      <c r="P14" s="199">
        <v>8.7999999999999995E-2</v>
      </c>
      <c r="Q14" s="199">
        <v>0.11799999999999999</v>
      </c>
      <c r="R14" s="199">
        <v>0</v>
      </c>
      <c r="S14" s="199">
        <v>0</v>
      </c>
      <c r="T14" s="203">
        <f>_xll.qlMidEquivalent($P14,$Q14,$R14,$S14)</f>
        <v>0.10299999999999999</v>
      </c>
      <c r="U14" s="201"/>
      <c r="V14" s="202">
        <v>0.10299999999999999</v>
      </c>
      <c r="W14" s="201"/>
      <c r="X14" s="274">
        <v>0.10299999999999999</v>
      </c>
      <c r="Y14" s="198">
        <f>_xll.qlSimpleQuoteSetValue(F14,X14/100,Trigger)</f>
        <v>0</v>
      </c>
      <c r="Z14" s="169"/>
    </row>
    <row r="15" spans="1:26" x14ac:dyDescent="0.2">
      <c r="A15" s="96"/>
      <c r="B15" s="141"/>
      <c r="C15" s="141" t="s">
        <v>155</v>
      </c>
      <c r="D15" s="455" t="s">
        <v>12</v>
      </c>
      <c r="E15" s="179" t="str">
        <f t="shared" si="0"/>
        <v>USDOIS8M_Quote</v>
      </c>
      <c r="F15" s="179" t="str">
        <f>_xll.qlSimpleQuote(Currency&amp;$B15&amp;$C15&amp;$D15&amp;QuoteSuffix,,RateTickValue,Permanent,Trigger,ObjectOverwrite)</f>
        <v>USDOIS8M_Quote#0000</v>
      </c>
      <c r="G15" s="24" t="str">
        <f>_xll.ohRangeRetrieveError(F15)</f>
        <v/>
      </c>
      <c r="H15" s="23"/>
      <c r="J15" s="96"/>
      <c r="K15" s="205" t="s">
        <v>12</v>
      </c>
      <c r="L15" s="254"/>
      <c r="M15" s="254" t="s">
        <v>155</v>
      </c>
      <c r="N15" s="252" t="str">
        <f t="shared" si="1"/>
        <v>USD8MOIS</v>
      </c>
      <c r="O15" s="252" t="str">
        <v>USD8MOIS=TTKL</v>
      </c>
      <c r="P15" s="199">
        <v>9.1999999999999998E-2</v>
      </c>
      <c r="Q15" s="199">
        <v>0.122</v>
      </c>
      <c r="R15" s="199">
        <v>0</v>
      </c>
      <c r="S15" s="199">
        <v>0</v>
      </c>
      <c r="T15" s="203">
        <f>_xll.qlMidEquivalent($P15,$Q15,$R15,$S15)</f>
        <v>0.107</v>
      </c>
      <c r="U15" s="201"/>
      <c r="V15" s="202">
        <v>0.107</v>
      </c>
      <c r="W15" s="201"/>
      <c r="X15" s="274">
        <v>0.107</v>
      </c>
      <c r="Y15" s="198">
        <f>_xll.qlSimpleQuoteSetValue(F15,X15/100,Trigger)</f>
        <v>0</v>
      </c>
      <c r="Z15" s="169"/>
    </row>
    <row r="16" spans="1:26" x14ac:dyDescent="0.2">
      <c r="A16" s="96"/>
      <c r="B16" s="141"/>
      <c r="C16" s="141" t="s">
        <v>155</v>
      </c>
      <c r="D16" s="455" t="s">
        <v>11</v>
      </c>
      <c r="E16" s="179" t="str">
        <f t="shared" si="0"/>
        <v>USDOIS9M_Quote</v>
      </c>
      <c r="F16" s="179" t="str">
        <f>_xll.qlSimpleQuote(Currency&amp;$B16&amp;$C16&amp;$D16&amp;QuoteSuffix,,RateTickValue,Permanent,Trigger,ObjectOverwrite)</f>
        <v>USDOIS9M_Quote#0000</v>
      </c>
      <c r="G16" s="24" t="str">
        <f>_xll.ohRangeRetrieveError(F16)</f>
        <v/>
      </c>
      <c r="H16" s="23"/>
      <c r="J16" s="96"/>
      <c r="K16" s="205" t="s">
        <v>11</v>
      </c>
      <c r="L16" s="254"/>
      <c r="M16" s="254" t="s">
        <v>155</v>
      </c>
      <c r="N16" s="252" t="str">
        <f t="shared" si="1"/>
        <v>USD9MOIS</v>
      </c>
      <c r="O16" s="252" t="str">
        <v>USD9MOIS=TTKL</v>
      </c>
      <c r="P16" s="199">
        <v>9.7000000000000003E-2</v>
      </c>
      <c r="Q16" s="199">
        <v>0.127</v>
      </c>
      <c r="R16" s="199">
        <v>0</v>
      </c>
      <c r="S16" s="199">
        <v>0</v>
      </c>
      <c r="T16" s="203">
        <f>_xll.qlMidEquivalent($P16,$Q16,$R16,$S16)</f>
        <v>0.112</v>
      </c>
      <c r="U16" s="201"/>
      <c r="V16" s="202">
        <v>0.112</v>
      </c>
      <c r="W16" s="201"/>
      <c r="X16" s="274">
        <v>0.112</v>
      </c>
      <c r="Y16" s="198">
        <f>_xll.qlSimpleQuoteSetValue(F16,X16/100,Trigger)</f>
        <v>0</v>
      </c>
      <c r="Z16" s="169"/>
    </row>
    <row r="17" spans="1:26" x14ac:dyDescent="0.2">
      <c r="A17" s="96"/>
      <c r="B17" s="141"/>
      <c r="C17" s="141" t="s">
        <v>155</v>
      </c>
      <c r="D17" s="455" t="s">
        <v>10</v>
      </c>
      <c r="E17" s="179" t="str">
        <f t="shared" si="0"/>
        <v>USDOIS10M_Quote</v>
      </c>
      <c r="F17" s="179" t="str">
        <f>_xll.qlSimpleQuote(Currency&amp;$B17&amp;$C17&amp;$D17&amp;QuoteSuffix,,RateTickValue,Permanent,Trigger,ObjectOverwrite)</f>
        <v>USDOIS10M_Quote#0000</v>
      </c>
      <c r="G17" s="24" t="str">
        <f>_xll.ohRangeRetrieveError(F17)</f>
        <v/>
      </c>
      <c r="H17" s="23"/>
      <c r="J17" s="96"/>
      <c r="K17" s="205" t="s">
        <v>10</v>
      </c>
      <c r="L17" s="254"/>
      <c r="M17" s="254" t="s">
        <v>155</v>
      </c>
      <c r="N17" s="252" t="str">
        <f t="shared" si="1"/>
        <v>USD10MOIS</v>
      </c>
      <c r="O17" s="252" t="str">
        <v>USD10MOIS=TTKL</v>
      </c>
      <c r="P17" s="199">
        <v>0.10199999999999999</v>
      </c>
      <c r="Q17" s="199">
        <v>0.13200000000000001</v>
      </c>
      <c r="R17" s="199">
        <v>0</v>
      </c>
      <c r="S17" s="199">
        <v>0</v>
      </c>
      <c r="T17" s="203">
        <f>_xll.qlMidEquivalent($P17,$Q17,$R17,$S17)</f>
        <v>0.11699999999999999</v>
      </c>
      <c r="U17" s="201"/>
      <c r="V17" s="202">
        <v>0.11699999999999999</v>
      </c>
      <c r="W17" s="201"/>
      <c r="X17" s="274">
        <v>0.11699999999999999</v>
      </c>
      <c r="Y17" s="198">
        <f>_xll.qlSimpleQuoteSetValue(F17,X17/100,Trigger)</f>
        <v>0</v>
      </c>
      <c r="Z17" s="169"/>
    </row>
    <row r="18" spans="1:26" x14ac:dyDescent="0.2">
      <c r="A18" s="96"/>
      <c r="B18" s="141"/>
      <c r="C18" s="141" t="s">
        <v>155</v>
      </c>
      <c r="D18" s="455" t="s">
        <v>9</v>
      </c>
      <c r="E18" s="179" t="str">
        <f t="shared" si="0"/>
        <v>USDOIS11M_Quote</v>
      </c>
      <c r="F18" s="179" t="str">
        <f>_xll.qlSimpleQuote(Currency&amp;$B18&amp;$C18&amp;$D18&amp;QuoteSuffix,,RateTickValue,Permanent,Trigger,ObjectOverwrite)</f>
        <v>USDOIS11M_Quote#0000</v>
      </c>
      <c r="G18" s="24" t="str">
        <f>_xll.ohRangeRetrieveError(F18)</f>
        <v/>
      </c>
      <c r="H18" s="23"/>
      <c r="J18" s="96"/>
      <c r="K18" s="205" t="s">
        <v>9</v>
      </c>
      <c r="L18" s="254"/>
      <c r="M18" s="254" t="s">
        <v>155</v>
      </c>
      <c r="N18" s="252" t="str">
        <f t="shared" si="1"/>
        <v>USD11MOIS</v>
      </c>
      <c r="O18" s="252" t="str">
        <v>USD11MOIS=TTKL</v>
      </c>
      <c r="P18" s="199">
        <v>0.11</v>
      </c>
      <c r="Q18" s="199">
        <v>0.14000000000000001</v>
      </c>
      <c r="R18" s="199">
        <v>0</v>
      </c>
      <c r="S18" s="199">
        <v>0</v>
      </c>
      <c r="T18" s="203">
        <f>_xll.qlMidEquivalent($P18,$Q18,$R18,$S18)</f>
        <v>0.125</v>
      </c>
      <c r="U18" s="201"/>
      <c r="V18" s="202">
        <v>0.125</v>
      </c>
      <c r="W18" s="201"/>
      <c r="X18" s="274">
        <v>0.125</v>
      </c>
      <c r="Y18" s="198">
        <f>_xll.qlSimpleQuoteSetValue(F18,X18/100,Trigger)</f>
        <v>0</v>
      </c>
      <c r="Z18" s="169"/>
    </row>
    <row r="19" spans="1:26" x14ac:dyDescent="0.2">
      <c r="A19" s="96"/>
      <c r="B19" s="141"/>
      <c r="C19" s="141" t="s">
        <v>155</v>
      </c>
      <c r="D19" s="455" t="s">
        <v>8</v>
      </c>
      <c r="E19" s="179" t="str">
        <f t="shared" si="0"/>
        <v>USDOIS1Y_Quote</v>
      </c>
      <c r="F19" s="179" t="str">
        <f>_xll.qlSimpleQuote(Currency&amp;$B19&amp;$C19&amp;$D19&amp;QuoteSuffix,,RateTickValue,Permanent,Trigger,ObjectOverwrite)</f>
        <v>USDOIS1Y_Quote#0000</v>
      </c>
      <c r="G19" s="24" t="str">
        <f>_xll.ohRangeRetrieveError(F19)</f>
        <v/>
      </c>
      <c r="H19" s="23"/>
      <c r="J19" s="96"/>
      <c r="K19" s="205" t="s">
        <v>8</v>
      </c>
      <c r="L19" s="254"/>
      <c r="M19" s="254" t="s">
        <v>155</v>
      </c>
      <c r="N19" s="252" t="str">
        <f t="shared" si="1"/>
        <v>USD1YOIS</v>
      </c>
      <c r="O19" s="252" t="str">
        <v>USD1YOIS=TTKL</v>
      </c>
      <c r="P19" s="199">
        <v>0.11799999999999999</v>
      </c>
      <c r="Q19" s="199">
        <v>0.14799999999999999</v>
      </c>
      <c r="R19" s="199">
        <v>0</v>
      </c>
      <c r="S19" s="199">
        <v>0</v>
      </c>
      <c r="T19" s="203">
        <f>_xll.qlMidEquivalent($P19,$Q19,$R19,$S19)</f>
        <v>0.13300000000000001</v>
      </c>
      <c r="U19" s="201"/>
      <c r="V19" s="202">
        <v>0.13300000000000001</v>
      </c>
      <c r="W19" s="201"/>
      <c r="X19" s="274">
        <v>0.13300000000000001</v>
      </c>
      <c r="Y19" s="198">
        <f>_xll.qlSimpleQuoteSetValue(F19,X19/100,Trigger)</f>
        <v>0</v>
      </c>
      <c r="Z19" s="169"/>
    </row>
    <row r="20" spans="1:26" x14ac:dyDescent="0.2">
      <c r="A20" s="96"/>
      <c r="B20" s="141"/>
      <c r="C20" s="141" t="s">
        <v>155</v>
      </c>
      <c r="D20" s="455" t="s">
        <v>173</v>
      </c>
      <c r="E20" s="179" t="str">
        <f t="shared" si="0"/>
        <v>USDOIS13M_Quote</v>
      </c>
      <c r="F20" s="179" t="str">
        <f>_xll.qlSimpleQuote(Currency&amp;$B20&amp;$C20&amp;$D20&amp;QuoteSuffix,,RateTickValue,Permanent,Trigger,ObjectOverwrite)</f>
        <v>USDOIS13M_Quote#0000</v>
      </c>
      <c r="G20" s="24" t="str">
        <f>_xll.ohRangeRetrieveError(F20)</f>
        <v/>
      </c>
      <c r="H20" s="23"/>
      <c r="J20" s="96"/>
      <c r="K20" s="205" t="s">
        <v>173</v>
      </c>
      <c r="L20" s="254"/>
      <c r="M20" s="254" t="s">
        <v>155</v>
      </c>
      <c r="N20" s="252" t="str">
        <f t="shared" si="1"/>
        <v>USD13MOIS</v>
      </c>
      <c r="O20" s="252" t="str">
        <v>USD13MOIS=TTKL</v>
      </c>
      <c r="P20" s="199">
        <v>0.129</v>
      </c>
      <c r="Q20" s="199">
        <v>0.159</v>
      </c>
      <c r="R20" s="199">
        <v>0</v>
      </c>
      <c r="S20" s="199">
        <v>0</v>
      </c>
      <c r="T20" s="203">
        <f>_xll.qlMidEquivalent($P20,$Q20,$R20,$S20)</f>
        <v>0.14400000000000002</v>
      </c>
      <c r="U20" s="201"/>
      <c r="V20" s="202">
        <v>0.14400000000000002</v>
      </c>
      <c r="W20" s="201"/>
      <c r="X20" s="274">
        <v>0.14400000000000002</v>
      </c>
      <c r="Y20" s="198">
        <f>_xll.qlSimpleQuoteSetValue(F20,X20/100,Trigger)</f>
        <v>0</v>
      </c>
      <c r="Z20" s="169"/>
    </row>
    <row r="21" spans="1:26" x14ac:dyDescent="0.2">
      <c r="A21" s="96"/>
      <c r="B21" s="141"/>
      <c r="C21" s="141" t="s">
        <v>155</v>
      </c>
      <c r="D21" s="455" t="s">
        <v>172</v>
      </c>
      <c r="E21" s="179" t="str">
        <f t="shared" si="0"/>
        <v>USDOIS14M_Quote</v>
      </c>
      <c r="F21" s="179" t="str">
        <f>_xll.qlSimpleQuote(Currency&amp;$B21&amp;$C21&amp;$D21&amp;QuoteSuffix,,RateTickValue,Permanent,Trigger,ObjectOverwrite)</f>
        <v>USDOIS14M_Quote#0000</v>
      </c>
      <c r="G21" s="24" t="str">
        <f>_xll.ohRangeRetrieveError(F21)</f>
        <v/>
      </c>
      <c r="H21" s="23"/>
      <c r="J21" s="96"/>
      <c r="K21" s="205" t="s">
        <v>172</v>
      </c>
      <c r="L21" s="254"/>
      <c r="M21" s="254" t="s">
        <v>155</v>
      </c>
      <c r="N21" s="252" t="str">
        <f t="shared" si="1"/>
        <v>USD14MOIS</v>
      </c>
      <c r="O21" s="252" t="str">
        <v>USD14MOIS=TTKL</v>
      </c>
      <c r="P21" s="199">
        <v>0.14199999999999999</v>
      </c>
      <c r="Q21" s="199">
        <v>0.17199999999999999</v>
      </c>
      <c r="R21" s="199">
        <v>0</v>
      </c>
      <c r="S21" s="199">
        <v>0</v>
      </c>
      <c r="T21" s="203">
        <f>_xll.qlMidEquivalent($P21,$Q21,$R21,$S21)</f>
        <v>0.15699999999999997</v>
      </c>
      <c r="U21" s="201"/>
      <c r="V21" s="202">
        <v>0.15699999999999997</v>
      </c>
      <c r="W21" s="201"/>
      <c r="X21" s="274">
        <v>0.15699999999999997</v>
      </c>
      <c r="Y21" s="198">
        <f>_xll.qlSimpleQuoteSetValue(F21,X21/100,Trigger)</f>
        <v>0</v>
      </c>
      <c r="Z21" s="169"/>
    </row>
    <row r="22" spans="1:26" x14ac:dyDescent="0.2">
      <c r="A22" s="96"/>
      <c r="B22" s="141"/>
      <c r="C22" s="141" t="s">
        <v>155</v>
      </c>
      <c r="D22" s="455" t="s">
        <v>108</v>
      </c>
      <c r="E22" s="179" t="str">
        <f t="shared" si="0"/>
        <v>USDOIS15M_Quote</v>
      </c>
      <c r="F22" s="179" t="str">
        <f>_xll.qlSimpleQuote(Currency&amp;$B22&amp;$C22&amp;$D22&amp;QuoteSuffix,,RateTickValue,Permanent,Trigger,ObjectOverwrite)</f>
        <v>USDOIS15M_Quote#0000</v>
      </c>
      <c r="G22" s="24" t="str">
        <f>_xll.ohRangeRetrieveError(F22)</f>
        <v/>
      </c>
      <c r="H22" s="23"/>
      <c r="J22" s="96"/>
      <c r="K22" s="205" t="s">
        <v>108</v>
      </c>
      <c r="L22" s="254"/>
      <c r="M22" s="254" t="s">
        <v>155</v>
      </c>
      <c r="N22" s="252" t="str">
        <f t="shared" si="1"/>
        <v>USD15MOIS</v>
      </c>
      <c r="O22" s="252" t="str">
        <v>USD15MOIS=TTKL</v>
      </c>
      <c r="P22" s="199">
        <v>0.16</v>
      </c>
      <c r="Q22" s="199">
        <v>0.19</v>
      </c>
      <c r="R22" s="199">
        <v>0</v>
      </c>
      <c r="S22" s="199">
        <v>0</v>
      </c>
      <c r="T22" s="203">
        <f>_xll.qlMidEquivalent($P22,$Q22,$R22,$S22)</f>
        <v>0.17499999999999999</v>
      </c>
      <c r="U22" s="201"/>
      <c r="V22" s="202">
        <v>0.17499999999999999</v>
      </c>
      <c r="W22" s="201"/>
      <c r="X22" s="274">
        <v>0.17499999999999999</v>
      </c>
      <c r="Y22" s="198">
        <f>_xll.qlSimpleQuoteSetValue(F22,X22/100,Trigger)</f>
        <v>0</v>
      </c>
      <c r="Z22" s="169"/>
    </row>
    <row r="23" spans="1:26" x14ac:dyDescent="0.2">
      <c r="A23" s="96"/>
      <c r="B23" s="141"/>
      <c r="C23" s="141" t="s">
        <v>155</v>
      </c>
      <c r="D23" s="455" t="s">
        <v>171</v>
      </c>
      <c r="E23" s="179" t="str">
        <f t="shared" si="0"/>
        <v>USDOIS16M_Quote</v>
      </c>
      <c r="F23" s="179" t="str">
        <f>_xll.qlSimpleQuote(Currency&amp;$B23&amp;$C23&amp;$D23&amp;QuoteSuffix,,RateTickValue,Permanent,Trigger,ObjectOverwrite)</f>
        <v>USDOIS16M_Quote#0000</v>
      </c>
      <c r="G23" s="24" t="str">
        <f>_xll.ohRangeRetrieveError(F23)</f>
        <v/>
      </c>
      <c r="H23" s="23"/>
      <c r="J23" s="96"/>
      <c r="K23" s="205" t="s">
        <v>171</v>
      </c>
      <c r="L23" s="254"/>
      <c r="M23" s="254" t="s">
        <v>155</v>
      </c>
      <c r="N23" s="252" t="str">
        <f t="shared" si="1"/>
        <v>USD16MOIS</v>
      </c>
      <c r="O23" s="252" t="str">
        <v>USD16MOIS=TTKL</v>
      </c>
      <c r="P23" s="199">
        <v>0.17699999999999999</v>
      </c>
      <c r="Q23" s="199">
        <v>0.20699999999999999</v>
      </c>
      <c r="R23" s="199">
        <v>0</v>
      </c>
      <c r="S23" s="199">
        <v>0</v>
      </c>
      <c r="T23" s="203">
        <f>_xll.qlMidEquivalent($P23,$Q23,$R23,$S23)</f>
        <v>0.192</v>
      </c>
      <c r="U23" s="201"/>
      <c r="V23" s="202">
        <v>0.192</v>
      </c>
      <c r="W23" s="201"/>
      <c r="X23" s="274">
        <v>0.192</v>
      </c>
      <c r="Y23" s="198">
        <f>_xll.qlSimpleQuoteSetValue(F23,X23/100,Trigger)</f>
        <v>0</v>
      </c>
      <c r="Z23" s="169"/>
    </row>
    <row r="24" spans="1:26" x14ac:dyDescent="0.2">
      <c r="A24" s="96"/>
      <c r="B24" s="141"/>
      <c r="C24" s="141" t="s">
        <v>155</v>
      </c>
      <c r="D24" s="455" t="s">
        <v>170</v>
      </c>
      <c r="E24" s="179" t="str">
        <f t="shared" si="0"/>
        <v>USDOIS17M_Quote</v>
      </c>
      <c r="F24" s="179" t="str">
        <f>_xll.qlSimpleQuote(Currency&amp;$B24&amp;$C24&amp;$D24&amp;QuoteSuffix,,RateTickValue,Permanent,Trigger,ObjectOverwrite)</f>
        <v>USDOIS17M_Quote#0000</v>
      </c>
      <c r="G24" s="24" t="str">
        <f>_xll.ohRangeRetrieveError(F24)</f>
        <v/>
      </c>
      <c r="H24" s="23"/>
      <c r="J24" s="96"/>
      <c r="K24" s="205" t="s">
        <v>170</v>
      </c>
      <c r="L24" s="254"/>
      <c r="M24" s="254" t="s">
        <v>155</v>
      </c>
      <c r="N24" s="252" t="str">
        <f t="shared" si="1"/>
        <v>USD17MOIS</v>
      </c>
      <c r="O24" s="252" t="str">
        <v>USD17MOIS=TTKL</v>
      </c>
      <c r="P24" s="199">
        <v>0.19700000000000001</v>
      </c>
      <c r="Q24" s="199">
        <v>0.22700000000000001</v>
      </c>
      <c r="R24" s="199">
        <v>0</v>
      </c>
      <c r="S24" s="199">
        <v>0</v>
      </c>
      <c r="T24" s="203">
        <f>_xll.qlMidEquivalent($P24,$Q24,$R24,$S24)</f>
        <v>0.21200000000000002</v>
      </c>
      <c r="U24" s="201"/>
      <c r="V24" s="202">
        <v>0.21200000000000002</v>
      </c>
      <c r="W24" s="201"/>
      <c r="X24" s="274">
        <v>0.21200000000000002</v>
      </c>
      <c r="Y24" s="198">
        <f>_xll.qlSimpleQuoteSetValue(F24,X24/100,Trigger)</f>
        <v>0</v>
      </c>
      <c r="Z24" s="169"/>
    </row>
    <row r="25" spans="1:26" x14ac:dyDescent="0.2">
      <c r="A25" s="96"/>
      <c r="B25" s="141"/>
      <c r="C25" s="141" t="s">
        <v>155</v>
      </c>
      <c r="D25" s="455" t="s">
        <v>107</v>
      </c>
      <c r="E25" s="179" t="str">
        <f t="shared" si="0"/>
        <v>USDOIS18M_Quote</v>
      </c>
      <c r="F25" s="179" t="str">
        <f>_xll.qlSimpleQuote(Currency&amp;$B25&amp;$C25&amp;$D25&amp;QuoteSuffix,,RateTickValue,Permanent,Trigger,ObjectOverwrite)</f>
        <v>USDOIS18M_Quote#0000</v>
      </c>
      <c r="G25" s="24" t="str">
        <f>_xll.ohRangeRetrieveError(F25)</f>
        <v/>
      </c>
      <c r="H25" s="23"/>
      <c r="J25" s="96"/>
      <c r="K25" s="205" t="s">
        <v>107</v>
      </c>
      <c r="L25" s="254"/>
      <c r="M25" s="254" t="s">
        <v>155</v>
      </c>
      <c r="N25" s="252" t="str">
        <f t="shared" si="1"/>
        <v>USD18MOIS</v>
      </c>
      <c r="O25" s="252" t="str">
        <v>USD18MOIS=TTKL</v>
      </c>
      <c r="P25" s="199">
        <v>0.22</v>
      </c>
      <c r="Q25" s="199">
        <v>0.25</v>
      </c>
      <c r="R25" s="199">
        <v>0</v>
      </c>
      <c r="S25" s="199">
        <v>0</v>
      </c>
      <c r="T25" s="203">
        <f>_xll.qlMidEquivalent($P25,$Q25,$R25,$S25)</f>
        <v>0.23499999999999999</v>
      </c>
      <c r="U25" s="201"/>
      <c r="V25" s="202">
        <v>0.23499999999999999</v>
      </c>
      <c r="W25" s="201"/>
      <c r="X25" s="274">
        <v>0.23499999999999999</v>
      </c>
      <c r="Y25" s="198">
        <f>_xll.qlSimpleQuoteSetValue(F25,X25/100,Trigger)</f>
        <v>0</v>
      </c>
      <c r="Z25" s="169"/>
    </row>
    <row r="26" spans="1:26" x14ac:dyDescent="0.2">
      <c r="A26" s="96"/>
      <c r="B26" s="141"/>
      <c r="C26" s="141" t="s">
        <v>155</v>
      </c>
      <c r="D26" s="455" t="s">
        <v>169</v>
      </c>
      <c r="E26" s="179" t="str">
        <f t="shared" si="0"/>
        <v>USDOIS19M_Quote</v>
      </c>
      <c r="F26" s="179" t="str">
        <f>_xll.qlSimpleQuote(Currency&amp;$B26&amp;$C26&amp;$D26&amp;QuoteSuffix,,RateTickValue,Permanent,Trigger,ObjectOverwrite)</f>
        <v>USDOIS19M_Quote#0000</v>
      </c>
      <c r="G26" s="24" t="str">
        <f>_xll.ohRangeRetrieveError(F26)</f>
        <v/>
      </c>
      <c r="H26" s="23"/>
      <c r="J26" s="96"/>
      <c r="K26" s="205" t="s">
        <v>169</v>
      </c>
      <c r="L26" s="254"/>
      <c r="M26" s="254" t="s">
        <v>155</v>
      </c>
      <c r="N26" s="252" t="str">
        <f t="shared" si="1"/>
        <v>USD19MOIS</v>
      </c>
      <c r="O26" s="252" t="str">
        <v>USD19MOIS=TTKL</v>
      </c>
      <c r="P26" s="199">
        <v>0.24199999999999999</v>
      </c>
      <c r="Q26" s="199">
        <v>0.27200000000000002</v>
      </c>
      <c r="R26" s="199">
        <v>0</v>
      </c>
      <c r="S26" s="199">
        <v>0</v>
      </c>
      <c r="T26" s="203">
        <f>_xll.qlMidEquivalent($P26,$Q26,$R26,$S26)</f>
        <v>0.25700000000000001</v>
      </c>
      <c r="U26" s="201"/>
      <c r="V26" s="202">
        <v>0.25700000000000001</v>
      </c>
      <c r="W26" s="201"/>
      <c r="X26" s="274">
        <v>0.25700000000000001</v>
      </c>
      <c r="Y26" s="198">
        <f>_xll.qlSimpleQuoteSetValue(F26,X26/100,Trigger)</f>
        <v>0</v>
      </c>
      <c r="Z26" s="169"/>
    </row>
    <row r="27" spans="1:26" x14ac:dyDescent="0.2">
      <c r="A27" s="96"/>
      <c r="B27" s="141"/>
      <c r="C27" s="141" t="s">
        <v>155</v>
      </c>
      <c r="D27" s="455" t="s">
        <v>168</v>
      </c>
      <c r="E27" s="179" t="str">
        <f t="shared" si="0"/>
        <v>USDOIS20M_Quote</v>
      </c>
      <c r="F27" s="179" t="str">
        <f>_xll.qlSimpleQuote(Currency&amp;$B27&amp;$C27&amp;$D27&amp;QuoteSuffix,,RateTickValue,Permanent,Trigger,ObjectOverwrite)</f>
        <v>USDOIS20M_Quote#0000</v>
      </c>
      <c r="G27" s="24" t="str">
        <f>_xll.ohRangeRetrieveError(F27)</f>
        <v/>
      </c>
      <c r="H27" s="23"/>
      <c r="J27" s="96"/>
      <c r="K27" s="205" t="s">
        <v>168</v>
      </c>
      <c r="L27" s="254"/>
      <c r="M27" s="254" t="s">
        <v>155</v>
      </c>
      <c r="N27" s="252" t="str">
        <f t="shared" si="1"/>
        <v>USD20MOIS</v>
      </c>
      <c r="O27" s="252" t="str">
        <v>USD20MOIS=TTKL</v>
      </c>
      <c r="P27" s="199">
        <v>0.26800000000000002</v>
      </c>
      <c r="Q27" s="199">
        <v>0.29799999999999999</v>
      </c>
      <c r="R27" s="199">
        <v>0</v>
      </c>
      <c r="S27" s="199">
        <v>0</v>
      </c>
      <c r="T27" s="203">
        <f>_xll.qlMidEquivalent($P27,$Q27,$R27,$S27)</f>
        <v>0.28300000000000003</v>
      </c>
      <c r="U27" s="201"/>
      <c r="V27" s="202">
        <v>0.28300000000000003</v>
      </c>
      <c r="W27" s="201"/>
      <c r="X27" s="274">
        <v>0.28300000000000003</v>
      </c>
      <c r="Y27" s="198">
        <f>_xll.qlSimpleQuoteSetValue(F27,X27/100,Trigger)</f>
        <v>0</v>
      </c>
      <c r="Z27" s="169"/>
    </row>
    <row r="28" spans="1:26" x14ac:dyDescent="0.2">
      <c r="A28" s="96"/>
      <c r="B28" s="141"/>
      <c r="C28" s="141" t="s">
        <v>155</v>
      </c>
      <c r="D28" s="455" t="s">
        <v>106</v>
      </c>
      <c r="E28" s="179" t="str">
        <f t="shared" si="0"/>
        <v>USDOIS21M_Quote</v>
      </c>
      <c r="F28" s="179" t="str">
        <f>_xll.qlSimpleQuote(Currency&amp;$B28&amp;$C28&amp;$D28&amp;QuoteSuffix,,RateTickValue,Permanent,Trigger,ObjectOverwrite)</f>
        <v>USDOIS21M_Quote#0000</v>
      </c>
      <c r="G28" s="24" t="str">
        <f>_xll.ohRangeRetrieveError(F28)</f>
        <v/>
      </c>
      <c r="H28" s="23"/>
      <c r="J28" s="96"/>
      <c r="K28" s="205" t="s">
        <v>106</v>
      </c>
      <c r="L28" s="254"/>
      <c r="M28" s="254" t="s">
        <v>155</v>
      </c>
      <c r="N28" s="252" t="str">
        <f t="shared" si="1"/>
        <v>USD21MOIS</v>
      </c>
      <c r="O28" s="252" t="str">
        <v>USD21MOIS=TTKL</v>
      </c>
      <c r="P28" s="199">
        <v>0.29599999999999999</v>
      </c>
      <c r="Q28" s="199">
        <v>0.32600000000000001</v>
      </c>
      <c r="R28" s="199">
        <v>0</v>
      </c>
      <c r="S28" s="199">
        <v>0</v>
      </c>
      <c r="T28" s="203">
        <f>_xll.qlMidEquivalent($P28,$Q28,$R28,$S28)</f>
        <v>0.311</v>
      </c>
      <c r="U28" s="201"/>
      <c r="V28" s="202">
        <v>0.312</v>
      </c>
      <c r="W28" s="201"/>
      <c r="X28" s="274">
        <v>0.311</v>
      </c>
      <c r="Y28" s="198">
        <f>_xll.qlSimpleQuoteSetValue(F28,X28/100,Trigger)</f>
        <v>0</v>
      </c>
      <c r="Z28" s="169"/>
    </row>
    <row r="29" spans="1:26" x14ac:dyDescent="0.2">
      <c r="A29" s="96"/>
      <c r="B29" s="141"/>
      <c r="C29" s="141" t="s">
        <v>155</v>
      </c>
      <c r="D29" s="455" t="s">
        <v>167</v>
      </c>
      <c r="E29" s="179" t="str">
        <f t="shared" si="0"/>
        <v>USDOIS22M_Quote</v>
      </c>
      <c r="F29" s="179" t="str">
        <f>_xll.qlSimpleQuote(Currency&amp;$B29&amp;$C29&amp;$D29&amp;QuoteSuffix,,RateTickValue,Permanent,Trigger,ObjectOverwrite)</f>
        <v>USDOIS22M_Quote#0000</v>
      </c>
      <c r="G29" s="24" t="str">
        <f>_xll.ohRangeRetrieveError(F29)</f>
        <v/>
      </c>
      <c r="H29" s="23"/>
      <c r="J29" s="96"/>
      <c r="K29" s="205" t="s">
        <v>167</v>
      </c>
      <c r="L29" s="254"/>
      <c r="M29" s="254" t="s">
        <v>155</v>
      </c>
      <c r="N29" s="252" t="str">
        <f t="shared" si="1"/>
        <v>USD22MOIS</v>
      </c>
      <c r="O29" s="252" t="str">
        <v>USD22MOIS=TTKL</v>
      </c>
      <c r="P29" s="199">
        <v>0.32400000000000001</v>
      </c>
      <c r="Q29" s="199">
        <v>0.35399999999999998</v>
      </c>
      <c r="R29" s="199">
        <v>0</v>
      </c>
      <c r="S29" s="199">
        <v>0</v>
      </c>
      <c r="T29" s="203">
        <f>_xll.qlMidEquivalent($P29,$Q29,$R29,$S29)</f>
        <v>0.33899999999999997</v>
      </c>
      <c r="U29" s="201"/>
      <c r="V29" s="202">
        <v>0.33999999999999997</v>
      </c>
      <c r="W29" s="201"/>
      <c r="X29" s="274">
        <v>0.33899999999999997</v>
      </c>
      <c r="Y29" s="198">
        <f>_xll.qlSimpleQuoteSetValue(F29,X29/100,Trigger)</f>
        <v>0</v>
      </c>
      <c r="Z29" s="169"/>
    </row>
    <row r="30" spans="1:26" x14ac:dyDescent="0.2">
      <c r="A30" s="96"/>
      <c r="B30" s="141"/>
      <c r="C30" s="141" t="s">
        <v>155</v>
      </c>
      <c r="D30" s="455" t="s">
        <v>166</v>
      </c>
      <c r="E30" s="179" t="str">
        <f t="shared" si="0"/>
        <v>USDOIS23M_Quote</v>
      </c>
      <c r="F30" s="179" t="str">
        <f>_xll.qlSimpleQuote(Currency&amp;$B30&amp;$C30&amp;$D30&amp;QuoteSuffix,,RateTickValue,Permanent,Trigger,ObjectOverwrite)</f>
        <v>USDOIS23M_Quote#0000</v>
      </c>
      <c r="G30" s="24" t="str">
        <f>_xll.ohRangeRetrieveError(F30)</f>
        <v/>
      </c>
      <c r="H30" s="23"/>
      <c r="J30" s="96"/>
      <c r="K30" s="205" t="s">
        <v>166</v>
      </c>
      <c r="L30" s="254"/>
      <c r="M30" s="254" t="s">
        <v>155</v>
      </c>
      <c r="N30" s="252" t="str">
        <f t="shared" si="1"/>
        <v>USD23MOIS</v>
      </c>
      <c r="O30" s="252" t="str">
        <v>USD23MOIS=TTKL</v>
      </c>
      <c r="P30" s="199">
        <v>0.35599999999999998</v>
      </c>
      <c r="Q30" s="199">
        <v>0.38600000000000001</v>
      </c>
      <c r="R30" s="199">
        <v>0</v>
      </c>
      <c r="S30" s="199">
        <v>0</v>
      </c>
      <c r="T30" s="203">
        <f>_xll.qlMidEquivalent($P30,$Q30,$R30,$S30)</f>
        <v>0.371</v>
      </c>
      <c r="U30" s="201"/>
      <c r="V30" s="202">
        <v>0.371</v>
      </c>
      <c r="W30" s="201"/>
      <c r="X30" s="274">
        <v>0.371</v>
      </c>
      <c r="Y30" s="198">
        <f>_xll.qlSimpleQuoteSetValue(F30,X30/100,Trigger)</f>
        <v>0</v>
      </c>
      <c r="Z30" s="169"/>
    </row>
    <row r="31" spans="1:26" x14ac:dyDescent="0.2">
      <c r="A31" s="96"/>
      <c r="B31" s="141"/>
      <c r="C31" s="141" t="s">
        <v>155</v>
      </c>
      <c r="D31" s="455" t="s">
        <v>84</v>
      </c>
      <c r="E31" s="179" t="str">
        <f t="shared" si="0"/>
        <v>USDOIS2Y_Quote</v>
      </c>
      <c r="F31" s="179" t="str">
        <f>_xll.qlSimpleQuote(Currency&amp;$B31&amp;$C31&amp;$D31&amp;QuoteSuffix,,RateTickValue,Permanent,Trigger,ObjectOverwrite)</f>
        <v>USDOIS2Y_Quote#0000</v>
      </c>
      <c r="G31" s="24" t="str">
        <f>_xll.ohRangeRetrieveError(F31)</f>
        <v/>
      </c>
      <c r="H31" s="23"/>
      <c r="J31" s="96"/>
      <c r="K31" s="205" t="s">
        <v>84</v>
      </c>
      <c r="L31" s="254"/>
      <c r="M31" s="254" t="s">
        <v>155</v>
      </c>
      <c r="N31" s="252" t="str">
        <f t="shared" si="1"/>
        <v>USD2YOIS</v>
      </c>
      <c r="O31" s="252" t="str">
        <v>USD2YOIS=TTKL</v>
      </c>
      <c r="P31" s="199">
        <v>0.38900000000000001</v>
      </c>
      <c r="Q31" s="199">
        <v>0.41899999999999998</v>
      </c>
      <c r="R31" s="199">
        <v>0</v>
      </c>
      <c r="S31" s="199">
        <v>0</v>
      </c>
      <c r="T31" s="203">
        <f>_xll.qlMidEquivalent($P31,$Q31,$R31,$S31)</f>
        <v>0.40400000000000003</v>
      </c>
      <c r="U31" s="201"/>
      <c r="V31" s="202">
        <v>0.40400000000000003</v>
      </c>
      <c r="W31" s="201"/>
      <c r="X31" s="274">
        <v>0.40400000000000003</v>
      </c>
      <c r="Y31" s="198">
        <f>_xll.qlSimpleQuoteSetValue(F31,X31/100,Trigger)</f>
        <v>0</v>
      </c>
      <c r="Z31" s="169"/>
    </row>
    <row r="32" spans="1:26" x14ac:dyDescent="0.2">
      <c r="A32" s="96"/>
      <c r="B32" s="141"/>
      <c r="C32" s="141" t="s">
        <v>155</v>
      </c>
      <c r="D32" s="455" t="s">
        <v>165</v>
      </c>
      <c r="E32" s="179" t="str">
        <f t="shared" si="0"/>
        <v>USDOIS27M_Quote</v>
      </c>
      <c r="F32" s="179" t="str">
        <f>_xll.qlSimpleQuote(Currency&amp;$B32&amp;$C32&amp;$D32&amp;QuoteSuffix,,RateTickValue,Permanent,Trigger,ObjectOverwrite)</f>
        <v>USDOIS27M_Quote#0000</v>
      </c>
      <c r="G32" s="24" t="str">
        <f>_xll.ohRangeRetrieveError(F32)</f>
        <v/>
      </c>
      <c r="H32" s="23"/>
      <c r="J32" s="96"/>
      <c r="K32" s="205" t="s">
        <v>165</v>
      </c>
      <c r="L32" s="254"/>
      <c r="M32" s="254" t="s">
        <v>155</v>
      </c>
      <c r="N32" s="252" t="str">
        <f t="shared" si="1"/>
        <v>USD27MOIS</v>
      </c>
      <c r="O32" s="252" t="str">
        <v>USD27MOIS=TTKL</v>
      </c>
      <c r="P32" s="199">
        <v>0.48199999999999998</v>
      </c>
      <c r="Q32" s="199">
        <v>0.53200000000000003</v>
      </c>
      <c r="R32" s="199">
        <v>0</v>
      </c>
      <c r="S32" s="199">
        <v>0</v>
      </c>
      <c r="T32" s="203">
        <f>_xll.qlMidEquivalent($P32,$Q32,$R32,$S32)</f>
        <v>0.50700000000000001</v>
      </c>
      <c r="U32" s="201"/>
      <c r="V32" s="202">
        <v>0.50800000000000001</v>
      </c>
      <c r="W32" s="201"/>
      <c r="X32" s="274">
        <v>0.50700000000000001</v>
      </c>
      <c r="Y32" s="198">
        <f>_xll.qlSimpleQuoteSetValue(F32,X32/100,Trigger)</f>
        <v>0</v>
      </c>
      <c r="Z32" s="169"/>
    </row>
    <row r="33" spans="1:26" x14ac:dyDescent="0.2">
      <c r="A33" s="96"/>
      <c r="B33" s="141"/>
      <c r="C33" s="141" t="s">
        <v>155</v>
      </c>
      <c r="D33" s="455" t="s">
        <v>164</v>
      </c>
      <c r="E33" s="179" t="str">
        <f t="shared" si="0"/>
        <v>USDOIS30M_Quote</v>
      </c>
      <c r="F33" s="179" t="str">
        <f>_xll.qlSimpleQuote(Currency&amp;$B33&amp;$C33&amp;$D33&amp;QuoteSuffix,,RateTickValue,Permanent,Trigger,ObjectOverwrite)</f>
        <v>USDOIS30M_Quote#0000</v>
      </c>
      <c r="G33" s="24" t="str">
        <f>_xll.ohRangeRetrieveError(F33)</f>
        <v/>
      </c>
      <c r="H33" s="23"/>
      <c r="J33" s="96"/>
      <c r="K33" s="205" t="s">
        <v>164</v>
      </c>
      <c r="L33" s="254"/>
      <c r="M33" s="254" t="s">
        <v>155</v>
      </c>
      <c r="N33" s="252" t="str">
        <f t="shared" si="1"/>
        <v>USD30MOIS</v>
      </c>
      <c r="O33" s="252" t="str">
        <v>USD30MOIS=TTKL</v>
      </c>
      <c r="P33" s="199">
        <v>0.59</v>
      </c>
      <c r="Q33" s="199">
        <v>0.64</v>
      </c>
      <c r="R33" s="199">
        <v>0</v>
      </c>
      <c r="S33" s="199">
        <v>0</v>
      </c>
      <c r="T33" s="203">
        <f>_xll.qlMidEquivalent($P33,$Q33,$R33,$S33)</f>
        <v>0.61499999999999999</v>
      </c>
      <c r="U33" s="201"/>
      <c r="V33" s="202">
        <v>0.61699999999999999</v>
      </c>
      <c r="W33" s="201"/>
      <c r="X33" s="274">
        <v>0.61499999999999999</v>
      </c>
      <c r="Y33" s="198">
        <f>_xll.qlSimpleQuoteSetValue(F33,X33/100,Trigger)</f>
        <v>0</v>
      </c>
      <c r="Z33" s="169"/>
    </row>
    <row r="34" spans="1:26" x14ac:dyDescent="0.2">
      <c r="A34" s="96"/>
      <c r="B34" s="141"/>
      <c r="C34" s="141" t="s">
        <v>155</v>
      </c>
      <c r="D34" s="455" t="s">
        <v>163</v>
      </c>
      <c r="E34" s="179" t="str">
        <f t="shared" si="0"/>
        <v>USDOIS33M_Quote</v>
      </c>
      <c r="F34" s="179" t="str">
        <f>_xll.qlSimpleQuote(Currency&amp;$B34&amp;$C34&amp;$D34&amp;QuoteSuffix,,RateTickValue,Permanent,Trigger,ObjectOverwrite)</f>
        <v>USDOIS33M_Quote#0000</v>
      </c>
      <c r="G34" s="24" t="str">
        <f>_xll.ohRangeRetrieveError(F34)</f>
        <v/>
      </c>
      <c r="H34" s="23"/>
      <c r="J34" s="96"/>
      <c r="K34" s="205" t="s">
        <v>163</v>
      </c>
      <c r="L34" s="254"/>
      <c r="M34" s="254" t="s">
        <v>155</v>
      </c>
      <c r="N34" s="252" t="str">
        <f t="shared" si="1"/>
        <v>USD33MOIS</v>
      </c>
      <c r="O34" s="252" t="str">
        <v>USD33MOIS=TTKL</v>
      </c>
      <c r="P34" s="199">
        <v>0.70099999999999996</v>
      </c>
      <c r="Q34" s="199">
        <v>0.751</v>
      </c>
      <c r="R34" s="199">
        <v>0</v>
      </c>
      <c r="S34" s="199">
        <v>0</v>
      </c>
      <c r="T34" s="203">
        <f>_xll.qlMidEquivalent($P34,$Q34,$R34,$S34)</f>
        <v>0.72599999999999998</v>
      </c>
      <c r="U34" s="201"/>
      <c r="V34" s="202">
        <v>0.72699999999999998</v>
      </c>
      <c r="W34" s="201"/>
      <c r="X34" s="274">
        <v>0.72599999999999998</v>
      </c>
      <c r="Y34" s="198">
        <f>_xll.qlSimpleQuoteSetValue(F34,X34/100,Trigger)</f>
        <v>0</v>
      </c>
      <c r="Z34" s="169"/>
    </row>
    <row r="35" spans="1:26" x14ac:dyDescent="0.2">
      <c r="A35" s="96"/>
      <c r="B35" s="141"/>
      <c r="C35" s="141" t="s">
        <v>155</v>
      </c>
      <c r="D35" s="455" t="s">
        <v>83</v>
      </c>
      <c r="E35" s="179" t="str">
        <f t="shared" si="0"/>
        <v>USDOIS3Y_Quote</v>
      </c>
      <c r="F35" s="179" t="str">
        <f>_xll.qlSimpleQuote(Currency&amp;$B35&amp;$C35&amp;$D35&amp;QuoteSuffix,,RateTickValue,Permanent,Trigger,ObjectOverwrite)</f>
        <v>USDOIS3Y_Quote#0000</v>
      </c>
      <c r="G35" s="24" t="str">
        <f>_xll.ohRangeRetrieveError(F35)</f>
        <v/>
      </c>
      <c r="H35" s="23"/>
      <c r="J35" s="96"/>
      <c r="K35" s="205" t="s">
        <v>83</v>
      </c>
      <c r="L35" s="254"/>
      <c r="M35" s="254" t="s">
        <v>155</v>
      </c>
      <c r="N35" s="252" t="str">
        <f t="shared" si="1"/>
        <v>USD3YOIS</v>
      </c>
      <c r="O35" s="252" t="str">
        <v>USD3YOIS=TTKL</v>
      </c>
      <c r="P35" s="199">
        <v>0.80700000000000005</v>
      </c>
      <c r="Q35" s="199">
        <v>0.85699999999999998</v>
      </c>
      <c r="R35" s="199">
        <v>0</v>
      </c>
      <c r="S35" s="199">
        <v>0</v>
      </c>
      <c r="T35" s="203">
        <f>_xll.qlMidEquivalent($P35,$Q35,$R35,$S35)</f>
        <v>0.83200000000000007</v>
      </c>
      <c r="U35" s="201"/>
      <c r="V35" s="202">
        <v>0.83299999999999996</v>
      </c>
      <c r="W35" s="201"/>
      <c r="X35" s="274">
        <v>0.83200000000000007</v>
      </c>
      <c r="Y35" s="198">
        <f>_xll.qlSimpleQuoteSetValue(F35,X35/100,Trigger)</f>
        <v>0</v>
      </c>
      <c r="Z35" s="169"/>
    </row>
    <row r="36" spans="1:26" x14ac:dyDescent="0.2">
      <c r="A36" s="96"/>
      <c r="B36" s="141"/>
      <c r="C36" s="141" t="s">
        <v>155</v>
      </c>
      <c r="D36" s="455" t="s">
        <v>162</v>
      </c>
      <c r="E36" s="179" t="str">
        <f t="shared" si="0"/>
        <v>USDOIS39M_Quote</v>
      </c>
      <c r="F36" s="179" t="str">
        <f>_xll.qlSimpleQuote(Currency&amp;$B36&amp;$C36&amp;$D36&amp;QuoteSuffix,,RateTickValue,Permanent,Trigger,ObjectOverwrite)</f>
        <v>USDOIS39M_Quote#0000</v>
      </c>
      <c r="G36" s="24" t="str">
        <f>_xll.ohRangeRetrieveError(F36)</f>
        <v/>
      </c>
      <c r="H36" s="23"/>
      <c r="J36" s="96"/>
      <c r="K36" s="205" t="s">
        <v>162</v>
      </c>
      <c r="L36" s="254"/>
      <c r="M36" s="254" t="s">
        <v>155</v>
      </c>
      <c r="N36" s="252" t="str">
        <f t="shared" si="1"/>
        <v>USD39MOIS</v>
      </c>
      <c r="O36" s="252" t="str">
        <v>USD39MOIS=TTKL</v>
      </c>
      <c r="P36" s="199">
        <v>0.91200000000000003</v>
      </c>
      <c r="Q36" s="199">
        <v>0.96199999999999997</v>
      </c>
      <c r="R36" s="199">
        <v>0</v>
      </c>
      <c r="S36" s="199">
        <v>0</v>
      </c>
      <c r="T36" s="203">
        <f>_xll.qlMidEquivalent($P36,$Q36,$R36,$S36)</f>
        <v>0.93700000000000006</v>
      </c>
      <c r="U36" s="201"/>
      <c r="V36" s="202">
        <v>0.93900000000000006</v>
      </c>
      <c r="W36" s="201"/>
      <c r="X36" s="274">
        <v>0.93700000000000006</v>
      </c>
      <c r="Y36" s="198">
        <f>_xll.qlSimpleQuoteSetValue(F36,X36/100,Trigger)</f>
        <v>0</v>
      </c>
      <c r="Z36" s="169"/>
    </row>
    <row r="37" spans="1:26" x14ac:dyDescent="0.2">
      <c r="A37" s="96"/>
      <c r="B37" s="141"/>
      <c r="C37" s="141" t="s">
        <v>155</v>
      </c>
      <c r="D37" s="455" t="s">
        <v>161</v>
      </c>
      <c r="E37" s="179" t="str">
        <f t="shared" ref="E37:E58" si="2">Currency&amp;$B37&amp;$C37&amp;$D37&amp;QuoteSuffix</f>
        <v>USDOIS42M_Quote</v>
      </c>
      <c r="F37" s="179" t="str">
        <f>_xll.qlSimpleQuote(Currency&amp;$B37&amp;$C37&amp;$D37&amp;QuoteSuffix,,RateTickValue,Permanent,Trigger,ObjectOverwrite)</f>
        <v>USDOIS42M_Quote#0000</v>
      </c>
      <c r="G37" s="24" t="str">
        <f>_xll.ohRangeRetrieveError(F37)</f>
        <v/>
      </c>
      <c r="H37" s="23"/>
      <c r="J37" s="96"/>
      <c r="K37" s="205" t="s">
        <v>161</v>
      </c>
      <c r="L37" s="254"/>
      <c r="M37" s="254" t="s">
        <v>155</v>
      </c>
      <c r="N37" s="252" t="str">
        <f t="shared" ref="N37:N58" si="3">Currency&amp;$K37&amp;$L37&amp;$M37</f>
        <v>USD42MOIS</v>
      </c>
      <c r="O37" s="252" t="str">
        <v>USD42MOIS=TTKL</v>
      </c>
      <c r="P37" s="199">
        <v>1.012</v>
      </c>
      <c r="Q37" s="199">
        <v>1.0620000000000001</v>
      </c>
      <c r="R37" s="199">
        <v>0</v>
      </c>
      <c r="S37" s="199">
        <v>0</v>
      </c>
      <c r="T37" s="203">
        <f>_xll.qlMidEquivalent($P37,$Q37,$R37,$S37)</f>
        <v>1.0369999999999999</v>
      </c>
      <c r="U37" s="201"/>
      <c r="V37" s="202">
        <v>1.0369999999999999</v>
      </c>
      <c r="W37" s="201"/>
      <c r="X37" s="274">
        <v>1.0369999999999999</v>
      </c>
      <c r="Y37" s="198">
        <f>_xll.qlSimpleQuoteSetValue(F37,X37/100,Trigger)</f>
        <v>0</v>
      </c>
      <c r="Z37" s="169"/>
    </row>
    <row r="38" spans="1:26" x14ac:dyDescent="0.2">
      <c r="A38" s="96"/>
      <c r="B38" s="141"/>
      <c r="C38" s="141" t="s">
        <v>155</v>
      </c>
      <c r="D38" s="455" t="s">
        <v>160</v>
      </c>
      <c r="E38" s="179" t="str">
        <f t="shared" si="2"/>
        <v>USDOIS45M_Quote</v>
      </c>
      <c r="F38" s="179" t="str">
        <f>_xll.qlSimpleQuote(Currency&amp;$B38&amp;$C38&amp;$D38&amp;QuoteSuffix,,RateTickValue,Permanent,Trigger,ObjectOverwrite)</f>
        <v>USDOIS45M_Quote#0000</v>
      </c>
      <c r="G38" s="24" t="str">
        <f>_xll.ohRangeRetrieveError(F38)</f>
        <v/>
      </c>
      <c r="H38" s="23"/>
      <c r="J38" s="96"/>
      <c r="K38" s="205" t="s">
        <v>160</v>
      </c>
      <c r="L38" s="254"/>
      <c r="M38" s="254" t="s">
        <v>155</v>
      </c>
      <c r="N38" s="252" t="str">
        <f t="shared" si="3"/>
        <v>USD45MOIS</v>
      </c>
      <c r="O38" s="252" t="str">
        <v>USD45MOIS=TTKL</v>
      </c>
      <c r="P38" s="199">
        <v>1.111</v>
      </c>
      <c r="Q38" s="199">
        <v>1.161</v>
      </c>
      <c r="R38" s="199">
        <v>0</v>
      </c>
      <c r="S38" s="199">
        <v>0</v>
      </c>
      <c r="T38" s="203">
        <f>_xll.qlMidEquivalent($P38,$Q38,$R38,$S38)</f>
        <v>1.1360000000000001</v>
      </c>
      <c r="U38" s="201"/>
      <c r="V38" s="202">
        <v>1.1379999999999999</v>
      </c>
      <c r="W38" s="201"/>
      <c r="X38" s="274">
        <v>1.1360000000000001</v>
      </c>
      <c r="Y38" s="198">
        <f>_xll.qlSimpleQuoteSetValue(F38,X38/100,Trigger)</f>
        <v>-9.9999999999978578E-6</v>
      </c>
      <c r="Z38" s="169"/>
    </row>
    <row r="39" spans="1:26" x14ac:dyDescent="0.2">
      <c r="A39" s="96"/>
      <c r="B39" s="141"/>
      <c r="C39" s="141" t="s">
        <v>155</v>
      </c>
      <c r="D39" s="455" t="s">
        <v>82</v>
      </c>
      <c r="E39" s="179" t="str">
        <f t="shared" si="2"/>
        <v>USDOIS4Y_Quote</v>
      </c>
      <c r="F39" s="179" t="str">
        <f>_xll.qlSimpleQuote(Currency&amp;$B39&amp;$C39&amp;$D39&amp;QuoteSuffix,,RateTickValue,Permanent,Trigger,ObjectOverwrite)</f>
        <v>USDOIS4Y_Quote#0000</v>
      </c>
      <c r="G39" s="24" t="str">
        <f>_xll.ohRangeRetrieveError(F39)</f>
        <v/>
      </c>
      <c r="H39" s="23"/>
      <c r="J39" s="96"/>
      <c r="K39" s="205" t="s">
        <v>82</v>
      </c>
      <c r="L39" s="254"/>
      <c r="M39" s="254" t="s">
        <v>155</v>
      </c>
      <c r="N39" s="252" t="str">
        <f t="shared" si="3"/>
        <v>USD4YOIS</v>
      </c>
      <c r="O39" s="252" t="str">
        <v>USD4YOIS=TTKL</v>
      </c>
      <c r="P39" s="199">
        <v>1.202</v>
      </c>
      <c r="Q39" s="199">
        <v>1.252</v>
      </c>
      <c r="R39" s="199">
        <v>0</v>
      </c>
      <c r="S39" s="199">
        <v>0</v>
      </c>
      <c r="T39" s="203">
        <f>_xll.qlMidEquivalent($P39,$Q39,$R39,$S39)</f>
        <v>1.2269999999999999</v>
      </c>
      <c r="U39" s="201"/>
      <c r="V39" s="202">
        <v>1.2269999999999999</v>
      </c>
      <c r="W39" s="201"/>
      <c r="X39" s="274">
        <v>1.2269999999999999</v>
      </c>
      <c r="Y39" s="198">
        <f>_xll.qlSimpleQuoteSetValue(F39,X39/100,Trigger)</f>
        <v>0</v>
      </c>
      <c r="Z39" s="169"/>
    </row>
    <row r="40" spans="1:26" x14ac:dyDescent="0.2">
      <c r="A40" s="96"/>
      <c r="B40" s="141"/>
      <c r="C40" s="141" t="s">
        <v>155</v>
      </c>
      <c r="D40" s="455" t="s">
        <v>159</v>
      </c>
      <c r="E40" s="179" t="str">
        <f t="shared" si="2"/>
        <v>USDOIS51M_Quote</v>
      </c>
      <c r="F40" s="179" t="str">
        <f>_xll.qlSimpleQuote(Currency&amp;$B40&amp;$C40&amp;$D40&amp;QuoteSuffix,,RateTickValue,Permanent,Trigger,ObjectOverwrite)</f>
        <v>USDOIS51M_Quote#0000</v>
      </c>
      <c r="G40" s="24" t="str">
        <f>_xll.ohRangeRetrieveError(F40)</f>
        <v/>
      </c>
      <c r="H40" s="23"/>
      <c r="J40" s="96"/>
      <c r="K40" s="205" t="s">
        <v>159</v>
      </c>
      <c r="L40" s="254"/>
      <c r="M40" s="254" t="s">
        <v>155</v>
      </c>
      <c r="N40" s="252" t="str">
        <f t="shared" si="3"/>
        <v>USD51MOIS</v>
      </c>
      <c r="O40" s="252" t="str">
        <v>USD51MOIS=TTKL</v>
      </c>
      <c r="P40" s="199">
        <v>1.292</v>
      </c>
      <c r="Q40" s="199">
        <v>1.3420000000000001</v>
      </c>
      <c r="R40" s="199">
        <v>0</v>
      </c>
      <c r="S40" s="199">
        <v>0</v>
      </c>
      <c r="T40" s="203">
        <f>_xll.qlMidEquivalent($P40,$Q40,$R40,$S40)</f>
        <v>1.3170000000000002</v>
      </c>
      <c r="U40" s="201"/>
      <c r="V40" s="202">
        <v>1.319</v>
      </c>
      <c r="W40" s="201"/>
      <c r="X40" s="274">
        <v>1.3170000000000002</v>
      </c>
      <c r="Y40" s="198">
        <f>_xll.qlSimpleQuoteSetValue(F40,X40/100,Trigger)</f>
        <v>0</v>
      </c>
      <c r="Z40" s="169"/>
    </row>
    <row r="41" spans="1:26" x14ac:dyDescent="0.2">
      <c r="A41" s="96"/>
      <c r="B41" s="141"/>
      <c r="C41" s="141" t="s">
        <v>155</v>
      </c>
      <c r="D41" s="455" t="s">
        <v>158</v>
      </c>
      <c r="E41" s="179" t="str">
        <f t="shared" si="2"/>
        <v>USDOIS54M_Quote</v>
      </c>
      <c r="F41" s="179" t="str">
        <f>_xll.qlSimpleQuote(Currency&amp;$B41&amp;$C41&amp;$D41&amp;QuoteSuffix,,RateTickValue,Permanent,Trigger,ObjectOverwrite)</f>
        <v>USDOIS54M_Quote#0000</v>
      </c>
      <c r="G41" s="24" t="str">
        <f>_xll.ohRangeRetrieveError(F41)</f>
        <v/>
      </c>
      <c r="H41" s="23"/>
      <c r="J41" s="96"/>
      <c r="K41" s="205" t="s">
        <v>158</v>
      </c>
      <c r="L41" s="254"/>
      <c r="M41" s="254" t="s">
        <v>155</v>
      </c>
      <c r="N41" s="252" t="str">
        <f t="shared" si="3"/>
        <v>USD54MOIS</v>
      </c>
      <c r="O41" s="252" t="str">
        <v>USD54MOIS=TTKL</v>
      </c>
      <c r="P41" s="199">
        <v>1.373</v>
      </c>
      <c r="Q41" s="199">
        <v>1.423</v>
      </c>
      <c r="R41" s="199">
        <v>0</v>
      </c>
      <c r="S41" s="199">
        <v>0</v>
      </c>
      <c r="T41" s="203">
        <f>_xll.qlMidEquivalent($P41,$Q41,$R41,$S41)</f>
        <v>1.3980000000000001</v>
      </c>
      <c r="U41" s="201"/>
      <c r="V41" s="202">
        <v>1.397</v>
      </c>
      <c r="W41" s="201"/>
      <c r="X41" s="274">
        <v>1.3980000000000001</v>
      </c>
      <c r="Y41" s="198">
        <f>_xll.qlSimpleQuoteSetValue(F41,X41/100,Trigger)</f>
        <v>0</v>
      </c>
      <c r="Z41" s="169"/>
    </row>
    <row r="42" spans="1:26" x14ac:dyDescent="0.2">
      <c r="A42" s="96"/>
      <c r="B42" s="141"/>
      <c r="C42" s="141" t="s">
        <v>155</v>
      </c>
      <c r="D42" s="455" t="s">
        <v>157</v>
      </c>
      <c r="E42" s="179" t="str">
        <f t="shared" si="2"/>
        <v>USDOIS57M_Quote</v>
      </c>
      <c r="F42" s="179" t="str">
        <f>_xll.qlSimpleQuote(Currency&amp;$B42&amp;$C42&amp;$D42&amp;QuoteSuffix,,RateTickValue,Permanent,Trigger,ObjectOverwrite)</f>
        <v>USDOIS57M_Quote#0000</v>
      </c>
      <c r="G42" s="24" t="str">
        <f>_xll.ohRangeRetrieveError(F42)</f>
        <v/>
      </c>
      <c r="H42" s="23"/>
      <c r="J42" s="96"/>
      <c r="K42" s="205" t="s">
        <v>157</v>
      </c>
      <c r="L42" s="254"/>
      <c r="M42" s="254" t="s">
        <v>155</v>
      </c>
      <c r="N42" s="252" t="str">
        <f t="shared" si="3"/>
        <v>USD57MOIS</v>
      </c>
      <c r="O42" s="252" t="str">
        <v>USD57MOIS=TTKL</v>
      </c>
      <c r="P42" s="199">
        <v>1.46</v>
      </c>
      <c r="Q42" s="199">
        <v>1.51</v>
      </c>
      <c r="R42" s="199">
        <v>0</v>
      </c>
      <c r="S42" s="199">
        <v>0</v>
      </c>
      <c r="T42" s="203">
        <f>_xll.qlMidEquivalent($P42,$Q42,$R42,$S42)</f>
        <v>1.4849999999999999</v>
      </c>
      <c r="U42" s="201"/>
      <c r="V42" s="202">
        <v>1.4870000000000001</v>
      </c>
      <c r="W42" s="201"/>
      <c r="X42" s="274">
        <v>1.4849999999999999</v>
      </c>
      <c r="Y42" s="198">
        <f>_xll.qlSimpleQuoteSetValue(F42,X42/100,Trigger)</f>
        <v>0</v>
      </c>
      <c r="Z42" s="169"/>
    </row>
    <row r="43" spans="1:26" x14ac:dyDescent="0.2">
      <c r="A43" s="96"/>
      <c r="B43" s="141"/>
      <c r="C43" s="141" t="s">
        <v>155</v>
      </c>
      <c r="D43" s="455" t="s">
        <v>81</v>
      </c>
      <c r="E43" s="179" t="str">
        <f t="shared" si="2"/>
        <v>USDOIS5Y_Quote</v>
      </c>
      <c r="F43" s="179" t="str">
        <f>_xll.qlSimpleQuote(Currency&amp;$B43&amp;$C43&amp;$D43&amp;QuoteSuffix,,RateTickValue,Permanent,Trigger,ObjectOverwrite)</f>
        <v>USDOIS5Y_Quote#0000</v>
      </c>
      <c r="G43" s="24" t="str">
        <f>_xll.ohRangeRetrieveError(F43)</f>
        <v/>
      </c>
      <c r="H43" s="23"/>
      <c r="J43" s="96"/>
      <c r="K43" s="205" t="s">
        <v>81</v>
      </c>
      <c r="L43" s="254"/>
      <c r="M43" s="254" t="s">
        <v>155</v>
      </c>
      <c r="N43" s="252" t="str">
        <f t="shared" si="3"/>
        <v>USD5YOIS</v>
      </c>
      <c r="O43" s="252" t="str">
        <v>USD5YOIS=TTKL</v>
      </c>
      <c r="P43" s="199">
        <v>1.5289999999999999</v>
      </c>
      <c r="Q43" s="199">
        <v>1.579</v>
      </c>
      <c r="R43" s="199">
        <v>0</v>
      </c>
      <c r="S43" s="199">
        <v>0</v>
      </c>
      <c r="T43" s="203">
        <f>_xll.qlMidEquivalent($P43,$Q43,$R43,$S43)</f>
        <v>1.5539999999999998</v>
      </c>
      <c r="U43" s="201"/>
      <c r="V43" s="202">
        <v>1.5539999999999998</v>
      </c>
      <c r="W43" s="201"/>
      <c r="X43" s="274">
        <v>1.5539999999999998</v>
      </c>
      <c r="Y43" s="198">
        <f>_xll.qlSimpleQuoteSetValue(F43,X43/100,Trigger)</f>
        <v>0</v>
      </c>
      <c r="Z43" s="169"/>
    </row>
    <row r="44" spans="1:26" x14ac:dyDescent="0.2">
      <c r="A44" s="96"/>
      <c r="B44" s="141"/>
      <c r="C44" s="141" t="s">
        <v>155</v>
      </c>
      <c r="D44" s="455" t="s">
        <v>80</v>
      </c>
      <c r="E44" s="179" t="str">
        <f t="shared" si="2"/>
        <v>USDOIS6Y_Quote</v>
      </c>
      <c r="F44" s="179" t="str">
        <f>_xll.qlSimpleQuote(Currency&amp;$B44&amp;$C44&amp;$D44&amp;QuoteSuffix,,RateTickValue,Permanent,Trigger,ObjectOverwrite)</f>
        <v>USDOIS6Y_Quote#0000</v>
      </c>
      <c r="G44" s="24" t="str">
        <f>_xll.ohRangeRetrieveError(F44)</f>
        <v/>
      </c>
      <c r="H44" s="23"/>
      <c r="J44" s="96"/>
      <c r="K44" s="205" t="s">
        <v>80</v>
      </c>
      <c r="L44" s="254"/>
      <c r="M44" s="254" t="s">
        <v>155</v>
      </c>
      <c r="N44" s="252" t="str">
        <f t="shared" si="3"/>
        <v>USD6YOIS</v>
      </c>
      <c r="O44" s="252" t="str">
        <v>USD6YOIS=TTKL</v>
      </c>
      <c r="P44" s="199">
        <v>1.7969999999999999</v>
      </c>
      <c r="Q44" s="199">
        <v>1.847</v>
      </c>
      <c r="R44" s="199">
        <v>0</v>
      </c>
      <c r="S44" s="199">
        <v>0</v>
      </c>
      <c r="T44" s="203">
        <f>_xll.qlMidEquivalent($P44,$Q44,$R44,$S44)</f>
        <v>1.8220000000000001</v>
      </c>
      <c r="U44" s="201"/>
      <c r="V44" s="202">
        <v>1.8239999999999998</v>
      </c>
      <c r="W44" s="201"/>
      <c r="X44" s="274">
        <v>1.8220000000000001</v>
      </c>
      <c r="Y44" s="198">
        <f>_xll.qlSimpleQuoteSetValue(F44,X44/100,Trigger)</f>
        <v>0</v>
      </c>
      <c r="Z44" s="169"/>
    </row>
    <row r="45" spans="1:26" x14ac:dyDescent="0.2">
      <c r="A45" s="96"/>
      <c r="B45" s="141"/>
      <c r="C45" s="141" t="s">
        <v>155</v>
      </c>
      <c r="D45" s="455" t="s">
        <v>79</v>
      </c>
      <c r="E45" s="179" t="str">
        <f t="shared" si="2"/>
        <v>USDOIS7Y_Quote</v>
      </c>
      <c r="F45" s="179" t="str">
        <f>_xll.qlSimpleQuote(Currency&amp;$B45&amp;$C45&amp;$D45&amp;QuoteSuffix,,RateTickValue,Permanent,Trigger,ObjectOverwrite)</f>
        <v>USDOIS7Y_Quote#0000</v>
      </c>
      <c r="G45" s="24" t="str">
        <f>_xll.ohRangeRetrieveError(F45)</f>
        <v/>
      </c>
      <c r="H45" s="23"/>
      <c r="J45" s="96"/>
      <c r="K45" s="205" t="s">
        <v>79</v>
      </c>
      <c r="L45" s="254"/>
      <c r="M45" s="254" t="s">
        <v>155</v>
      </c>
      <c r="N45" s="252" t="str">
        <f t="shared" si="3"/>
        <v>USD7YOIS</v>
      </c>
      <c r="O45" s="252" t="str">
        <v>USD7YOIS=TTKL</v>
      </c>
      <c r="P45" s="199">
        <v>2.0099999999999998</v>
      </c>
      <c r="Q45" s="199">
        <v>2.06</v>
      </c>
      <c r="R45" s="199">
        <v>0</v>
      </c>
      <c r="S45" s="199">
        <v>0</v>
      </c>
      <c r="T45" s="203">
        <f>_xll.qlMidEquivalent($P45,$Q45,$R45,$S45)</f>
        <v>2.0350000000000001</v>
      </c>
      <c r="U45" s="201"/>
      <c r="V45" s="202">
        <v>2.0380000000000003</v>
      </c>
      <c r="W45" s="201"/>
      <c r="X45" s="274">
        <v>2.0350000000000001</v>
      </c>
      <c r="Y45" s="198">
        <f>_xll.qlSimpleQuoteSetValue(F45,X45/100,Trigger)</f>
        <v>0</v>
      </c>
      <c r="Z45" s="169"/>
    </row>
    <row r="46" spans="1:26" x14ac:dyDescent="0.2">
      <c r="A46" s="96"/>
      <c r="B46" s="141"/>
      <c r="C46" s="141" t="s">
        <v>155</v>
      </c>
      <c r="D46" s="455" t="s">
        <v>78</v>
      </c>
      <c r="E46" s="179" t="str">
        <f t="shared" si="2"/>
        <v>USDOIS8Y_Quote</v>
      </c>
      <c r="F46" s="179" t="str">
        <f>_xll.qlSimpleQuote(Currency&amp;$B46&amp;$C46&amp;$D46&amp;QuoteSuffix,,RateTickValue,Permanent,Trigger,ObjectOverwrite)</f>
        <v>USDOIS8Y_Quote#0000</v>
      </c>
      <c r="G46" s="24" t="str">
        <f>_xll.ohRangeRetrieveError(F46)</f>
        <v/>
      </c>
      <c r="H46" s="23"/>
      <c r="J46" s="96"/>
      <c r="K46" s="205" t="s">
        <v>78</v>
      </c>
      <c r="L46" s="254"/>
      <c r="M46" s="254" t="s">
        <v>155</v>
      </c>
      <c r="N46" s="252" t="str">
        <f t="shared" si="3"/>
        <v>USD8YOIS</v>
      </c>
      <c r="O46" s="252" t="str">
        <v>USD8YOIS=TTKL</v>
      </c>
      <c r="P46" s="199">
        <v>2.1829999999999998</v>
      </c>
      <c r="Q46" s="199">
        <v>2.2330000000000001</v>
      </c>
      <c r="R46" s="199">
        <v>0</v>
      </c>
      <c r="S46" s="199">
        <v>0</v>
      </c>
      <c r="T46" s="203">
        <f>_xll.qlMidEquivalent($P46,$Q46,$R46,$S46)</f>
        <v>2.2080000000000002</v>
      </c>
      <c r="U46" s="201"/>
      <c r="V46" s="202">
        <v>2.21</v>
      </c>
      <c r="W46" s="201"/>
      <c r="X46" s="274">
        <v>2.2080000000000002</v>
      </c>
      <c r="Y46" s="198">
        <f>_xll.qlSimpleQuoteSetValue(F46,X46/100,Trigger)</f>
        <v>0</v>
      </c>
      <c r="Z46" s="169"/>
    </row>
    <row r="47" spans="1:26" x14ac:dyDescent="0.2">
      <c r="A47" s="96"/>
      <c r="B47" s="141"/>
      <c r="C47" s="141" t="s">
        <v>155</v>
      </c>
      <c r="D47" s="455" t="s">
        <v>77</v>
      </c>
      <c r="E47" s="179" t="str">
        <f t="shared" si="2"/>
        <v>USDOIS9Y_Quote</v>
      </c>
      <c r="F47" s="179" t="str">
        <f>_xll.qlSimpleQuote(Currency&amp;$B47&amp;$C47&amp;$D47&amp;QuoteSuffix,,RateTickValue,Permanent,Trigger,ObjectOverwrite)</f>
        <v>USDOIS9Y_Quote#0000</v>
      </c>
      <c r="G47" s="24" t="str">
        <f>_xll.ohRangeRetrieveError(F47)</f>
        <v/>
      </c>
      <c r="H47" s="23"/>
      <c r="J47" s="96"/>
      <c r="K47" s="205" t="s">
        <v>77</v>
      </c>
      <c r="L47" s="254"/>
      <c r="M47" s="254" t="s">
        <v>155</v>
      </c>
      <c r="N47" s="252" t="str">
        <f t="shared" si="3"/>
        <v>USD9YOIS</v>
      </c>
      <c r="O47" s="252" t="str">
        <v>USD9YOIS=TTKL</v>
      </c>
      <c r="P47" s="199">
        <v>2.323</v>
      </c>
      <c r="Q47" s="199">
        <v>2.3730000000000002</v>
      </c>
      <c r="R47" s="199">
        <v>0</v>
      </c>
      <c r="S47" s="199">
        <v>0</v>
      </c>
      <c r="T47" s="203">
        <f>_xll.qlMidEquivalent($P47,$Q47,$R47,$S47)</f>
        <v>2.3479999999999999</v>
      </c>
      <c r="U47" s="201"/>
      <c r="V47" s="202">
        <v>2.35</v>
      </c>
      <c r="W47" s="201"/>
      <c r="X47" s="274">
        <v>2.3479999999999999</v>
      </c>
      <c r="Y47" s="198">
        <f>_xll.qlSimpleQuoteSetValue(F47,X47/100,Trigger)</f>
        <v>0</v>
      </c>
      <c r="Z47" s="169"/>
    </row>
    <row r="48" spans="1:26" x14ac:dyDescent="0.2">
      <c r="A48" s="96"/>
      <c r="B48" s="141"/>
      <c r="C48" s="141" t="s">
        <v>155</v>
      </c>
      <c r="D48" s="455" t="s">
        <v>76</v>
      </c>
      <c r="E48" s="179" t="str">
        <f t="shared" si="2"/>
        <v>USDOIS10Y_Quote</v>
      </c>
      <c r="F48" s="179" t="str">
        <f>_xll.qlSimpleQuote(Currency&amp;$B48&amp;$C48&amp;$D48&amp;QuoteSuffix,,RateTickValue,Permanent,Trigger,ObjectOverwrite)</f>
        <v>USDOIS10Y_Quote#0000</v>
      </c>
      <c r="G48" s="24" t="str">
        <f>_xll.ohRangeRetrieveError(F48)</f>
        <v/>
      </c>
      <c r="H48" s="23"/>
      <c r="J48" s="96"/>
      <c r="K48" s="205" t="s">
        <v>76</v>
      </c>
      <c r="L48" s="254"/>
      <c r="M48" s="254" t="s">
        <v>155</v>
      </c>
      <c r="N48" s="252" t="str">
        <f t="shared" si="3"/>
        <v>USD10YOIS</v>
      </c>
      <c r="O48" s="252" t="str">
        <v>USD10YOIS=TTKL</v>
      </c>
      <c r="P48" s="199">
        <v>2.44</v>
      </c>
      <c r="Q48" s="199">
        <v>2.4900000000000002</v>
      </c>
      <c r="R48" s="199">
        <v>0</v>
      </c>
      <c r="S48" s="199">
        <v>0</v>
      </c>
      <c r="T48" s="203">
        <f>_xll.qlMidEquivalent($P48,$Q48,$R48,$S48)</f>
        <v>2.4649999999999999</v>
      </c>
      <c r="U48" s="201"/>
      <c r="V48" s="202">
        <v>2.4660000000000002</v>
      </c>
      <c r="W48" s="201"/>
      <c r="X48" s="274">
        <v>2.4649999999999999</v>
      </c>
      <c r="Y48" s="198">
        <f>_xll.qlSimpleQuoteSetValue(F48,X48/100,Trigger)</f>
        <v>0</v>
      </c>
      <c r="Z48" s="169"/>
    </row>
    <row r="49" spans="1:26" x14ac:dyDescent="0.2">
      <c r="A49" s="96"/>
      <c r="B49" s="141"/>
      <c r="C49" s="141" t="s">
        <v>155</v>
      </c>
      <c r="D49" s="455" t="s">
        <v>74</v>
      </c>
      <c r="E49" s="179" t="str">
        <f t="shared" si="2"/>
        <v>USDOIS12Y_Quote</v>
      </c>
      <c r="F49" s="179" t="str">
        <f>_xll.qlSimpleQuote(Currency&amp;$B49&amp;$C49&amp;$D49&amp;QuoteSuffix,,RateTickValue,Permanent,Trigger,ObjectOverwrite)</f>
        <v>USDOIS12Y_Quote#0000</v>
      </c>
      <c r="G49" s="24" t="str">
        <f>_xll.ohRangeRetrieveError(F49)</f>
        <v/>
      </c>
      <c r="H49" s="23"/>
      <c r="J49" s="96"/>
      <c r="K49" s="205" t="s">
        <v>74</v>
      </c>
      <c r="L49" s="254"/>
      <c r="M49" s="254" t="s">
        <v>155</v>
      </c>
      <c r="N49" s="252" t="str">
        <f t="shared" si="3"/>
        <v>USD12YOIS</v>
      </c>
      <c r="O49" s="252" t="str">
        <v>USD12YOIS=TTKL</v>
      </c>
      <c r="P49" s="199">
        <v>2.633</v>
      </c>
      <c r="Q49" s="199">
        <v>2.6829999999999998</v>
      </c>
      <c r="R49" s="199">
        <v>0</v>
      </c>
      <c r="S49" s="199">
        <v>0</v>
      </c>
      <c r="T49" s="203">
        <f>_xll.qlMidEquivalent($P49,$Q49,$R49,$S49)</f>
        <v>2.6579999999999999</v>
      </c>
      <c r="U49" s="201"/>
      <c r="V49" s="202">
        <v>2.66</v>
      </c>
      <c r="W49" s="201"/>
      <c r="X49" s="274">
        <v>2.6579999999999999</v>
      </c>
      <c r="Y49" s="198">
        <f>_xll.qlSimpleQuoteSetValue(F49,X49/100,Trigger)</f>
        <v>0</v>
      </c>
      <c r="Z49" s="169"/>
    </row>
    <row r="50" spans="1:26" x14ac:dyDescent="0.2">
      <c r="A50" s="96"/>
      <c r="B50" s="141"/>
      <c r="C50" s="141" t="s">
        <v>155</v>
      </c>
      <c r="D50" s="455" t="s">
        <v>71</v>
      </c>
      <c r="E50" s="179" t="str">
        <f t="shared" si="2"/>
        <v>USDOIS15Y_Quote</v>
      </c>
      <c r="F50" s="179" t="str">
        <f>_xll.qlSimpleQuote(Currency&amp;$B50&amp;$C50&amp;$D50&amp;QuoteSuffix,,RateTickValue,Permanent,Trigger,ObjectOverwrite)</f>
        <v>USDOIS15Y_Quote#0000</v>
      </c>
      <c r="G50" s="24" t="str">
        <f>_xll.ohRangeRetrieveError(F50)</f>
        <v/>
      </c>
      <c r="H50" s="23"/>
      <c r="J50" s="96"/>
      <c r="K50" s="205" t="s">
        <v>71</v>
      </c>
      <c r="L50" s="254"/>
      <c r="M50" s="254" t="s">
        <v>155</v>
      </c>
      <c r="N50" s="252" t="str">
        <f t="shared" si="3"/>
        <v>USD15YOIS</v>
      </c>
      <c r="O50" s="252" t="str">
        <v>USD15YOIS=TTKL</v>
      </c>
      <c r="P50" s="199">
        <v>2.8330000000000002</v>
      </c>
      <c r="Q50" s="199">
        <v>2.883</v>
      </c>
      <c r="R50" s="199">
        <v>0</v>
      </c>
      <c r="S50" s="199">
        <v>0</v>
      </c>
      <c r="T50" s="203">
        <f>_xll.qlMidEquivalent($P50,$Q50,$R50,$S50)</f>
        <v>2.8580000000000001</v>
      </c>
      <c r="U50" s="201"/>
      <c r="V50" s="202">
        <v>2.86</v>
      </c>
      <c r="W50" s="201"/>
      <c r="X50" s="274">
        <v>2.8580000000000001</v>
      </c>
      <c r="Y50" s="198">
        <f>_xll.qlSimpleQuoteSetValue(F50,X50/100,Trigger)</f>
        <v>0</v>
      </c>
      <c r="Z50" s="169"/>
    </row>
    <row r="51" spans="1:26" x14ac:dyDescent="0.2">
      <c r="A51" s="96"/>
      <c r="B51" s="141"/>
      <c r="C51" s="141" t="s">
        <v>155</v>
      </c>
      <c r="D51" s="455" t="s">
        <v>66</v>
      </c>
      <c r="E51" s="179" t="str">
        <f t="shared" si="2"/>
        <v>USDOIS20Y_Quote</v>
      </c>
      <c r="F51" s="179" t="str">
        <f>_xll.qlSimpleQuote(Currency&amp;$B51&amp;$C51&amp;$D51&amp;QuoteSuffix,,RateTickValue,Permanent,Trigger,ObjectOverwrite)</f>
        <v>USDOIS20Y_Quote#0000</v>
      </c>
      <c r="G51" s="24" t="str">
        <f>_xll.ohRangeRetrieveError(F51)</f>
        <v/>
      </c>
      <c r="H51" s="23"/>
      <c r="J51" s="96"/>
      <c r="K51" s="205" t="s">
        <v>66</v>
      </c>
      <c r="L51" s="254"/>
      <c r="M51" s="254" t="s">
        <v>155</v>
      </c>
      <c r="N51" s="252" t="str">
        <f t="shared" si="3"/>
        <v>USD20YOIS</v>
      </c>
      <c r="O51" s="252" t="str">
        <v>USD20YOIS=TTKL</v>
      </c>
      <c r="P51" s="199">
        <v>2.9980000000000002</v>
      </c>
      <c r="Q51" s="199">
        <v>3.048</v>
      </c>
      <c r="R51" s="199">
        <v>0</v>
      </c>
      <c r="S51" s="199">
        <v>0</v>
      </c>
      <c r="T51" s="203">
        <f>_xll.qlMidEquivalent($P51,$Q51,$R51,$S51)</f>
        <v>3.0230000000000001</v>
      </c>
      <c r="U51" s="201"/>
      <c r="V51" s="202">
        <v>3.0249999999999999</v>
      </c>
      <c r="W51" s="201"/>
      <c r="X51" s="274">
        <v>3.0230000000000001</v>
      </c>
      <c r="Y51" s="198">
        <f>_xll.qlSimpleQuoteSetValue(F51,X51/100,Trigger)</f>
        <v>0</v>
      </c>
      <c r="Z51" s="169"/>
    </row>
    <row r="52" spans="1:26" x14ac:dyDescent="0.2">
      <c r="A52" s="96"/>
      <c r="B52" s="141"/>
      <c r="C52" s="141" t="s">
        <v>155</v>
      </c>
      <c r="D52" s="455" t="s">
        <v>61</v>
      </c>
      <c r="E52" s="179" t="str">
        <f t="shared" si="2"/>
        <v>USDOIS25Y_Quote</v>
      </c>
      <c r="F52" s="179" t="str">
        <f>_xll.qlSimpleQuote(Currency&amp;$B52&amp;$C52&amp;$D52&amp;QuoteSuffix,,RateTickValue,Permanent,Trigger,ObjectOverwrite)</f>
        <v>USDOIS25Y_Quote#0000</v>
      </c>
      <c r="G52" s="24" t="str">
        <f>_xll.ohRangeRetrieveError(F52)</f>
        <v/>
      </c>
      <c r="H52" s="23"/>
      <c r="J52" s="96"/>
      <c r="K52" s="205" t="s">
        <v>61</v>
      </c>
      <c r="L52" s="254"/>
      <c r="M52" s="254" t="s">
        <v>155</v>
      </c>
      <c r="N52" s="252" t="str">
        <f t="shared" si="3"/>
        <v>USD25YOIS</v>
      </c>
      <c r="O52" s="252" t="str">
        <v>USD25YOIS=TTKL</v>
      </c>
      <c r="P52" s="199">
        <v>3.0739999999999998</v>
      </c>
      <c r="Q52" s="199">
        <v>3.1240000000000001</v>
      </c>
      <c r="R52" s="199">
        <v>0</v>
      </c>
      <c r="S52" s="199">
        <v>0</v>
      </c>
      <c r="T52" s="203">
        <f>_xll.qlMidEquivalent($P52,$Q52,$R52,$S52)</f>
        <v>3.0990000000000002</v>
      </c>
      <c r="U52" s="201"/>
      <c r="V52" s="202">
        <v>3.101</v>
      </c>
      <c r="W52" s="201"/>
      <c r="X52" s="274">
        <v>3.0990000000000002</v>
      </c>
      <c r="Y52" s="198">
        <f>_xll.qlSimpleQuoteSetValue(F52,X52/100,Trigger)</f>
        <v>0</v>
      </c>
      <c r="Z52" s="169"/>
    </row>
    <row r="53" spans="1:26" x14ac:dyDescent="0.2">
      <c r="A53" s="96"/>
      <c r="B53" s="141"/>
      <c r="C53" s="141" t="s">
        <v>155</v>
      </c>
      <c r="D53" s="455" t="s">
        <v>59</v>
      </c>
      <c r="E53" s="179" t="str">
        <f t="shared" si="2"/>
        <v>USDOIS27Y_Quote</v>
      </c>
      <c r="F53" s="179" t="str">
        <f>_xll.qlSimpleQuote(Currency&amp;$B53&amp;$C53&amp;$D53&amp;QuoteSuffix,,RateTickValue,Permanent,Trigger,ObjectOverwrite)</f>
        <v>USDOIS27Y_Quote#0000</v>
      </c>
      <c r="G53" s="24" t="str">
        <f>_xll.ohRangeRetrieveError(F53)</f>
        <v/>
      </c>
      <c r="H53" s="23"/>
      <c r="J53" s="96"/>
      <c r="K53" s="205" t="s">
        <v>59</v>
      </c>
      <c r="L53" s="254"/>
      <c r="M53" s="254" t="s">
        <v>155</v>
      </c>
      <c r="N53" s="252" t="str">
        <f t="shared" si="3"/>
        <v>USD27YOIS</v>
      </c>
      <c r="O53" s="252" t="str">
        <v>USD27YOIS=TTKL</v>
      </c>
      <c r="P53" s="199" t="s">
        <v>213</v>
      </c>
      <c r="Q53" s="199" t="s">
        <v>213</v>
      </c>
      <c r="R53" s="199" t="s">
        <v>213</v>
      </c>
      <c r="S53" s="199" t="s">
        <v>213</v>
      </c>
      <c r="T53" s="203" t="e">
        <f>_xll.qlMidEquivalent($P53,$Q53,$R53,$S53)</f>
        <v>#NUM!</v>
      </c>
      <c r="U53" s="201"/>
      <c r="V53" s="202" t="e">
        <v>#NUM!</v>
      </c>
      <c r="W53" s="201"/>
      <c r="X53" s="274" t="e">
        <v>#NUM!</v>
      </c>
      <c r="Y53" s="198" t="e">
        <f>_xll.qlSimpleQuoteSetValue(F53,X53/100,Trigger)</f>
        <v>#NUM!</v>
      </c>
      <c r="Z53" s="169"/>
    </row>
    <row r="54" spans="1:26" x14ac:dyDescent="0.2">
      <c r="A54" s="96"/>
      <c r="B54" s="141"/>
      <c r="C54" s="141" t="s">
        <v>155</v>
      </c>
      <c r="D54" s="455" t="s">
        <v>56</v>
      </c>
      <c r="E54" s="179" t="str">
        <f t="shared" si="2"/>
        <v>USDOIS30Y_Quote</v>
      </c>
      <c r="F54" s="179" t="str">
        <f>_xll.qlSimpleQuote(Currency&amp;$B54&amp;$C54&amp;$D54&amp;QuoteSuffix,,RateTickValue,Permanent,Trigger,ObjectOverwrite)</f>
        <v>USDOIS30Y_Quote#0000</v>
      </c>
      <c r="G54" s="24" t="str">
        <f>_xll.ohRangeRetrieveError(F54)</f>
        <v/>
      </c>
      <c r="H54" s="23"/>
      <c r="J54" s="96"/>
      <c r="K54" s="205" t="s">
        <v>56</v>
      </c>
      <c r="L54" s="254"/>
      <c r="M54" s="254" t="s">
        <v>155</v>
      </c>
      <c r="N54" s="252" t="str">
        <f t="shared" si="3"/>
        <v>USD30YOIS</v>
      </c>
      <c r="O54" s="252" t="str">
        <v>USD30YOIS=TTKL</v>
      </c>
      <c r="P54" s="199">
        <v>3.1040000000000001</v>
      </c>
      <c r="Q54" s="199">
        <v>3.1539999999999999</v>
      </c>
      <c r="R54" s="199">
        <v>0</v>
      </c>
      <c r="S54" s="199">
        <v>0</v>
      </c>
      <c r="T54" s="203">
        <f>_xll.qlMidEquivalent($P54,$Q54,$R54,$S54)</f>
        <v>3.129</v>
      </c>
      <c r="U54" s="201"/>
      <c r="V54" s="202">
        <v>3.1310000000000002</v>
      </c>
      <c r="W54" s="201"/>
      <c r="X54" s="274">
        <v>3.129</v>
      </c>
      <c r="Y54" s="198">
        <f>_xll.qlSimpleQuoteSetValue(F54,X54/100,Trigger)</f>
        <v>0</v>
      </c>
      <c r="Z54" s="169"/>
    </row>
    <row r="55" spans="1:26" x14ac:dyDescent="0.2">
      <c r="A55" s="96"/>
      <c r="B55" s="141"/>
      <c r="C55" s="141" t="s">
        <v>155</v>
      </c>
      <c r="D55" s="455" t="s">
        <v>51</v>
      </c>
      <c r="E55" s="179" t="str">
        <f t="shared" si="2"/>
        <v>USDOIS35Y_Quote</v>
      </c>
      <c r="F55" s="179" t="str">
        <f>_xll.qlSimpleQuote(Currency&amp;$B55&amp;$C55&amp;$D55&amp;QuoteSuffix,,RateTickValue,Permanent,Trigger,ObjectOverwrite)</f>
        <v>USDOIS35Y_Quote#0000</v>
      </c>
      <c r="G55" s="24" t="str">
        <f>_xll.ohRangeRetrieveError(F55)</f>
        <v/>
      </c>
      <c r="H55" s="23"/>
      <c r="J55" s="96"/>
      <c r="K55" s="205" t="s">
        <v>51</v>
      </c>
      <c r="L55" s="254"/>
      <c r="M55" s="254" t="s">
        <v>155</v>
      </c>
      <c r="N55" s="252" t="str">
        <f t="shared" si="3"/>
        <v>USD35YOIS</v>
      </c>
      <c r="O55" s="252" t="str">
        <v>USD35YOIS=TTKL</v>
      </c>
      <c r="P55" s="199">
        <v>3.11</v>
      </c>
      <c r="Q55" s="199">
        <v>3.16</v>
      </c>
      <c r="R55" s="199">
        <v>0</v>
      </c>
      <c r="S55" s="199">
        <v>0</v>
      </c>
      <c r="T55" s="203">
        <f>_xll.qlMidEquivalent($P55,$Q55,$R55,$S55)</f>
        <v>3.1349999999999998</v>
      </c>
      <c r="U55" s="201"/>
      <c r="V55" s="202">
        <v>3.137</v>
      </c>
      <c r="W55" s="201"/>
      <c r="X55" s="274">
        <v>3.1349999999999998</v>
      </c>
      <c r="Y55" s="198">
        <f>_xll.qlSimpleQuoteSetValue(F55,X55/100,Trigger)</f>
        <v>0</v>
      </c>
      <c r="Z55" s="169"/>
    </row>
    <row r="56" spans="1:26" x14ac:dyDescent="0.2">
      <c r="A56" s="96"/>
      <c r="B56" s="141"/>
      <c r="C56" s="141" t="s">
        <v>155</v>
      </c>
      <c r="D56" s="455" t="s">
        <v>46</v>
      </c>
      <c r="E56" s="179" t="str">
        <f t="shared" si="2"/>
        <v>USDOIS40Y_Quote</v>
      </c>
      <c r="F56" s="179" t="str">
        <f>_xll.qlSimpleQuote(Currency&amp;$B56&amp;$C56&amp;$D56&amp;QuoteSuffix,,RateTickValue,Permanent,Trigger,ObjectOverwrite)</f>
        <v>USDOIS40Y_Quote#0000</v>
      </c>
      <c r="G56" s="24" t="str">
        <f>_xll.ohRangeRetrieveError(F56)</f>
        <v/>
      </c>
      <c r="H56" s="23"/>
      <c r="J56" s="96"/>
      <c r="K56" s="205" t="s">
        <v>46</v>
      </c>
      <c r="L56" s="254"/>
      <c r="M56" s="254" t="s">
        <v>155</v>
      </c>
      <c r="N56" s="252" t="str">
        <f t="shared" si="3"/>
        <v>USD40YOIS</v>
      </c>
      <c r="O56" s="252" t="str">
        <v>USD40YOIS=TTKL</v>
      </c>
      <c r="P56" s="199">
        <v>3.1120000000000001</v>
      </c>
      <c r="Q56" s="199">
        <v>3.1619999999999999</v>
      </c>
      <c r="R56" s="199">
        <v>0</v>
      </c>
      <c r="S56" s="199">
        <v>0</v>
      </c>
      <c r="T56" s="203">
        <f>_xll.qlMidEquivalent($P56,$Q56,$R56,$S56)</f>
        <v>3.137</v>
      </c>
      <c r="U56" s="201"/>
      <c r="V56" s="202">
        <v>3.14</v>
      </c>
      <c r="W56" s="201"/>
      <c r="X56" s="274">
        <v>3.137</v>
      </c>
      <c r="Y56" s="198">
        <f>_xll.qlSimpleQuoteSetValue(F56,X56/100,Trigger)</f>
        <v>0</v>
      </c>
      <c r="Z56" s="169"/>
    </row>
    <row r="57" spans="1:26" x14ac:dyDescent="0.2">
      <c r="A57" s="96"/>
      <c r="B57" s="141"/>
      <c r="C57" s="141" t="s">
        <v>155</v>
      </c>
      <c r="D57" s="455" t="s">
        <v>41</v>
      </c>
      <c r="E57" s="179" t="str">
        <f t="shared" si="2"/>
        <v>USDOIS45Y_Quote</v>
      </c>
      <c r="F57" s="179" t="str">
        <f>_xll.qlSimpleQuote(Currency&amp;$B57&amp;$C57&amp;$D57&amp;QuoteSuffix,,RateTickValue,Permanent,Trigger,ObjectOverwrite)</f>
        <v>USDOIS45Y_Quote#0000</v>
      </c>
      <c r="G57" s="24" t="str">
        <f>_xll.ohRangeRetrieveError(F57)</f>
        <v/>
      </c>
      <c r="H57" s="23"/>
      <c r="J57" s="96"/>
      <c r="K57" s="205" t="s">
        <v>41</v>
      </c>
      <c r="L57" s="254"/>
      <c r="M57" s="254" t="s">
        <v>155</v>
      </c>
      <c r="N57" s="252" t="str">
        <f t="shared" si="3"/>
        <v>USD45YOIS</v>
      </c>
      <c r="O57" s="252" t="str">
        <v>USD45YOIS=TTKL</v>
      </c>
      <c r="P57" s="199">
        <v>3.1019999999999999</v>
      </c>
      <c r="Q57" s="199">
        <v>3.1520000000000001</v>
      </c>
      <c r="R57" s="199">
        <v>0</v>
      </c>
      <c r="S57" s="199">
        <v>0</v>
      </c>
      <c r="T57" s="203">
        <f>_xll.qlMidEquivalent($P57,$Q57,$R57,$S57)</f>
        <v>3.1269999999999998</v>
      </c>
      <c r="U57" s="201"/>
      <c r="V57" s="202">
        <v>3.13</v>
      </c>
      <c r="W57" s="201"/>
      <c r="X57" s="274">
        <v>3.1269999999999998</v>
      </c>
      <c r="Y57" s="198">
        <f>_xll.qlSimpleQuoteSetValue(F57,X57/100,Trigger)</f>
        <v>0</v>
      </c>
      <c r="Z57" s="169"/>
    </row>
    <row r="58" spans="1:26" x14ac:dyDescent="0.2">
      <c r="A58" s="96"/>
      <c r="B58" s="141"/>
      <c r="C58" s="141" t="s">
        <v>155</v>
      </c>
      <c r="D58" s="455" t="s">
        <v>36</v>
      </c>
      <c r="E58" s="179" t="str">
        <f t="shared" si="2"/>
        <v>USDOIS50Y_Quote</v>
      </c>
      <c r="F58" s="179" t="str">
        <f>_xll.qlSimpleQuote(Currency&amp;$B58&amp;$C58&amp;$D58&amp;QuoteSuffix,,RateTickValue,Permanent,Trigger,ObjectOverwrite)</f>
        <v>USDOIS50Y_Quote#0000</v>
      </c>
      <c r="G58" s="24" t="str">
        <f>_xll.ohRangeRetrieveError(F58)</f>
        <v/>
      </c>
      <c r="H58" s="23"/>
      <c r="J58" s="96"/>
      <c r="K58" s="217" t="s">
        <v>36</v>
      </c>
      <c r="L58" s="249"/>
      <c r="M58" s="249" t="s">
        <v>155</v>
      </c>
      <c r="N58" s="247" t="str">
        <f t="shared" si="3"/>
        <v>USD50YOIS</v>
      </c>
      <c r="O58" s="247" t="str">
        <v>USD50YOIS=TTKL</v>
      </c>
      <c r="P58" s="212">
        <v>3.093</v>
      </c>
      <c r="Q58" s="212">
        <v>3.1429999999999998</v>
      </c>
      <c r="R58" s="212">
        <v>0</v>
      </c>
      <c r="S58" s="212">
        <v>0</v>
      </c>
      <c r="T58" s="215">
        <f>_xll.qlMidEquivalent($P58,$Q58,$R58,$S58)</f>
        <v>3.1179999999999999</v>
      </c>
      <c r="U58" s="201"/>
      <c r="V58" s="202">
        <v>3.121</v>
      </c>
      <c r="W58" s="201"/>
      <c r="X58" s="267">
        <v>3.1179999999999999</v>
      </c>
      <c r="Y58" s="211">
        <f>_xll.qlSimpleQuoteSetValue(F58,X58/100,Trigger)</f>
        <v>0</v>
      </c>
      <c r="Z58" s="169"/>
    </row>
    <row r="59" spans="1:26" ht="12" thickBot="1" x14ac:dyDescent="0.25">
      <c r="A59" s="96"/>
      <c r="B59" s="456"/>
      <c r="C59" s="456"/>
      <c r="D59" s="457"/>
      <c r="E59" s="458"/>
      <c r="F59" s="458"/>
      <c r="G59" s="459"/>
      <c r="H59" s="23"/>
      <c r="J59" s="155"/>
      <c r="K59" s="298"/>
      <c r="L59" s="298"/>
      <c r="M59" s="298"/>
      <c r="N59" s="298"/>
      <c r="O59" s="298"/>
      <c r="P59" s="298"/>
      <c r="Q59" s="298"/>
      <c r="R59" s="298"/>
      <c r="S59" s="298"/>
      <c r="T59" s="298"/>
      <c r="U59" s="298"/>
      <c r="V59" s="298"/>
      <c r="W59" s="298"/>
      <c r="X59" s="298"/>
      <c r="Y59" s="298"/>
      <c r="Z59" s="297"/>
    </row>
    <row r="60" spans="1:26" x14ac:dyDescent="0.2">
      <c r="A60" s="96"/>
      <c r="B60" s="141" t="s">
        <v>156</v>
      </c>
      <c r="C60" s="141" t="s">
        <v>155</v>
      </c>
      <c r="D60" s="460" t="str">
        <f>_xll.qlECBNextCode(_xll.qlSettingsEvaluationDate(Trigger)-365)</f>
        <v>MAY13</v>
      </c>
      <c r="E60" s="179" t="str">
        <f t="shared" ref="E60:E95" si="4">Currency&amp;$B60&amp;$C60&amp;$D60&amp;QuoteSuffix</f>
        <v>USDFEDOISMAY13_Quote</v>
      </c>
      <c r="F60" s="179" t="str">
        <f>_xll.qlSimpleQuote(Currency&amp;$B60&amp;$C60&amp;$D60&amp;QuoteSuffix,,RateTickValue,Permanent,Trigger,ObjectOverwrite)</f>
        <v>USDFEDOISMAY13_Quote#0000</v>
      </c>
      <c r="G60" s="24" t="str">
        <f>_xll.ohRangeRetrieveError(F60)</f>
        <v/>
      </c>
      <c r="H60" s="23"/>
    </row>
    <row r="61" spans="1:26" x14ac:dyDescent="0.2">
      <c r="A61" s="96"/>
      <c r="B61" s="141" t="s">
        <v>156</v>
      </c>
      <c r="C61" s="141" t="s">
        <v>155</v>
      </c>
      <c r="D61" s="460" t="str">
        <f>_xll.qlECBNextCode(_xll.qlECBdate(D60))</f>
        <v>JUN13</v>
      </c>
      <c r="E61" s="179" t="str">
        <f t="shared" si="4"/>
        <v>USDFEDOISJUN13_Quote</v>
      </c>
      <c r="F61" s="179" t="str">
        <f>_xll.qlSimpleQuote(Currency&amp;$B61&amp;$C61&amp;$D61&amp;QuoteSuffix,,RateTickValue,Permanent,Trigger,ObjectOverwrite)</f>
        <v>USDFEDOISJUN13_Quote#0000</v>
      </c>
      <c r="G61" s="24" t="str">
        <f>_xll.ohRangeRetrieveError(F61)</f>
        <v/>
      </c>
      <c r="H61" s="23"/>
    </row>
    <row r="62" spans="1:26" x14ac:dyDescent="0.2">
      <c r="A62" s="96"/>
      <c r="B62" s="141" t="s">
        <v>156</v>
      </c>
      <c r="C62" s="141" t="s">
        <v>155</v>
      </c>
      <c r="D62" s="460" t="str">
        <f>_xll.qlECBNextCode(_xll.qlECBdate(D61))</f>
        <v>JUL13</v>
      </c>
      <c r="E62" s="179" t="str">
        <f t="shared" si="4"/>
        <v>USDFEDOISJUL13_Quote</v>
      </c>
      <c r="F62" s="179" t="str">
        <f>_xll.qlSimpleQuote(Currency&amp;$B62&amp;$C62&amp;$D62&amp;QuoteSuffix,,RateTickValue,Permanent,Trigger,ObjectOverwrite)</f>
        <v>USDFEDOISJUL13_Quote#0000</v>
      </c>
      <c r="G62" s="24" t="str">
        <f>_xll.ohRangeRetrieveError(F62)</f>
        <v/>
      </c>
      <c r="H62" s="23"/>
    </row>
    <row r="63" spans="1:26" x14ac:dyDescent="0.2">
      <c r="A63" s="96"/>
      <c r="B63" s="141" t="s">
        <v>156</v>
      </c>
      <c r="C63" s="141" t="s">
        <v>155</v>
      </c>
      <c r="D63" s="460" t="str">
        <f>_xll.qlECBNextCode(_xll.qlECBdate(D62))</f>
        <v>AUG13</v>
      </c>
      <c r="E63" s="179" t="str">
        <f t="shared" si="4"/>
        <v>USDFEDOISAUG13_Quote</v>
      </c>
      <c r="F63" s="179" t="str">
        <f>_xll.qlSimpleQuote(Currency&amp;$B63&amp;$C63&amp;$D63&amp;QuoteSuffix,,RateTickValue,Permanent,Trigger,ObjectOverwrite)</f>
        <v>USDFEDOISAUG13_Quote#0000</v>
      </c>
      <c r="G63" s="24" t="str">
        <f>_xll.ohRangeRetrieveError(F63)</f>
        <v/>
      </c>
      <c r="H63" s="23"/>
    </row>
    <row r="64" spans="1:26" x14ac:dyDescent="0.2">
      <c r="A64" s="96"/>
      <c r="B64" s="141" t="s">
        <v>156</v>
      </c>
      <c r="C64" s="141" t="s">
        <v>155</v>
      </c>
      <c r="D64" s="460" t="str">
        <f>_xll.qlECBNextCode(_xll.qlECBdate(D63))</f>
        <v>SEP13</v>
      </c>
      <c r="E64" s="179" t="str">
        <f t="shared" si="4"/>
        <v>USDFEDOISSEP13_Quote</v>
      </c>
      <c r="F64" s="179" t="str">
        <f>_xll.qlSimpleQuote(Currency&amp;$B64&amp;$C64&amp;$D64&amp;QuoteSuffix,,RateTickValue,Permanent,Trigger,ObjectOverwrite)</f>
        <v>USDFEDOISSEP13_Quote#0000</v>
      </c>
      <c r="G64" s="24" t="str">
        <f>_xll.ohRangeRetrieveError(F64)</f>
        <v/>
      </c>
      <c r="H64" s="23"/>
    </row>
    <row r="65" spans="1:8" x14ac:dyDescent="0.2">
      <c r="A65" s="96"/>
      <c r="B65" s="141" t="s">
        <v>156</v>
      </c>
      <c r="C65" s="141" t="s">
        <v>155</v>
      </c>
      <c r="D65" s="460" t="str">
        <f>_xll.qlECBNextCode(_xll.qlECBdate(D64))</f>
        <v>OCT13</v>
      </c>
      <c r="E65" s="179" t="str">
        <f t="shared" si="4"/>
        <v>USDFEDOISOCT13_Quote</v>
      </c>
      <c r="F65" s="179" t="str">
        <f>_xll.qlSimpleQuote(Currency&amp;$B65&amp;$C65&amp;$D65&amp;QuoteSuffix,,RateTickValue,Permanent,Trigger,ObjectOverwrite)</f>
        <v>USDFEDOISOCT13_Quote#0000</v>
      </c>
      <c r="G65" s="24" t="str">
        <f>_xll.ohRangeRetrieveError(F65)</f>
        <v/>
      </c>
      <c r="H65" s="23"/>
    </row>
    <row r="66" spans="1:8" x14ac:dyDescent="0.2">
      <c r="A66" s="96"/>
      <c r="B66" s="141" t="s">
        <v>156</v>
      </c>
      <c r="C66" s="141" t="s">
        <v>155</v>
      </c>
      <c r="D66" s="460" t="str">
        <f>_xll.qlECBNextCode(_xll.qlECBdate(D65))</f>
        <v>NOV13</v>
      </c>
      <c r="E66" s="179" t="str">
        <f t="shared" si="4"/>
        <v>USDFEDOISNOV13_Quote</v>
      </c>
      <c r="F66" s="179" t="str">
        <f>_xll.qlSimpleQuote(Currency&amp;$B66&amp;$C66&amp;$D66&amp;QuoteSuffix,,RateTickValue,Permanent,Trigger,ObjectOverwrite)</f>
        <v>USDFEDOISNOV13_Quote#0000</v>
      </c>
      <c r="G66" s="24" t="str">
        <f>_xll.ohRangeRetrieveError(F66)</f>
        <v/>
      </c>
      <c r="H66" s="23"/>
    </row>
    <row r="67" spans="1:8" x14ac:dyDescent="0.2">
      <c r="A67" s="96"/>
      <c r="B67" s="141" t="s">
        <v>156</v>
      </c>
      <c r="C67" s="141" t="s">
        <v>155</v>
      </c>
      <c r="D67" s="460" t="str">
        <f>_xll.qlECBNextCode(_xll.qlECBdate(D66))</f>
        <v>DEC13</v>
      </c>
      <c r="E67" s="179" t="str">
        <f t="shared" si="4"/>
        <v>USDFEDOISDEC13_Quote</v>
      </c>
      <c r="F67" s="179" t="str">
        <f>_xll.qlSimpleQuote(Currency&amp;$B67&amp;$C67&amp;$D67&amp;QuoteSuffix,,RateTickValue,Permanent,Trigger,ObjectOverwrite)</f>
        <v>USDFEDOISDEC13_Quote#0000</v>
      </c>
      <c r="G67" s="24" t="str">
        <f>_xll.ohRangeRetrieveError(F67)</f>
        <v/>
      </c>
      <c r="H67" s="23"/>
    </row>
    <row r="68" spans="1:8" x14ac:dyDescent="0.2">
      <c r="A68" s="96"/>
      <c r="B68" s="141" t="s">
        <v>156</v>
      </c>
      <c r="C68" s="141" t="s">
        <v>155</v>
      </c>
      <c r="D68" s="460" t="e">
        <f>_xll.qlECBNextCode(_xll.qlECBdate(D67))</f>
        <v>#NUM!</v>
      </c>
      <c r="E68" s="179" t="e">
        <f t="shared" si="4"/>
        <v>#NUM!</v>
      </c>
      <c r="F68" s="179" t="e">
        <f>_xll.qlSimpleQuote(Currency&amp;$B68&amp;$C68&amp;$D68&amp;QuoteSuffix,,RateTickValue,Permanent,Trigger,ObjectOverwrite)</f>
        <v>#VALUE!</v>
      </c>
      <c r="G68" s="24" t="str">
        <f ca="1">_xll.ohRangeRetrieveError(F68)</f>
        <v/>
      </c>
      <c r="H68" s="23"/>
    </row>
    <row r="69" spans="1:8" x14ac:dyDescent="0.2">
      <c r="A69" s="96"/>
      <c r="B69" s="141" t="s">
        <v>156</v>
      </c>
      <c r="C69" s="141" t="s">
        <v>155</v>
      </c>
      <c r="D69" s="460" t="e">
        <f>_xll.qlECBNextCode(_xll.qlECBdate(D68))</f>
        <v>#NUM!</v>
      </c>
      <c r="E69" s="179" t="e">
        <f t="shared" si="4"/>
        <v>#NUM!</v>
      </c>
      <c r="F69" s="179" t="e">
        <f>_xll.qlSimpleQuote(Currency&amp;$B69&amp;$C69&amp;$D69&amp;QuoteSuffix,,RateTickValue,Permanent,Trigger,ObjectOverwrite)</f>
        <v>#VALUE!</v>
      </c>
      <c r="G69" s="24" t="str">
        <f ca="1">_xll.ohRangeRetrieveError(F69)</f>
        <v/>
      </c>
      <c r="H69" s="23"/>
    </row>
    <row r="70" spans="1:8" x14ac:dyDescent="0.2">
      <c r="A70" s="96"/>
      <c r="B70" s="141" t="s">
        <v>156</v>
      </c>
      <c r="C70" s="141" t="s">
        <v>155</v>
      </c>
      <c r="D70" s="460" t="e">
        <f>_xll.qlECBNextCode(_xll.qlECBdate(D69))</f>
        <v>#NUM!</v>
      </c>
      <c r="E70" s="179" t="e">
        <f t="shared" si="4"/>
        <v>#NUM!</v>
      </c>
      <c r="F70" s="179" t="e">
        <f>_xll.qlSimpleQuote(Currency&amp;$B70&amp;$C70&amp;$D70&amp;QuoteSuffix,,RateTickValue,Permanent,Trigger,ObjectOverwrite)</f>
        <v>#VALUE!</v>
      </c>
      <c r="G70" s="24" t="str">
        <f ca="1">_xll.ohRangeRetrieveError(F70)</f>
        <v/>
      </c>
      <c r="H70" s="23"/>
    </row>
    <row r="71" spans="1:8" x14ac:dyDescent="0.2">
      <c r="A71" s="96"/>
      <c r="B71" s="141" t="s">
        <v>156</v>
      </c>
      <c r="C71" s="141" t="s">
        <v>155</v>
      </c>
      <c r="D71" s="460" t="e">
        <f>_xll.qlECBNextCode(_xll.qlECBdate(D70))</f>
        <v>#NUM!</v>
      </c>
      <c r="E71" s="179" t="e">
        <f t="shared" si="4"/>
        <v>#NUM!</v>
      </c>
      <c r="F71" s="179" t="e">
        <f>_xll.qlSimpleQuote(Currency&amp;$B71&amp;$C71&amp;$D71&amp;QuoteSuffix,,RateTickValue,Permanent,Trigger,ObjectOverwrite)</f>
        <v>#VALUE!</v>
      </c>
      <c r="G71" s="24" t="str">
        <f ca="1">_xll.ohRangeRetrieveError(F71)</f>
        <v/>
      </c>
      <c r="H71" s="23"/>
    </row>
    <row r="72" spans="1:8" x14ac:dyDescent="0.2">
      <c r="A72" s="96"/>
      <c r="B72" s="141" t="s">
        <v>156</v>
      </c>
      <c r="C72" s="141" t="s">
        <v>155</v>
      </c>
      <c r="D72" s="460" t="e">
        <f>_xll.qlECBNextCode(_xll.qlECBdate(D71))</f>
        <v>#NUM!</v>
      </c>
      <c r="E72" s="179" t="e">
        <f t="shared" si="4"/>
        <v>#NUM!</v>
      </c>
      <c r="F72" s="179" t="e">
        <f>_xll.qlSimpleQuote(Currency&amp;$B72&amp;$C72&amp;$D72&amp;QuoteSuffix,,RateTickValue,Permanent,Trigger,ObjectOverwrite)</f>
        <v>#VALUE!</v>
      </c>
      <c r="G72" s="24" t="str">
        <f ca="1">_xll.ohRangeRetrieveError(F72)</f>
        <v/>
      </c>
      <c r="H72" s="23"/>
    </row>
    <row r="73" spans="1:8" x14ac:dyDescent="0.2">
      <c r="A73" s="96"/>
      <c r="B73" s="141" t="s">
        <v>156</v>
      </c>
      <c r="C73" s="141" t="s">
        <v>155</v>
      </c>
      <c r="D73" s="460" t="e">
        <f>_xll.qlECBNextCode(_xll.qlECBdate(D72))</f>
        <v>#NUM!</v>
      </c>
      <c r="E73" s="179" t="e">
        <f t="shared" si="4"/>
        <v>#NUM!</v>
      </c>
      <c r="F73" s="179" t="e">
        <f>_xll.qlSimpleQuote(Currency&amp;$B73&amp;$C73&amp;$D73&amp;QuoteSuffix,,RateTickValue,Permanent,Trigger,ObjectOverwrite)</f>
        <v>#VALUE!</v>
      </c>
      <c r="G73" s="24" t="str">
        <f ca="1">_xll.ohRangeRetrieveError(F73)</f>
        <v/>
      </c>
      <c r="H73" s="23"/>
    </row>
    <row r="74" spans="1:8" x14ac:dyDescent="0.2">
      <c r="A74" s="96"/>
      <c r="B74" s="141" t="s">
        <v>156</v>
      </c>
      <c r="C74" s="141" t="s">
        <v>155</v>
      </c>
      <c r="D74" s="460" t="e">
        <f>_xll.qlECBNextCode(_xll.qlECBdate(D73))</f>
        <v>#NUM!</v>
      </c>
      <c r="E74" s="179" t="e">
        <f t="shared" si="4"/>
        <v>#NUM!</v>
      </c>
      <c r="F74" s="179" t="e">
        <f>_xll.qlSimpleQuote(Currency&amp;$B74&amp;$C74&amp;$D74&amp;QuoteSuffix,,RateTickValue,Permanent,Trigger,ObjectOverwrite)</f>
        <v>#VALUE!</v>
      </c>
      <c r="G74" s="24" t="str">
        <f ca="1">_xll.ohRangeRetrieveError(F74)</f>
        <v/>
      </c>
      <c r="H74" s="23"/>
    </row>
    <row r="75" spans="1:8" x14ac:dyDescent="0.2">
      <c r="A75" s="96"/>
      <c r="B75" s="141" t="s">
        <v>156</v>
      </c>
      <c r="C75" s="141" t="s">
        <v>155</v>
      </c>
      <c r="D75" s="460" t="e">
        <f>_xll.qlECBNextCode(_xll.qlECBdate(D74))</f>
        <v>#NUM!</v>
      </c>
      <c r="E75" s="179" t="e">
        <f t="shared" si="4"/>
        <v>#NUM!</v>
      </c>
      <c r="F75" s="179" t="e">
        <f>_xll.qlSimpleQuote(Currency&amp;$B75&amp;$C75&amp;$D75&amp;QuoteSuffix,,RateTickValue,Permanent,Trigger,ObjectOverwrite)</f>
        <v>#VALUE!</v>
      </c>
      <c r="G75" s="24" t="str">
        <f ca="1">_xll.ohRangeRetrieveError(F75)</f>
        <v/>
      </c>
      <c r="H75" s="23"/>
    </row>
    <row r="76" spans="1:8" x14ac:dyDescent="0.2">
      <c r="A76" s="96"/>
      <c r="B76" s="141" t="s">
        <v>156</v>
      </c>
      <c r="C76" s="141" t="s">
        <v>155</v>
      </c>
      <c r="D76" s="460" t="e">
        <f>_xll.qlECBNextCode(_xll.qlECBdate(D75))</f>
        <v>#NUM!</v>
      </c>
      <c r="E76" s="179" t="e">
        <f t="shared" si="4"/>
        <v>#NUM!</v>
      </c>
      <c r="F76" s="179" t="e">
        <f>_xll.qlSimpleQuote(Currency&amp;$B76&amp;$C76&amp;$D76&amp;QuoteSuffix,,RateTickValue,Permanent,Trigger,ObjectOverwrite)</f>
        <v>#VALUE!</v>
      </c>
      <c r="G76" s="24" t="str">
        <f ca="1">_xll.ohRangeRetrieveError(F76)</f>
        <v/>
      </c>
      <c r="H76" s="23"/>
    </row>
    <row r="77" spans="1:8" x14ac:dyDescent="0.2">
      <c r="A77" s="96"/>
      <c r="B77" s="141" t="s">
        <v>156</v>
      </c>
      <c r="C77" s="141" t="s">
        <v>155</v>
      </c>
      <c r="D77" s="460" t="e">
        <f>_xll.qlECBNextCode(_xll.qlECBdate(D76))</f>
        <v>#NUM!</v>
      </c>
      <c r="E77" s="179" t="e">
        <f t="shared" si="4"/>
        <v>#NUM!</v>
      </c>
      <c r="F77" s="179" t="e">
        <f>_xll.qlSimpleQuote(Currency&amp;$B77&amp;$C77&amp;$D77&amp;QuoteSuffix,,RateTickValue,Permanent,Trigger,ObjectOverwrite)</f>
        <v>#VALUE!</v>
      </c>
      <c r="G77" s="24" t="str">
        <f ca="1">_xll.ohRangeRetrieveError(F77)</f>
        <v/>
      </c>
      <c r="H77" s="23"/>
    </row>
    <row r="78" spans="1:8" x14ac:dyDescent="0.2">
      <c r="A78" s="96"/>
      <c r="B78" s="141" t="s">
        <v>156</v>
      </c>
      <c r="C78" s="141" t="s">
        <v>155</v>
      </c>
      <c r="D78" s="460" t="e">
        <f>_xll.qlECBNextCode(_xll.qlECBdate(D77))</f>
        <v>#NUM!</v>
      </c>
      <c r="E78" s="179" t="e">
        <f t="shared" si="4"/>
        <v>#NUM!</v>
      </c>
      <c r="F78" s="179" t="e">
        <f>_xll.qlSimpleQuote(Currency&amp;$B78&amp;$C78&amp;$D78&amp;QuoteSuffix,,RateTickValue,Permanent,Trigger,ObjectOverwrite)</f>
        <v>#VALUE!</v>
      </c>
      <c r="G78" s="24" t="str">
        <f ca="1">_xll.ohRangeRetrieveError(F78)</f>
        <v/>
      </c>
      <c r="H78" s="23"/>
    </row>
    <row r="79" spans="1:8" x14ac:dyDescent="0.2">
      <c r="A79" s="96"/>
      <c r="B79" s="141" t="s">
        <v>156</v>
      </c>
      <c r="C79" s="141" t="s">
        <v>155</v>
      </c>
      <c r="D79" s="460" t="e">
        <f>_xll.qlECBNextCode(_xll.qlECBdate(D78))</f>
        <v>#NUM!</v>
      </c>
      <c r="E79" s="179" t="e">
        <f t="shared" si="4"/>
        <v>#NUM!</v>
      </c>
      <c r="F79" s="179" t="e">
        <f>_xll.qlSimpleQuote(Currency&amp;$B79&amp;$C79&amp;$D79&amp;QuoteSuffix,,RateTickValue,Permanent,Trigger,ObjectOverwrite)</f>
        <v>#VALUE!</v>
      </c>
      <c r="G79" s="24" t="str">
        <f ca="1">_xll.ohRangeRetrieveError(F79)</f>
        <v/>
      </c>
      <c r="H79" s="23"/>
    </row>
    <row r="80" spans="1:8" x14ac:dyDescent="0.2">
      <c r="A80" s="96"/>
      <c r="B80" s="141" t="s">
        <v>156</v>
      </c>
      <c r="C80" s="141" t="s">
        <v>155</v>
      </c>
      <c r="D80" s="460" t="e">
        <f>_xll.qlECBNextCode(_xll.qlECBdate(D79))</f>
        <v>#NUM!</v>
      </c>
      <c r="E80" s="179" t="e">
        <f t="shared" si="4"/>
        <v>#NUM!</v>
      </c>
      <c r="F80" s="179" t="e">
        <f>_xll.qlSimpleQuote(Currency&amp;$B80&amp;$C80&amp;$D80&amp;QuoteSuffix,,RateTickValue,Permanent,Trigger,ObjectOverwrite)</f>
        <v>#VALUE!</v>
      </c>
      <c r="G80" s="24" t="str">
        <f ca="1">_xll.ohRangeRetrieveError(F80)</f>
        <v/>
      </c>
      <c r="H80" s="23"/>
    </row>
    <row r="81" spans="1:8" x14ac:dyDescent="0.2">
      <c r="A81" s="96"/>
      <c r="B81" s="141" t="s">
        <v>156</v>
      </c>
      <c r="C81" s="141" t="s">
        <v>155</v>
      </c>
      <c r="D81" s="460" t="e">
        <f>_xll.qlECBNextCode(_xll.qlECBdate(D80))</f>
        <v>#NUM!</v>
      </c>
      <c r="E81" s="179" t="e">
        <f t="shared" si="4"/>
        <v>#NUM!</v>
      </c>
      <c r="F81" s="179" t="e">
        <f>_xll.qlSimpleQuote(Currency&amp;$B81&amp;$C81&amp;$D81&amp;QuoteSuffix,,RateTickValue,Permanent,Trigger,ObjectOverwrite)</f>
        <v>#VALUE!</v>
      </c>
      <c r="G81" s="24" t="str">
        <f ca="1">_xll.ohRangeRetrieveError(F81)</f>
        <v/>
      </c>
      <c r="H81" s="23"/>
    </row>
    <row r="82" spans="1:8" x14ac:dyDescent="0.2">
      <c r="A82" s="96"/>
      <c r="B82" s="141" t="s">
        <v>156</v>
      </c>
      <c r="C82" s="141" t="s">
        <v>155</v>
      </c>
      <c r="D82" s="460" t="e">
        <f>_xll.qlECBNextCode(_xll.qlECBdate(D81))</f>
        <v>#NUM!</v>
      </c>
      <c r="E82" s="179" t="e">
        <f t="shared" si="4"/>
        <v>#NUM!</v>
      </c>
      <c r="F82" s="179" t="e">
        <f>_xll.qlSimpleQuote(Currency&amp;$B82&amp;$C82&amp;$D82&amp;QuoteSuffix,,RateTickValue,Permanent,Trigger,ObjectOverwrite)</f>
        <v>#VALUE!</v>
      </c>
      <c r="G82" s="24" t="str">
        <f ca="1">_xll.ohRangeRetrieveError(F82)</f>
        <v/>
      </c>
      <c r="H82" s="23"/>
    </row>
    <row r="83" spans="1:8" x14ac:dyDescent="0.2">
      <c r="A83" s="96"/>
      <c r="B83" s="141" t="s">
        <v>156</v>
      </c>
      <c r="C83" s="141" t="s">
        <v>155</v>
      </c>
      <c r="D83" s="460" t="e">
        <f>_xll.qlECBNextCode(_xll.qlECBdate(D82))</f>
        <v>#NUM!</v>
      </c>
      <c r="E83" s="179" t="e">
        <f t="shared" si="4"/>
        <v>#NUM!</v>
      </c>
      <c r="F83" s="179" t="e">
        <f>_xll.qlSimpleQuote(Currency&amp;$B83&amp;$C83&amp;$D83&amp;QuoteSuffix,,RateTickValue,Permanent,Trigger,ObjectOverwrite)</f>
        <v>#VALUE!</v>
      </c>
      <c r="G83" s="24" t="str">
        <f ca="1">_xll.ohRangeRetrieveError(F83)</f>
        <v/>
      </c>
      <c r="H83" s="23"/>
    </row>
    <row r="84" spans="1:8" x14ac:dyDescent="0.2">
      <c r="A84" s="96"/>
      <c r="B84" s="141" t="s">
        <v>156</v>
      </c>
      <c r="C84" s="141" t="s">
        <v>155</v>
      </c>
      <c r="D84" s="460" t="e">
        <f>_xll.qlECBNextCode(_xll.qlECBdate(D83))</f>
        <v>#NUM!</v>
      </c>
      <c r="E84" s="179" t="e">
        <f t="shared" si="4"/>
        <v>#NUM!</v>
      </c>
      <c r="F84" s="179" t="e">
        <f>_xll.qlSimpleQuote(Currency&amp;$B84&amp;$C84&amp;$D84&amp;QuoteSuffix,,RateTickValue,Permanent,Trigger,ObjectOverwrite)</f>
        <v>#VALUE!</v>
      </c>
      <c r="G84" s="24" t="str">
        <f ca="1">_xll.ohRangeRetrieveError(F84)</f>
        <v/>
      </c>
      <c r="H84" s="23"/>
    </row>
    <row r="85" spans="1:8" x14ac:dyDescent="0.2">
      <c r="A85" s="96"/>
      <c r="B85" s="141" t="s">
        <v>156</v>
      </c>
      <c r="C85" s="141" t="s">
        <v>155</v>
      </c>
      <c r="D85" s="460" t="e">
        <f>_xll.qlECBNextCode(_xll.qlECBdate(D84))</f>
        <v>#NUM!</v>
      </c>
      <c r="E85" s="179" t="e">
        <f t="shared" si="4"/>
        <v>#NUM!</v>
      </c>
      <c r="F85" s="179" t="e">
        <f>_xll.qlSimpleQuote(Currency&amp;$B85&amp;$C85&amp;$D85&amp;QuoteSuffix,,RateTickValue,Permanent,Trigger,ObjectOverwrite)</f>
        <v>#VALUE!</v>
      </c>
      <c r="G85" s="24" t="str">
        <f ca="1">_xll.ohRangeRetrieveError(F85)</f>
        <v/>
      </c>
      <c r="H85" s="23"/>
    </row>
    <row r="86" spans="1:8" x14ac:dyDescent="0.2">
      <c r="A86" s="96"/>
      <c r="B86" s="141" t="s">
        <v>156</v>
      </c>
      <c r="C86" s="141" t="s">
        <v>155</v>
      </c>
      <c r="D86" s="460" t="e">
        <f>_xll.qlECBNextCode(_xll.qlECBdate(D85))</f>
        <v>#NUM!</v>
      </c>
      <c r="E86" s="179" t="e">
        <f t="shared" si="4"/>
        <v>#NUM!</v>
      </c>
      <c r="F86" s="179" t="e">
        <f>_xll.qlSimpleQuote(Currency&amp;$B86&amp;$C86&amp;$D86&amp;QuoteSuffix,,RateTickValue,Permanent,Trigger,ObjectOverwrite)</f>
        <v>#VALUE!</v>
      </c>
      <c r="G86" s="24" t="str">
        <f ca="1">_xll.ohRangeRetrieveError(F86)</f>
        <v/>
      </c>
      <c r="H86" s="23"/>
    </row>
    <row r="87" spans="1:8" x14ac:dyDescent="0.2">
      <c r="A87" s="96"/>
      <c r="B87" s="141" t="s">
        <v>156</v>
      </c>
      <c r="C87" s="141" t="s">
        <v>155</v>
      </c>
      <c r="D87" s="460" t="e">
        <f>_xll.qlECBNextCode(_xll.qlECBdate(D86))</f>
        <v>#NUM!</v>
      </c>
      <c r="E87" s="179" t="e">
        <f t="shared" si="4"/>
        <v>#NUM!</v>
      </c>
      <c r="F87" s="179" t="e">
        <f>_xll.qlSimpleQuote(Currency&amp;$B87&amp;$C87&amp;$D87&amp;QuoteSuffix,,RateTickValue,Permanent,Trigger,ObjectOverwrite)</f>
        <v>#VALUE!</v>
      </c>
      <c r="G87" s="24" t="str">
        <f ca="1">_xll.ohRangeRetrieveError(F87)</f>
        <v/>
      </c>
      <c r="H87" s="23"/>
    </row>
    <row r="88" spans="1:8" x14ac:dyDescent="0.2">
      <c r="A88" s="96"/>
      <c r="B88" s="141" t="s">
        <v>156</v>
      </c>
      <c r="C88" s="141" t="s">
        <v>155</v>
      </c>
      <c r="D88" s="460" t="e">
        <f>_xll.qlECBNextCode(_xll.qlECBdate(D87))</f>
        <v>#NUM!</v>
      </c>
      <c r="E88" s="179" t="e">
        <f t="shared" si="4"/>
        <v>#NUM!</v>
      </c>
      <c r="F88" s="179" t="e">
        <f>_xll.qlSimpleQuote(Currency&amp;$B88&amp;$C88&amp;$D88&amp;QuoteSuffix,,RateTickValue,Permanent,Trigger,ObjectOverwrite)</f>
        <v>#VALUE!</v>
      </c>
      <c r="G88" s="24" t="str">
        <f ca="1">_xll.ohRangeRetrieveError(F88)</f>
        <v/>
      </c>
      <c r="H88" s="23"/>
    </row>
    <row r="89" spans="1:8" x14ac:dyDescent="0.2">
      <c r="A89" s="96"/>
      <c r="B89" s="141" t="s">
        <v>156</v>
      </c>
      <c r="C89" s="141" t="s">
        <v>155</v>
      </c>
      <c r="D89" s="460" t="e">
        <f>_xll.qlECBNextCode(_xll.qlECBdate(D88))</f>
        <v>#NUM!</v>
      </c>
      <c r="E89" s="179" t="e">
        <f t="shared" si="4"/>
        <v>#NUM!</v>
      </c>
      <c r="F89" s="179" t="e">
        <f>_xll.qlSimpleQuote(Currency&amp;$B89&amp;$C89&amp;$D89&amp;QuoteSuffix,,RateTickValue,Permanent,Trigger,ObjectOverwrite)</f>
        <v>#VALUE!</v>
      </c>
      <c r="G89" s="24" t="str">
        <f ca="1">_xll.ohRangeRetrieveError(F89)</f>
        <v/>
      </c>
      <c r="H89" s="23"/>
    </row>
    <row r="90" spans="1:8" x14ac:dyDescent="0.2">
      <c r="A90" s="96"/>
      <c r="B90" s="141" t="s">
        <v>156</v>
      </c>
      <c r="C90" s="141" t="s">
        <v>155</v>
      </c>
      <c r="D90" s="460" t="e">
        <f>_xll.qlECBNextCode(_xll.qlECBdate(D89))</f>
        <v>#NUM!</v>
      </c>
      <c r="E90" s="179" t="e">
        <f t="shared" si="4"/>
        <v>#NUM!</v>
      </c>
      <c r="F90" s="179" t="e">
        <f>_xll.qlSimpleQuote(Currency&amp;$B90&amp;$C90&amp;$D90&amp;QuoteSuffix,,RateTickValue,Permanent,Trigger,ObjectOverwrite)</f>
        <v>#VALUE!</v>
      </c>
      <c r="G90" s="24" t="str">
        <f ca="1">_xll.ohRangeRetrieveError(F90)</f>
        <v/>
      </c>
      <c r="H90" s="23"/>
    </row>
    <row r="91" spans="1:8" x14ac:dyDescent="0.2">
      <c r="A91" s="96"/>
      <c r="B91" s="141" t="s">
        <v>156</v>
      </c>
      <c r="C91" s="141" t="s">
        <v>155</v>
      </c>
      <c r="D91" s="460" t="e">
        <f>_xll.qlECBNextCode(_xll.qlECBdate(D90))</f>
        <v>#NUM!</v>
      </c>
      <c r="E91" s="179" t="e">
        <f t="shared" si="4"/>
        <v>#NUM!</v>
      </c>
      <c r="F91" s="179" t="e">
        <f>_xll.qlSimpleQuote(Currency&amp;$B91&amp;$C91&amp;$D91&amp;QuoteSuffix,,RateTickValue,Permanent,Trigger,ObjectOverwrite)</f>
        <v>#VALUE!</v>
      </c>
      <c r="G91" s="24" t="str">
        <f ca="1">_xll.ohRangeRetrieveError(F91)</f>
        <v/>
      </c>
      <c r="H91" s="23"/>
    </row>
    <row r="92" spans="1:8" x14ac:dyDescent="0.2">
      <c r="A92" s="96"/>
      <c r="B92" s="141" t="s">
        <v>156</v>
      </c>
      <c r="C92" s="141" t="s">
        <v>155</v>
      </c>
      <c r="D92" s="460" t="e">
        <f>_xll.qlECBNextCode(_xll.qlECBdate(D91))</f>
        <v>#NUM!</v>
      </c>
      <c r="E92" s="179" t="e">
        <f t="shared" si="4"/>
        <v>#NUM!</v>
      </c>
      <c r="F92" s="179" t="e">
        <f>_xll.qlSimpleQuote(Currency&amp;$B92&amp;$C92&amp;$D92&amp;QuoteSuffix,,RateTickValue,Permanent,Trigger,ObjectOverwrite)</f>
        <v>#VALUE!</v>
      </c>
      <c r="G92" s="24" t="str">
        <f ca="1">_xll.ohRangeRetrieveError(F92)</f>
        <v/>
      </c>
      <c r="H92" s="23"/>
    </row>
    <row r="93" spans="1:8" x14ac:dyDescent="0.2">
      <c r="A93" s="96"/>
      <c r="B93" s="141" t="s">
        <v>156</v>
      </c>
      <c r="C93" s="141" t="s">
        <v>155</v>
      </c>
      <c r="D93" s="460" t="e">
        <f>_xll.qlECBNextCode(_xll.qlECBdate(D92))</f>
        <v>#NUM!</v>
      </c>
      <c r="E93" s="179" t="e">
        <f t="shared" si="4"/>
        <v>#NUM!</v>
      </c>
      <c r="F93" s="179" t="e">
        <f>_xll.qlSimpleQuote(Currency&amp;$B93&amp;$C93&amp;$D93&amp;QuoteSuffix,,RateTickValue,Permanent,Trigger,ObjectOverwrite)</f>
        <v>#VALUE!</v>
      </c>
      <c r="G93" s="24" t="str">
        <f ca="1">_xll.ohRangeRetrieveError(F93)</f>
        <v/>
      </c>
      <c r="H93" s="23"/>
    </row>
    <row r="94" spans="1:8" x14ac:dyDescent="0.2">
      <c r="A94" s="96"/>
      <c r="B94" s="141" t="s">
        <v>156</v>
      </c>
      <c r="C94" s="141" t="s">
        <v>155</v>
      </c>
      <c r="D94" s="460" t="e">
        <f>_xll.qlECBNextCode(_xll.qlECBdate(D93))</f>
        <v>#NUM!</v>
      </c>
      <c r="E94" s="179" t="e">
        <f t="shared" si="4"/>
        <v>#NUM!</v>
      </c>
      <c r="F94" s="179" t="e">
        <f>_xll.qlSimpleQuote(Currency&amp;$B94&amp;$C94&amp;$D94&amp;QuoteSuffix,,RateTickValue,Permanent,Trigger,ObjectOverwrite)</f>
        <v>#VALUE!</v>
      </c>
      <c r="G94" s="24" t="str">
        <f ca="1">_xll.ohRangeRetrieveError(F94)</f>
        <v/>
      </c>
      <c r="H94" s="23"/>
    </row>
    <row r="95" spans="1:8" x14ac:dyDescent="0.2">
      <c r="A95" s="96"/>
      <c r="B95" s="141" t="s">
        <v>156</v>
      </c>
      <c r="C95" s="141" t="s">
        <v>155</v>
      </c>
      <c r="D95" s="460" t="e">
        <f>_xll.qlECBNextCode(_xll.qlECBdate(D94))</f>
        <v>#NUM!</v>
      </c>
      <c r="E95" s="179" t="e">
        <f t="shared" si="4"/>
        <v>#NUM!</v>
      </c>
      <c r="F95" s="179" t="e">
        <f>_xll.qlSimpleQuote(Currency&amp;$B95&amp;$C95&amp;$D95&amp;QuoteSuffix,,RateTickValue,Permanent,Trigger,ObjectOverwrite)</f>
        <v>#VALUE!</v>
      </c>
      <c r="G95" s="24" t="str">
        <f ca="1">_xll.ohRangeRetrieveError(F95)</f>
        <v/>
      </c>
      <c r="H95" s="23"/>
    </row>
    <row r="96" spans="1:8" ht="12" thickBot="1" x14ac:dyDescent="0.25">
      <c r="A96" s="22"/>
      <c r="B96" s="21"/>
      <c r="C96" s="21"/>
      <c r="D96" s="21"/>
      <c r="E96" s="21"/>
      <c r="F96" s="90"/>
      <c r="G96" s="90"/>
      <c r="H96" s="20"/>
    </row>
  </sheetData>
  <conditionalFormatting sqref="Y5:Y58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B19"/>
  <sheetViews>
    <sheetView workbookViewId="0">
      <selection activeCell="A6" sqref="A6"/>
    </sheetView>
  </sheetViews>
  <sheetFormatPr defaultRowHeight="12.75" x14ac:dyDescent="0.2"/>
  <cols>
    <col min="1" max="1" width="2.7109375" style="12" customWidth="1"/>
    <col min="2" max="2" width="4.85546875" style="89" bestFit="1" customWidth="1"/>
    <col min="3" max="3" width="2.7109375" style="12" bestFit="1" customWidth="1"/>
    <col min="4" max="4" width="3.85546875" style="12" bestFit="1" customWidth="1"/>
    <col min="5" max="5" width="16.140625" style="12" bestFit="1" customWidth="1"/>
    <col min="6" max="6" width="18" style="88" bestFit="1" customWidth="1"/>
    <col min="7" max="7" width="38.28515625" style="12" customWidth="1"/>
    <col min="8" max="10" width="2.7109375" style="12" customWidth="1"/>
    <col min="11" max="14" width="9.140625" style="12"/>
    <col min="15" max="15" width="12.7109375" style="12" bestFit="1" customWidth="1"/>
    <col min="16" max="18" width="9.140625" style="12"/>
    <col min="19" max="19" width="10.5703125" style="12" customWidth="1"/>
    <col min="20" max="20" width="9.140625" style="12"/>
    <col min="21" max="21" width="2.7109375" style="12" customWidth="1"/>
    <col min="22" max="22" width="9.140625" style="12"/>
    <col min="23" max="23" width="2.7109375" style="12" customWidth="1"/>
    <col min="24" max="25" width="9.140625" style="12"/>
    <col min="26" max="26" width="2.7109375" style="12" customWidth="1"/>
    <col min="27" max="16384" width="9.140625" style="12"/>
  </cols>
  <sheetData>
    <row r="1" spans="1:28" x14ac:dyDescent="0.2">
      <c r="J1" s="265" t="s">
        <v>280</v>
      </c>
      <c r="K1" s="150"/>
      <c r="L1" s="150"/>
      <c r="M1" s="150"/>
      <c r="N1" s="150"/>
      <c r="O1" s="150"/>
      <c r="P1" s="150"/>
      <c r="Q1" s="150"/>
      <c r="R1" s="150"/>
      <c r="S1" s="150"/>
      <c r="T1" s="150"/>
      <c r="U1" s="150"/>
      <c r="V1" s="150"/>
      <c r="W1" s="150"/>
      <c r="X1" s="150"/>
      <c r="Y1" s="150"/>
      <c r="Z1" s="147"/>
    </row>
    <row r="2" spans="1:28" ht="13.5" thickBot="1" x14ac:dyDescent="0.25">
      <c r="J2" s="234"/>
      <c r="K2" s="201"/>
      <c r="L2" s="201"/>
      <c r="M2" s="201"/>
      <c r="N2" s="201"/>
      <c r="O2" s="118" t="s">
        <v>214</v>
      </c>
      <c r="P2" s="201"/>
      <c r="Q2" s="201"/>
      <c r="R2" s="201"/>
      <c r="S2" s="201"/>
      <c r="T2" s="111"/>
      <c r="U2" s="201"/>
      <c r="V2" s="201"/>
      <c r="W2" s="201"/>
      <c r="X2" s="201"/>
      <c r="Y2" s="111"/>
      <c r="Z2" s="23"/>
    </row>
    <row r="3" spans="1:28" x14ac:dyDescent="0.2">
      <c r="A3" s="168" t="s">
        <v>186</v>
      </c>
      <c r="B3" s="150"/>
      <c r="C3" s="150"/>
      <c r="D3" s="150"/>
      <c r="E3" s="148"/>
      <c r="F3" s="149"/>
      <c r="G3" s="148"/>
      <c r="H3" s="147"/>
      <c r="J3" s="96"/>
      <c r="K3" s="201"/>
      <c r="L3" s="111"/>
      <c r="M3" s="111"/>
      <c r="N3" s="111"/>
      <c r="O3" s="111"/>
      <c r="P3" s="111"/>
      <c r="Q3" s="111"/>
      <c r="R3" s="111"/>
      <c r="S3" s="111"/>
      <c r="T3" s="111"/>
      <c r="U3" s="201"/>
      <c r="V3" s="201"/>
      <c r="W3" s="201"/>
      <c r="X3" s="111"/>
      <c r="Y3" s="231">
        <f>_xll.ohTrigger(Y5:Y15)</f>
        <v>8</v>
      </c>
      <c r="Z3" s="169"/>
    </row>
    <row r="4" spans="1:28" ht="22.5" x14ac:dyDescent="0.2">
      <c r="A4" s="96"/>
      <c r="B4" s="146"/>
      <c r="C4" s="145"/>
      <c r="D4" s="66"/>
      <c r="E4" s="65" t="str">
        <f>Currency&amp;"_010_Sw"&amp;"1M.xml"</f>
        <v>USD_010_Sw1M.xml</v>
      </c>
      <c r="F4" s="64" t="str">
        <f>IF(Serialize,_xll.ohObjectSave(F5:F15,SerializationPath&amp;E4,FileOverwrite,Serialize),"---")</f>
        <v>---</v>
      </c>
      <c r="G4" s="48" t="str">
        <f>_xll.ohRangeRetrieveError(F4)</f>
        <v/>
      </c>
      <c r="H4" s="23"/>
      <c r="J4" s="96"/>
      <c r="K4" s="263"/>
      <c r="L4" s="145"/>
      <c r="M4" s="145"/>
      <c r="N4" s="145"/>
      <c r="O4" s="196" t="str">
        <f>_xll.RData(O5:O18,P4:S4,"RTFEED:IDN",ReutersRtMode,,P5)</f>
        <v>Updated at 16:55:19</v>
      </c>
      <c r="P4" s="262" t="s">
        <v>201</v>
      </c>
      <c r="Q4" s="262" t="s">
        <v>200</v>
      </c>
      <c r="R4" s="262" t="s">
        <v>218</v>
      </c>
      <c r="S4" s="262" t="s">
        <v>236</v>
      </c>
      <c r="T4" s="227" t="s">
        <v>235</v>
      </c>
      <c r="U4" s="201"/>
      <c r="V4" s="229" t="s">
        <v>231</v>
      </c>
      <c r="W4" s="201"/>
      <c r="X4" s="431" t="s">
        <v>229</v>
      </c>
      <c r="Y4" s="67" t="s">
        <v>228</v>
      </c>
      <c r="Z4" s="169"/>
      <c r="AB4" s="260" t="s">
        <v>234</v>
      </c>
    </row>
    <row r="5" spans="1:28" x14ac:dyDescent="0.2">
      <c r="A5" s="96"/>
      <c r="B5" s="144"/>
      <c r="C5" s="51">
        <v>2</v>
      </c>
      <c r="D5" s="50" t="s">
        <v>174</v>
      </c>
      <c r="E5" s="49" t="str">
        <f t="shared" ref="E5:E15" si="0">Currency&amp;$C5&amp;$D5&amp;$B5&amp;QuoteSuffix</f>
        <v>USD2X1S_Quote</v>
      </c>
      <c r="F5" s="49" t="str">
        <f>_xll.qlSimpleQuote(Currency&amp;$C5&amp;$D5&amp;$B5&amp;QuoteSuffix,,RateTickValue,Permanent,Trigger,ObjectOverwrite)</f>
        <v>USD2X1S_Quote#0000</v>
      </c>
      <c r="G5" s="16" t="str">
        <f>_xll.ohRangeRetrieveError(F5)</f>
        <v/>
      </c>
      <c r="H5" s="23"/>
      <c r="J5" s="96"/>
      <c r="K5" s="200"/>
      <c r="L5" s="254">
        <v>2</v>
      </c>
      <c r="M5" s="254" t="s">
        <v>174</v>
      </c>
      <c r="N5" s="204" t="str">
        <f t="shared" ref="N5:N18" si="1">Currency&amp;$L5&amp;$M5&amp;$K5</f>
        <v>USD2X1S</v>
      </c>
      <c r="O5" s="204" t="str">
        <f t="array" ref="O5:O18">Instruments&amp;"="&amp;VLOOKUP(Contributor,ContributorTable,2,FALSE)</f>
        <v>USD2X1S=ICAP</v>
      </c>
      <c r="P5" s="199">
        <v>0.126</v>
      </c>
      <c r="Q5" s="199">
        <v>0.17599999999999999</v>
      </c>
      <c r="R5" s="199">
        <v>0</v>
      </c>
      <c r="S5" s="199">
        <v>0</v>
      </c>
      <c r="T5" s="203">
        <f>_xll.qlMidSafe($P5,$Q5)</f>
        <v>0.151</v>
      </c>
      <c r="U5" s="201"/>
      <c r="V5" s="202">
        <v>0.151</v>
      </c>
      <c r="W5" s="201"/>
      <c r="X5" s="274">
        <f t="array" ref="X5:X18">QuoteLive</f>
        <v>0.151</v>
      </c>
      <c r="Y5" s="198">
        <f>_xll.qlSimpleQuoteSetValue(F5,X5/100,Trigger)</f>
        <v>0</v>
      </c>
      <c r="Z5" s="169"/>
      <c r="AB5" s="236">
        <f t="shared" ref="AB5:AB15" si="2">(Q5-T5)/50</f>
        <v>4.999999999999999E-4</v>
      </c>
    </row>
    <row r="6" spans="1:28" x14ac:dyDescent="0.2">
      <c r="A6" s="96"/>
      <c r="B6" s="143"/>
      <c r="C6" s="142">
        <v>3</v>
      </c>
      <c r="D6" s="141" t="s">
        <v>174</v>
      </c>
      <c r="E6" s="49" t="str">
        <f t="shared" si="0"/>
        <v>USD3X1S_Quote</v>
      </c>
      <c r="F6" s="49" t="str">
        <f>_xll.qlSimpleQuote(Currency&amp;$C6&amp;$D6&amp;$B6&amp;QuoteSuffix,,RateTickValue,Permanent,Trigger,ObjectOverwrite)</f>
        <v>USD3X1S_Quote#0000</v>
      </c>
      <c r="G6" s="140" t="str">
        <f>_xll.ohRangeRetrieveError(F6)</f>
        <v/>
      </c>
      <c r="H6" s="23"/>
      <c r="J6" s="96"/>
      <c r="K6" s="200"/>
      <c r="L6" s="254">
        <v>3</v>
      </c>
      <c r="M6" s="254" t="s">
        <v>174</v>
      </c>
      <c r="N6" s="204" t="str">
        <f t="shared" si="1"/>
        <v>USD3X1S</v>
      </c>
      <c r="O6" s="204" t="str">
        <v>USD3X1S=ICAP</v>
      </c>
      <c r="P6" s="199">
        <v>0.126</v>
      </c>
      <c r="Q6" s="199">
        <v>0.17599999999999999</v>
      </c>
      <c r="R6" s="199">
        <v>0</v>
      </c>
      <c r="S6" s="199">
        <v>0</v>
      </c>
      <c r="T6" s="203">
        <f>_xll.qlMidSafe($P6,$Q6)</f>
        <v>0.151</v>
      </c>
      <c r="U6" s="201"/>
      <c r="V6" s="202">
        <v>0.151</v>
      </c>
      <c r="W6" s="201"/>
      <c r="X6" s="274">
        <v>0.151</v>
      </c>
      <c r="Y6" s="198">
        <f>_xll.qlSimpleQuoteSetValue(F6,X6/100,Trigger)</f>
        <v>0</v>
      </c>
      <c r="Z6" s="169"/>
      <c r="AB6" s="236">
        <f t="shared" si="2"/>
        <v>4.999999999999999E-4</v>
      </c>
    </row>
    <row r="7" spans="1:28" x14ac:dyDescent="0.2">
      <c r="A7" s="96"/>
      <c r="B7" s="143"/>
      <c r="C7" s="142">
        <v>4</v>
      </c>
      <c r="D7" s="141" t="s">
        <v>174</v>
      </c>
      <c r="E7" s="49" t="str">
        <f t="shared" si="0"/>
        <v>USD4X1S_Quote</v>
      </c>
      <c r="F7" s="49" t="str">
        <f>_xll.qlSimpleQuote(Currency&amp;$C7&amp;$D7&amp;$B7&amp;QuoteSuffix,,RateTickValue,Permanent,Trigger,ObjectOverwrite)</f>
        <v>USD4X1S_Quote#0000</v>
      </c>
      <c r="G7" s="140" t="str">
        <f>_xll.ohRangeRetrieveError(F7)</f>
        <v/>
      </c>
      <c r="H7" s="23"/>
      <c r="J7" s="96"/>
      <c r="K7" s="200"/>
      <c r="L7" s="254">
        <v>4</v>
      </c>
      <c r="M7" s="254" t="s">
        <v>174</v>
      </c>
      <c r="N7" s="204" t="str">
        <f t="shared" si="1"/>
        <v>USD4X1S</v>
      </c>
      <c r="O7" s="204" t="str">
        <v>USD4X1S=ICAP</v>
      </c>
      <c r="P7" s="199">
        <v>0.127</v>
      </c>
      <c r="Q7" s="199">
        <v>0.17699999999999999</v>
      </c>
      <c r="R7" s="199">
        <v>0</v>
      </c>
      <c r="S7" s="199">
        <v>0</v>
      </c>
      <c r="T7" s="203">
        <f>_xll.qlMidSafe($P7,$Q7)</f>
        <v>0.152</v>
      </c>
      <c r="U7" s="201"/>
      <c r="V7" s="202">
        <v>0.152</v>
      </c>
      <c r="W7" s="201"/>
      <c r="X7" s="274">
        <v>0.152</v>
      </c>
      <c r="Y7" s="198">
        <f>_xll.qlSimpleQuoteSetValue(F7,X7/100,Trigger)</f>
        <v>0</v>
      </c>
      <c r="Z7" s="169"/>
      <c r="AB7" s="236">
        <f t="shared" si="2"/>
        <v>4.999999999999999E-4</v>
      </c>
    </row>
    <row r="8" spans="1:28" x14ac:dyDescent="0.2">
      <c r="A8" s="96"/>
      <c r="B8" s="143"/>
      <c r="C8" s="142">
        <v>5</v>
      </c>
      <c r="D8" s="141" t="s">
        <v>174</v>
      </c>
      <c r="E8" s="49" t="str">
        <f t="shared" si="0"/>
        <v>USD5X1S_Quote</v>
      </c>
      <c r="F8" s="49" t="str">
        <f>_xll.qlSimpleQuote(Currency&amp;$C8&amp;$D8&amp;$B8&amp;QuoteSuffix,,RateTickValue,Permanent,Trigger,ObjectOverwrite)</f>
        <v>USD5X1S_Quote#0000</v>
      </c>
      <c r="G8" s="140" t="str">
        <f>_xll.ohRangeRetrieveError(F8)</f>
        <v/>
      </c>
      <c r="H8" s="23"/>
      <c r="J8" s="96"/>
      <c r="K8" s="200"/>
      <c r="L8" s="254">
        <v>5</v>
      </c>
      <c r="M8" s="254" t="s">
        <v>174</v>
      </c>
      <c r="N8" s="204" t="str">
        <f t="shared" si="1"/>
        <v>USD5X1S</v>
      </c>
      <c r="O8" s="204" t="str">
        <v>USD5X1S=ICAP</v>
      </c>
      <c r="P8" s="199">
        <v>0.127</v>
      </c>
      <c r="Q8" s="199">
        <v>0.17699999999999999</v>
      </c>
      <c r="R8" s="199">
        <v>0</v>
      </c>
      <c r="S8" s="199">
        <v>0</v>
      </c>
      <c r="T8" s="203">
        <f>_xll.qlMidSafe($P8,$Q8)</f>
        <v>0.152</v>
      </c>
      <c r="U8" s="201"/>
      <c r="V8" s="202">
        <v>0.152</v>
      </c>
      <c r="W8" s="201"/>
      <c r="X8" s="274">
        <v>0.152</v>
      </c>
      <c r="Y8" s="198">
        <f>_xll.qlSimpleQuoteSetValue(F8,X8/100,Trigger)</f>
        <v>0</v>
      </c>
      <c r="Z8" s="169"/>
      <c r="AB8" s="236">
        <f t="shared" si="2"/>
        <v>4.999999999999999E-4</v>
      </c>
    </row>
    <row r="9" spans="1:28" x14ac:dyDescent="0.2">
      <c r="A9" s="96"/>
      <c r="B9" s="143"/>
      <c r="C9" s="142">
        <v>6</v>
      </c>
      <c r="D9" s="141" t="s">
        <v>174</v>
      </c>
      <c r="E9" s="49" t="str">
        <f t="shared" si="0"/>
        <v>USD6X1S_Quote</v>
      </c>
      <c r="F9" s="49" t="str">
        <f>_xll.qlSimpleQuote(Currency&amp;$C9&amp;$D9&amp;$B9&amp;QuoteSuffix,,RateTickValue,Permanent,Trigger,ObjectOverwrite)</f>
        <v>USD6X1S_Quote#0000</v>
      </c>
      <c r="G9" s="140" t="str">
        <f>_xll.ohRangeRetrieveError(F9)</f>
        <v/>
      </c>
      <c r="H9" s="23"/>
      <c r="J9" s="96"/>
      <c r="K9" s="200"/>
      <c r="L9" s="254">
        <v>6</v>
      </c>
      <c r="M9" s="254" t="s">
        <v>174</v>
      </c>
      <c r="N9" s="204" t="str">
        <f t="shared" si="1"/>
        <v>USD6X1S</v>
      </c>
      <c r="O9" s="204" t="str">
        <v>USD6X1S=ICAP</v>
      </c>
      <c r="P9" s="199">
        <v>0.129</v>
      </c>
      <c r="Q9" s="199">
        <v>0.17899999999999999</v>
      </c>
      <c r="R9" s="199">
        <v>0</v>
      </c>
      <c r="S9" s="199">
        <v>0</v>
      </c>
      <c r="T9" s="203">
        <f>_xll.qlMidSafe($P9,$Q9)</f>
        <v>0.154</v>
      </c>
      <c r="U9" s="201"/>
      <c r="V9" s="202">
        <v>0.154</v>
      </c>
      <c r="W9" s="201"/>
      <c r="X9" s="274">
        <v>0.154</v>
      </c>
      <c r="Y9" s="198">
        <f>_xll.qlSimpleQuoteSetValue(F9,X9/100,Trigger)</f>
        <v>0</v>
      </c>
      <c r="Z9" s="169"/>
      <c r="AB9" s="236">
        <f t="shared" si="2"/>
        <v>4.999999999999999E-4</v>
      </c>
    </row>
    <row r="10" spans="1:28" x14ac:dyDescent="0.2">
      <c r="A10" s="96"/>
      <c r="B10" s="143"/>
      <c r="C10" s="142">
        <v>7</v>
      </c>
      <c r="D10" s="141" t="s">
        <v>174</v>
      </c>
      <c r="E10" s="49" t="str">
        <f t="shared" si="0"/>
        <v>USD7X1S_Quote</v>
      </c>
      <c r="F10" s="49" t="str">
        <f>_xll.qlSimpleQuote(Currency&amp;$C10&amp;$D10&amp;$B10&amp;QuoteSuffix,,RateTickValue,Permanent,Trigger,ObjectOverwrite)</f>
        <v>USD7X1S_Quote#0000</v>
      </c>
      <c r="G10" s="140" t="str">
        <f>_xll.ohRangeRetrieveError(F10)</f>
        <v/>
      </c>
      <c r="H10" s="23"/>
      <c r="J10" s="96"/>
      <c r="K10" s="200"/>
      <c r="L10" s="254">
        <v>7</v>
      </c>
      <c r="M10" s="254" t="s">
        <v>174</v>
      </c>
      <c r="N10" s="204" t="str">
        <f t="shared" si="1"/>
        <v>USD7X1S</v>
      </c>
      <c r="O10" s="204" t="str">
        <v>USD7X1S=ICAP</v>
      </c>
      <c r="P10" s="199">
        <v>0.13200000000000001</v>
      </c>
      <c r="Q10" s="199">
        <v>0.182</v>
      </c>
      <c r="R10" s="199">
        <v>0</v>
      </c>
      <c r="S10" s="199">
        <v>0</v>
      </c>
      <c r="T10" s="203">
        <f>_xll.qlMidSafe($P10,$Q10)</f>
        <v>0.157</v>
      </c>
      <c r="U10" s="201"/>
      <c r="V10" s="202">
        <v>0.157</v>
      </c>
      <c r="W10" s="201"/>
      <c r="X10" s="274">
        <v>0.157</v>
      </c>
      <c r="Y10" s="198">
        <f>_xll.qlSimpleQuoteSetValue(F10,X10/100,Trigger)</f>
        <v>0</v>
      </c>
      <c r="Z10" s="169"/>
      <c r="AB10" s="236">
        <f t="shared" si="2"/>
        <v>4.999999999999999E-4</v>
      </c>
    </row>
    <row r="11" spans="1:28" x14ac:dyDescent="0.2">
      <c r="A11" s="96"/>
      <c r="B11" s="143"/>
      <c r="C11" s="142">
        <v>8</v>
      </c>
      <c r="D11" s="141" t="s">
        <v>174</v>
      </c>
      <c r="E11" s="49" t="str">
        <f t="shared" si="0"/>
        <v>USD8X1S_Quote</v>
      </c>
      <c r="F11" s="49" t="str">
        <f>_xll.qlSimpleQuote(Currency&amp;$C11&amp;$D11&amp;$B11&amp;QuoteSuffix,,RateTickValue,Permanent,Trigger,ObjectOverwrite)</f>
        <v>USD8X1S_Quote#0000</v>
      </c>
      <c r="G11" s="140" t="str">
        <f>_xll.ohRangeRetrieveError(F11)</f>
        <v/>
      </c>
      <c r="H11" s="23"/>
      <c r="J11" s="96"/>
      <c r="K11" s="200"/>
      <c r="L11" s="254">
        <v>8</v>
      </c>
      <c r="M11" s="254" t="s">
        <v>174</v>
      </c>
      <c r="N11" s="204" t="str">
        <f t="shared" si="1"/>
        <v>USD8X1S</v>
      </c>
      <c r="O11" s="204" t="str">
        <v>USD8X1S=ICAP</v>
      </c>
      <c r="P11" s="199">
        <v>0.13600000000000001</v>
      </c>
      <c r="Q11" s="199">
        <v>0.186</v>
      </c>
      <c r="R11" s="199">
        <v>0</v>
      </c>
      <c r="S11" s="199">
        <v>0</v>
      </c>
      <c r="T11" s="203">
        <f>_xll.qlMidSafe($P11,$Q11)</f>
        <v>0.161</v>
      </c>
      <c r="U11" s="201"/>
      <c r="V11" s="202">
        <v>0.161</v>
      </c>
      <c r="W11" s="201"/>
      <c r="X11" s="274">
        <v>0.161</v>
      </c>
      <c r="Y11" s="198">
        <f>_xll.qlSimpleQuoteSetValue(F11,X11/100,Trigger)</f>
        <v>0</v>
      </c>
      <c r="Z11" s="169"/>
      <c r="AB11" s="236">
        <f t="shared" si="2"/>
        <v>4.999999999999999E-4</v>
      </c>
    </row>
    <row r="12" spans="1:28" x14ac:dyDescent="0.2">
      <c r="A12" s="96"/>
      <c r="B12" s="143"/>
      <c r="C12" s="142">
        <v>9</v>
      </c>
      <c r="D12" s="141" t="s">
        <v>174</v>
      </c>
      <c r="E12" s="49" t="str">
        <f t="shared" si="0"/>
        <v>USD9X1S_Quote</v>
      </c>
      <c r="F12" s="49" t="str">
        <f>_xll.qlSimpleQuote(Currency&amp;$C12&amp;$D12&amp;$B12&amp;QuoteSuffix,,RateTickValue,Permanent,Trigger,ObjectOverwrite)</f>
        <v>USD9X1S_Quote#0000</v>
      </c>
      <c r="G12" s="140" t="str">
        <f>_xll.ohRangeRetrieveError(F12)</f>
        <v/>
      </c>
      <c r="H12" s="23"/>
      <c r="J12" s="96"/>
      <c r="K12" s="200"/>
      <c r="L12" s="254">
        <v>9</v>
      </c>
      <c r="M12" s="254" t="s">
        <v>174</v>
      </c>
      <c r="N12" s="204" t="str">
        <f t="shared" si="1"/>
        <v>USD9X1S</v>
      </c>
      <c r="O12" s="204" t="str">
        <v>USD9X1S=ICAP</v>
      </c>
      <c r="P12" s="199">
        <v>0.14000000000000001</v>
      </c>
      <c r="Q12" s="199">
        <v>0.19</v>
      </c>
      <c r="R12" s="199">
        <v>0</v>
      </c>
      <c r="S12" s="199">
        <v>0</v>
      </c>
      <c r="T12" s="203">
        <f>_xll.qlMidSafe($P12,$Q12)</f>
        <v>0.16500000000000001</v>
      </c>
      <c r="U12" s="201"/>
      <c r="V12" s="202">
        <v>0.16500000000000001</v>
      </c>
      <c r="W12" s="201"/>
      <c r="X12" s="274">
        <v>0.16500000000000001</v>
      </c>
      <c r="Y12" s="198">
        <f>_xll.qlSimpleQuoteSetValue(F12,X12/100,Trigger)</f>
        <v>0</v>
      </c>
      <c r="Z12" s="169"/>
      <c r="AB12" s="236">
        <f t="shared" si="2"/>
        <v>4.999999999999999E-4</v>
      </c>
    </row>
    <row r="13" spans="1:28" x14ac:dyDescent="0.2">
      <c r="A13" s="96"/>
      <c r="B13" s="143"/>
      <c r="C13" s="142">
        <v>10</v>
      </c>
      <c r="D13" s="141" t="s">
        <v>174</v>
      </c>
      <c r="E13" s="49" t="str">
        <f t="shared" si="0"/>
        <v>USD10X1S_Quote</v>
      </c>
      <c r="F13" s="49" t="str">
        <f>_xll.qlSimpleQuote(Currency&amp;$C13&amp;$D13&amp;$B13&amp;QuoteSuffix,,RateTickValue,Permanent,Trigger,ObjectOverwrite)</f>
        <v>USD10X1S_Quote#0000</v>
      </c>
      <c r="G13" s="140" t="str">
        <f>_xll.ohRangeRetrieveError(F13)</f>
        <v/>
      </c>
      <c r="H13" s="23"/>
      <c r="J13" s="96"/>
      <c r="K13" s="200"/>
      <c r="L13" s="254">
        <v>10</v>
      </c>
      <c r="M13" s="254" t="s">
        <v>174</v>
      </c>
      <c r="N13" s="204" t="str">
        <f t="shared" si="1"/>
        <v>USD10X1S</v>
      </c>
      <c r="O13" s="204" t="str">
        <v>USD10X1S=ICAP</v>
      </c>
      <c r="P13" s="199">
        <v>0.14599999999999999</v>
      </c>
      <c r="Q13" s="199">
        <v>0.19600000000000001</v>
      </c>
      <c r="R13" s="199">
        <v>0</v>
      </c>
      <c r="S13" s="199">
        <v>0</v>
      </c>
      <c r="T13" s="203">
        <f>_xll.qlMidSafe($P13,$Q13)</f>
        <v>0.17099999999999999</v>
      </c>
      <c r="U13" s="201"/>
      <c r="V13" s="202">
        <v>0.17099999999999999</v>
      </c>
      <c r="W13" s="201"/>
      <c r="X13" s="274">
        <v>0.17099999999999999</v>
      </c>
      <c r="Y13" s="198">
        <f>_xll.qlSimpleQuoteSetValue(F13,X13/100,Trigger)</f>
        <v>0</v>
      </c>
      <c r="Z13" s="169"/>
      <c r="AB13" s="236">
        <f t="shared" si="2"/>
        <v>5.0000000000000044E-4</v>
      </c>
    </row>
    <row r="14" spans="1:28" x14ac:dyDescent="0.2">
      <c r="A14" s="96"/>
      <c r="B14" s="143"/>
      <c r="C14" s="142">
        <v>11</v>
      </c>
      <c r="D14" s="141" t="s">
        <v>174</v>
      </c>
      <c r="E14" s="49" t="str">
        <f t="shared" si="0"/>
        <v>USD11X1S_Quote</v>
      </c>
      <c r="F14" s="49" t="str">
        <f>_xll.qlSimpleQuote(Currency&amp;$C14&amp;$D14&amp;$B14&amp;QuoteSuffix,,RateTickValue,Permanent,Trigger,ObjectOverwrite)</f>
        <v>USD11X1S_Quote#0000</v>
      </c>
      <c r="G14" s="140" t="str">
        <f>_xll.ohRangeRetrieveError(F14)</f>
        <v/>
      </c>
      <c r="H14" s="23"/>
      <c r="J14" s="96"/>
      <c r="K14" s="200"/>
      <c r="L14" s="254">
        <v>11</v>
      </c>
      <c r="M14" s="254" t="s">
        <v>174</v>
      </c>
      <c r="N14" s="204" t="str">
        <f t="shared" si="1"/>
        <v>USD11X1S</v>
      </c>
      <c r="O14" s="204" t="str">
        <v>USD11X1S=ICAP</v>
      </c>
      <c r="P14" s="199">
        <v>0.153</v>
      </c>
      <c r="Q14" s="199">
        <v>0.20300000000000001</v>
      </c>
      <c r="R14" s="199">
        <v>0</v>
      </c>
      <c r="S14" s="199">
        <v>0</v>
      </c>
      <c r="T14" s="203">
        <f>_xll.qlMidSafe($P14,$Q14)</f>
        <v>0.17799999999999999</v>
      </c>
      <c r="U14" s="201"/>
      <c r="V14" s="202">
        <v>0.17799999999999999</v>
      </c>
      <c r="W14" s="201"/>
      <c r="X14" s="274">
        <v>0.17799999999999999</v>
      </c>
      <c r="Y14" s="198">
        <f>_xll.qlSimpleQuoteSetValue(F14,X14/100,Trigger)</f>
        <v>0</v>
      </c>
      <c r="Z14" s="169"/>
      <c r="AB14" s="236">
        <f t="shared" si="2"/>
        <v>5.0000000000000044E-4</v>
      </c>
    </row>
    <row r="15" spans="1:28" x14ac:dyDescent="0.2">
      <c r="A15" s="96"/>
      <c r="B15" s="143"/>
      <c r="C15" s="142">
        <v>12</v>
      </c>
      <c r="D15" s="141" t="s">
        <v>174</v>
      </c>
      <c r="E15" s="49" t="str">
        <f t="shared" si="0"/>
        <v>USD12X1S_Quote</v>
      </c>
      <c r="F15" s="49" t="str">
        <f>_xll.qlSimpleQuote(Currency&amp;$C15&amp;$D15&amp;$B15&amp;QuoteSuffix,,RateTickValue,Permanent,Trigger,ObjectOverwrite)</f>
        <v>USD12X1S_Quote#0000</v>
      </c>
      <c r="G15" s="140" t="str">
        <f>_xll.ohRangeRetrieveError(F15)</f>
        <v/>
      </c>
      <c r="H15" s="23"/>
      <c r="J15" s="96"/>
      <c r="K15" s="200"/>
      <c r="L15" s="254">
        <v>12</v>
      </c>
      <c r="M15" s="254" t="s">
        <v>174</v>
      </c>
      <c r="N15" s="204" t="str">
        <f t="shared" si="1"/>
        <v>USD12X1S</v>
      </c>
      <c r="O15" s="204" t="str">
        <v>USD12X1S=ICAP</v>
      </c>
      <c r="P15" s="199">
        <v>0.16200000000000001</v>
      </c>
      <c r="Q15" s="199">
        <v>0.21199999999999999</v>
      </c>
      <c r="R15" s="199">
        <v>0</v>
      </c>
      <c r="S15" s="199">
        <v>0</v>
      </c>
      <c r="T15" s="203">
        <f>_xll.qlMidSafe($P15,$Q15)</f>
        <v>0.187</v>
      </c>
      <c r="U15" s="201"/>
      <c r="V15" s="202">
        <v>0.187</v>
      </c>
      <c r="W15" s="201"/>
      <c r="X15" s="274">
        <v>0.187</v>
      </c>
      <c r="Y15" s="198">
        <f>_xll.qlSimpleQuoteSetValue(F15,X15/100,Trigger)</f>
        <v>0</v>
      </c>
      <c r="Z15" s="169"/>
      <c r="AB15" s="236">
        <f t="shared" si="2"/>
        <v>4.999999999999999E-4</v>
      </c>
    </row>
    <row r="16" spans="1:28" ht="13.5" thickBot="1" x14ac:dyDescent="0.25">
      <c r="A16" s="22"/>
      <c r="B16" s="21"/>
      <c r="C16" s="21"/>
      <c r="D16" s="21"/>
      <c r="E16" s="21"/>
      <c r="F16" s="90"/>
      <c r="G16" s="90"/>
      <c r="H16" s="20"/>
      <c r="J16" s="96"/>
      <c r="K16" s="200"/>
      <c r="L16" s="254">
        <v>15</v>
      </c>
      <c r="M16" s="254" t="s">
        <v>174</v>
      </c>
      <c r="N16" s="204" t="str">
        <f t="shared" si="1"/>
        <v>USD15X1S</v>
      </c>
      <c r="O16" s="204" t="str">
        <v>USD15X1S=ICAP</v>
      </c>
      <c r="P16" s="199">
        <v>0.20699999999999999</v>
      </c>
      <c r="Q16" s="199">
        <v>0.25700000000000001</v>
      </c>
      <c r="R16" s="199">
        <v>0</v>
      </c>
      <c r="S16" s="199">
        <v>0</v>
      </c>
      <c r="T16" s="203">
        <f>_xll.qlMidSafe($P16,$Q16)</f>
        <v>0.23199999999999998</v>
      </c>
      <c r="U16" s="201"/>
      <c r="V16" s="202">
        <v>0.23199999999999998</v>
      </c>
      <c r="W16" s="201"/>
      <c r="X16" s="274">
        <v>0.23199999999999998</v>
      </c>
      <c r="Y16" s="198" t="e">
        <f>_xll.qlSimpleQuoteSetValue(F16,X16/100,Trigger)</f>
        <v>#NUM!</v>
      </c>
      <c r="Z16" s="169"/>
    </row>
    <row r="17" spans="10:26" x14ac:dyDescent="0.2">
      <c r="J17" s="96"/>
      <c r="K17" s="200"/>
      <c r="L17" s="254">
        <v>18</v>
      </c>
      <c r="M17" s="254" t="s">
        <v>174</v>
      </c>
      <c r="N17" s="204" t="str">
        <f t="shared" si="1"/>
        <v>USD18X1S</v>
      </c>
      <c r="O17" s="204" t="str">
        <v>USD18X1S=ICAP</v>
      </c>
      <c r="P17" s="199">
        <v>0.27400000000000002</v>
      </c>
      <c r="Q17" s="199">
        <v>0.32400000000000001</v>
      </c>
      <c r="R17" s="199">
        <v>0</v>
      </c>
      <c r="S17" s="199">
        <v>0</v>
      </c>
      <c r="T17" s="203">
        <f>_xll.qlMidSafe($P17,$Q17)</f>
        <v>0.29900000000000004</v>
      </c>
      <c r="U17" s="201"/>
      <c r="V17" s="202">
        <v>0.29900000000000004</v>
      </c>
      <c r="W17" s="201"/>
      <c r="X17" s="274">
        <v>0.29900000000000004</v>
      </c>
      <c r="Y17" s="198" t="e">
        <f>_xll.qlSimpleQuoteSetValue(F17,X17/100,Trigger)</f>
        <v>#NUM!</v>
      </c>
      <c r="Z17" s="169"/>
    </row>
    <row r="18" spans="10:26" x14ac:dyDescent="0.2">
      <c r="J18" s="96"/>
      <c r="K18" s="200"/>
      <c r="L18" s="254">
        <v>24</v>
      </c>
      <c r="M18" s="254" t="s">
        <v>174</v>
      </c>
      <c r="N18" s="204" t="str">
        <f t="shared" si="1"/>
        <v>USD24X1S</v>
      </c>
      <c r="O18" s="204" t="str">
        <v>USD24X1S=ICAP</v>
      </c>
      <c r="P18" s="199">
        <v>0.45400000000000001</v>
      </c>
      <c r="Q18" s="199">
        <v>0.504</v>
      </c>
      <c r="R18" s="199">
        <v>0</v>
      </c>
      <c r="S18" s="199">
        <v>0</v>
      </c>
      <c r="T18" s="203">
        <f>_xll.qlMidSafe($P18,$Q18)</f>
        <v>0.47899999999999998</v>
      </c>
      <c r="U18" s="201"/>
      <c r="V18" s="214">
        <v>0.48</v>
      </c>
      <c r="W18" s="201"/>
      <c r="X18" s="267">
        <v>0.47899999999999998</v>
      </c>
      <c r="Y18" s="211" t="e">
        <f>_xll.qlSimpleQuoteSetValue(F18,X18/100,Trigger)</f>
        <v>#NUM!</v>
      </c>
      <c r="Z18" s="169"/>
    </row>
    <row r="19" spans="10:26" ht="13.5" thickBot="1" x14ac:dyDescent="0.25">
      <c r="J19" s="22"/>
      <c r="K19" s="197"/>
      <c r="L19" s="197"/>
      <c r="M19" s="197"/>
      <c r="N19" s="197"/>
      <c r="O19" s="197"/>
      <c r="P19" s="197"/>
      <c r="Q19" s="197"/>
      <c r="R19" s="197"/>
      <c r="S19" s="197"/>
      <c r="T19" s="197"/>
      <c r="U19" s="21"/>
      <c r="V19" s="197"/>
      <c r="W19" s="21"/>
      <c r="X19" s="197"/>
      <c r="Y19" s="197"/>
      <c r="Z19" s="237"/>
    </row>
  </sheetData>
  <conditionalFormatting sqref="Y5:Y18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B12"/>
  <sheetViews>
    <sheetView topLeftCell="I1" workbookViewId="0"/>
  </sheetViews>
  <sheetFormatPr defaultRowHeight="12.75" x14ac:dyDescent="0.2"/>
  <cols>
    <col min="1" max="1" width="2.7109375" style="12" customWidth="1"/>
    <col min="2" max="2" width="4.85546875" style="89" bestFit="1" customWidth="1"/>
    <col min="3" max="3" width="2.85546875" style="12" bestFit="1" customWidth="1"/>
    <col min="4" max="4" width="2.7109375" style="12" bestFit="1" customWidth="1"/>
    <col min="5" max="5" width="17" style="12" bestFit="1" customWidth="1"/>
    <col min="6" max="6" width="16.85546875" style="88" bestFit="1" customWidth="1"/>
    <col min="7" max="7" width="38.28515625" style="12" customWidth="1"/>
    <col min="8" max="10" width="2.7109375" style="12" customWidth="1"/>
    <col min="11" max="20" width="9.140625" style="12"/>
    <col min="21" max="21" width="2.7109375" style="12" customWidth="1"/>
    <col min="22" max="22" width="9.140625" style="12"/>
    <col min="23" max="23" width="2.7109375" style="12" customWidth="1"/>
    <col min="24" max="25" width="9.140625" style="12"/>
    <col min="26" max="26" width="2.7109375" style="12" customWidth="1"/>
    <col min="27" max="16384" width="9.140625" style="12"/>
  </cols>
  <sheetData>
    <row r="1" spans="1:28" x14ac:dyDescent="0.2">
      <c r="J1" s="265" t="s">
        <v>280</v>
      </c>
      <c r="K1" s="150"/>
      <c r="L1" s="150"/>
      <c r="M1" s="150"/>
      <c r="N1" s="150"/>
      <c r="O1" s="150"/>
      <c r="P1" s="150"/>
      <c r="Q1" s="150"/>
      <c r="R1" s="150"/>
      <c r="S1" s="150"/>
      <c r="T1" s="150"/>
      <c r="U1" s="150"/>
      <c r="V1" s="150"/>
      <c r="W1" s="150"/>
      <c r="X1" s="150"/>
      <c r="Y1" s="150"/>
      <c r="Z1" s="147"/>
    </row>
    <row r="2" spans="1:28" ht="13.5" thickBot="1" x14ac:dyDescent="0.25">
      <c r="J2" s="234"/>
      <c r="K2" s="111"/>
      <c r="L2" s="201"/>
      <c r="M2" s="201"/>
      <c r="N2" s="201"/>
      <c r="O2" s="118" t="s">
        <v>214</v>
      </c>
      <c r="P2" s="201"/>
      <c r="Q2" s="201"/>
      <c r="R2" s="201"/>
      <c r="S2" s="201"/>
      <c r="T2" s="111"/>
      <c r="U2" s="201"/>
      <c r="V2" s="201"/>
      <c r="W2" s="201"/>
      <c r="X2" s="201"/>
      <c r="Y2" s="111"/>
      <c r="Z2" s="23"/>
    </row>
    <row r="3" spans="1:28" x14ac:dyDescent="0.2">
      <c r="A3" s="168" t="s">
        <v>186</v>
      </c>
      <c r="B3" s="150"/>
      <c r="C3" s="150"/>
      <c r="D3" s="150"/>
      <c r="E3" s="148"/>
      <c r="F3" s="149"/>
      <c r="G3" s="148"/>
      <c r="H3" s="147"/>
      <c r="J3" s="96"/>
      <c r="K3" s="201"/>
      <c r="L3" s="111"/>
      <c r="M3" s="111"/>
      <c r="N3" s="111"/>
      <c r="O3" s="111"/>
      <c r="P3" s="111"/>
      <c r="Q3" s="111"/>
      <c r="R3" s="111"/>
      <c r="S3" s="111"/>
      <c r="T3" s="111"/>
      <c r="U3" s="201"/>
      <c r="V3" s="201"/>
      <c r="W3" s="201"/>
      <c r="X3" s="111"/>
      <c r="Y3" s="231">
        <f>_xll.ohTrigger(Y5:Y11)</f>
        <v>6</v>
      </c>
      <c r="Z3" s="169"/>
    </row>
    <row r="4" spans="1:28" ht="22.5" x14ac:dyDescent="0.2">
      <c r="A4" s="96"/>
      <c r="B4" s="154"/>
      <c r="C4" s="153"/>
      <c r="D4" s="66"/>
      <c r="E4" s="65" t="str">
        <f>Currency&amp;"_010_Sw"&amp;"IMM.xml"</f>
        <v>USD_010_SwIMM.xml</v>
      </c>
      <c r="F4" s="64" t="str">
        <f>IF(Serialize,_xll.ohObjectSave(F5:F11,SerializationPath&amp;E4,FileOverwrite,Serialize),"---")</f>
        <v>---</v>
      </c>
      <c r="G4" s="48" t="str">
        <f>_xll.ohRangeRetrieveError(F4)</f>
        <v/>
      </c>
      <c r="H4" s="23"/>
      <c r="J4" s="96"/>
      <c r="K4" s="263"/>
      <c r="L4" s="145"/>
      <c r="M4" s="145"/>
      <c r="N4" s="145"/>
      <c r="O4" s="196" t="str">
        <f>_xll.RData(O5:O11,P4:S4,"RTFEED:IDN",ReutersRtMode,,P5)</f>
        <v>Updated at 16:55:17</v>
      </c>
      <c r="P4" s="262" t="s">
        <v>201</v>
      </c>
      <c r="Q4" s="262" t="s">
        <v>200</v>
      </c>
      <c r="R4" s="262" t="s">
        <v>218</v>
      </c>
      <c r="S4" s="262" t="s">
        <v>236</v>
      </c>
      <c r="T4" s="227" t="s">
        <v>235</v>
      </c>
      <c r="U4" s="201"/>
      <c r="V4" s="229" t="s">
        <v>231</v>
      </c>
      <c r="W4" s="201"/>
      <c r="X4" s="431" t="s">
        <v>229</v>
      </c>
      <c r="Y4" s="67" t="s">
        <v>228</v>
      </c>
      <c r="Z4" s="169"/>
      <c r="AB4" s="260" t="s">
        <v>234</v>
      </c>
    </row>
    <row r="5" spans="1:28" x14ac:dyDescent="0.2">
      <c r="A5" s="96"/>
      <c r="B5" s="152"/>
      <c r="C5" s="50" t="s">
        <v>175</v>
      </c>
      <c r="D5" s="50">
        <v>12</v>
      </c>
      <c r="E5" s="49" t="str">
        <f t="shared" ref="E5:E11" si="0">Currency&amp;$C5&amp;$D5&amp;$B5&amp;QuoteSuffix</f>
        <v>USD1S12_Quote</v>
      </c>
      <c r="F5" s="49" t="str">
        <f>_xll.qlSimpleQuote(Currency&amp;$C5&amp;$D5&amp;$B5&amp;QuoteSuffix,,RateTickValue,Permanent,Trigger,ObjectOverwrite)</f>
        <v>USD1S12_Quote#0000</v>
      </c>
      <c r="G5" s="16" t="str">
        <f>_xll.ohRangeRetrieveError(F5)</f>
        <v/>
      </c>
      <c r="H5" s="23"/>
      <c r="J5" s="96"/>
      <c r="K5" s="200"/>
      <c r="L5" s="254" t="s">
        <v>175</v>
      </c>
      <c r="M5" s="254">
        <v>12</v>
      </c>
      <c r="N5" s="204" t="str">
        <f t="shared" ref="N5:N11" si="1">Currency&amp;$L5&amp;$M5&amp;$K5</f>
        <v>USD1S12</v>
      </c>
      <c r="O5" s="204" t="str">
        <f t="array" ref="O5:O11">Instruments&amp;"="&amp;VLOOKUP(Contributor,ContributorTable,2,FALSE)</f>
        <v>USD1S12=ICAP</v>
      </c>
      <c r="P5" s="199">
        <v>0.25600000000000001</v>
      </c>
      <c r="Q5" s="199">
        <v>0.30599999999999999</v>
      </c>
      <c r="R5" s="199">
        <v>0</v>
      </c>
      <c r="S5" s="199">
        <v>0</v>
      </c>
      <c r="T5" s="203">
        <f>_xll.qlMidSafe($P5,$Q5)</f>
        <v>0.28100000000000003</v>
      </c>
      <c r="U5" s="201"/>
      <c r="V5" s="202">
        <v>0.317</v>
      </c>
      <c r="W5" s="201"/>
      <c r="X5" s="274">
        <f t="array" ref="X5:X11">QuoteLive</f>
        <v>0.28100000000000003</v>
      </c>
      <c r="Y5" s="198">
        <f>_xll.qlSimpleQuoteSetValue(F5,X5/100,Trigger)</f>
        <v>0</v>
      </c>
      <c r="Z5" s="169"/>
      <c r="AB5" s="236">
        <f t="shared" ref="AB5:AB11" si="2">(Q5-T5)/50</f>
        <v>4.9999999999999936E-4</v>
      </c>
    </row>
    <row r="6" spans="1:28" x14ac:dyDescent="0.2">
      <c r="A6" s="96"/>
      <c r="B6" s="151"/>
      <c r="C6" s="141" t="s">
        <v>176</v>
      </c>
      <c r="D6" s="141">
        <v>12</v>
      </c>
      <c r="E6" s="49" t="str">
        <f t="shared" si="0"/>
        <v>USD2S12_Quote</v>
      </c>
      <c r="F6" s="49" t="str">
        <f>_xll.qlSimpleQuote(Currency&amp;$C6&amp;$D6&amp;$B6&amp;QuoteSuffix,,RateTickValue,Permanent,Trigger,ObjectOverwrite)</f>
        <v>USD2S12_Quote#0000</v>
      </c>
      <c r="G6" s="140" t="str">
        <f>_xll.ohRangeRetrieveError(F6)</f>
        <v/>
      </c>
      <c r="H6" s="23"/>
      <c r="J6" s="96"/>
      <c r="K6" s="200"/>
      <c r="L6" s="254" t="s">
        <v>176</v>
      </c>
      <c r="M6" s="254">
        <v>12</v>
      </c>
      <c r="N6" s="204" t="str">
        <f t="shared" si="1"/>
        <v>USD2S12</v>
      </c>
      <c r="O6" s="204" t="str">
        <v>USD2S12=ICAP</v>
      </c>
      <c r="P6" s="199">
        <v>0.34300000000000003</v>
      </c>
      <c r="Q6" s="199">
        <v>0.39300000000000002</v>
      </c>
      <c r="R6" s="199">
        <v>0</v>
      </c>
      <c r="S6" s="199">
        <v>0</v>
      </c>
      <c r="T6" s="203">
        <f>_xll.qlMidSafe($P6,$Q6)</f>
        <v>0.36799999999999999</v>
      </c>
      <c r="U6" s="201"/>
      <c r="V6" s="202">
        <v>0.36899999999999999</v>
      </c>
      <c r="W6" s="201"/>
      <c r="X6" s="274">
        <v>0.36799999999999999</v>
      </c>
      <c r="Y6" s="198">
        <f>_xll.qlSimpleQuoteSetValue(F6,X6/100,Trigger)</f>
        <v>0</v>
      </c>
      <c r="Z6" s="169"/>
      <c r="AB6" s="236">
        <f t="shared" si="2"/>
        <v>5.0000000000000044E-4</v>
      </c>
    </row>
    <row r="7" spans="1:28" x14ac:dyDescent="0.2">
      <c r="A7" s="96"/>
      <c r="B7" s="151"/>
      <c r="C7" s="141" t="s">
        <v>178</v>
      </c>
      <c r="D7" s="141">
        <v>12</v>
      </c>
      <c r="E7" s="49" t="str">
        <f t="shared" si="0"/>
        <v>USD3S12_Quote</v>
      </c>
      <c r="F7" s="49" t="str">
        <f>_xll.qlSimpleQuote(Currency&amp;$C7&amp;$D7&amp;$B7&amp;QuoteSuffix,,RateTickValue,Permanent,Trigger,ObjectOverwrite)</f>
        <v>USD3S12_Quote#0000</v>
      </c>
      <c r="G7" s="140" t="str">
        <f>_xll.ohRangeRetrieveError(F7)</f>
        <v/>
      </c>
      <c r="H7" s="23"/>
      <c r="J7" s="96"/>
      <c r="K7" s="200"/>
      <c r="L7" s="254" t="s">
        <v>178</v>
      </c>
      <c r="M7" s="254">
        <v>12</v>
      </c>
      <c r="N7" s="204" t="str">
        <f t="shared" si="1"/>
        <v>USD3S12</v>
      </c>
      <c r="O7" s="204" t="str">
        <v>USD3S12=ICAP</v>
      </c>
      <c r="P7" s="199">
        <v>0.48499999999999999</v>
      </c>
      <c r="Q7" s="199">
        <v>0.53500000000000003</v>
      </c>
      <c r="R7" s="199">
        <v>0</v>
      </c>
      <c r="S7" s="199">
        <v>0</v>
      </c>
      <c r="T7" s="203">
        <f>_xll.qlMidSafe($P7,$Q7)</f>
        <v>0.51</v>
      </c>
      <c r="U7" s="201"/>
      <c r="V7" s="202">
        <v>0.434</v>
      </c>
      <c r="W7" s="201"/>
      <c r="X7" s="274">
        <v>0.51</v>
      </c>
      <c r="Y7" s="198">
        <f>_xll.qlSimpleQuoteSetValue(F7,X7/100,Trigger)</f>
        <v>-9.9999999999995925E-6</v>
      </c>
      <c r="Z7" s="169"/>
      <c r="AB7" s="236">
        <f t="shared" si="2"/>
        <v>5.0000000000000044E-4</v>
      </c>
    </row>
    <row r="8" spans="1:28" x14ac:dyDescent="0.2">
      <c r="A8" s="96"/>
      <c r="B8" s="151"/>
      <c r="C8" s="141" t="s">
        <v>177</v>
      </c>
      <c r="D8" s="141">
        <v>12</v>
      </c>
      <c r="E8" s="49" t="str">
        <f t="shared" si="0"/>
        <v>USD4S12_Quote</v>
      </c>
      <c r="F8" s="49" t="str">
        <f>_xll.qlSimpleQuote(Currency&amp;$C8&amp;$D8&amp;$B8&amp;QuoteSuffix,,RateTickValue,Permanent,Trigger,ObjectOverwrite)</f>
        <v>USD4S12_Quote#0000</v>
      </c>
      <c r="G8" s="140" t="str">
        <f>_xll.ohRangeRetrieveError(F8)</f>
        <v/>
      </c>
      <c r="H8" s="23"/>
      <c r="J8" s="96"/>
      <c r="K8" s="200"/>
      <c r="L8" s="254" t="s">
        <v>177</v>
      </c>
      <c r="M8" s="254">
        <v>12</v>
      </c>
      <c r="N8" s="204" t="str">
        <f t="shared" si="1"/>
        <v>USD4S12</v>
      </c>
      <c r="O8" s="204" t="str">
        <v>USD4S12=ICAP</v>
      </c>
      <c r="P8" s="199">
        <v>0.68500000000000005</v>
      </c>
      <c r="Q8" s="199">
        <v>0.73499999999999999</v>
      </c>
      <c r="R8" s="199">
        <v>0</v>
      </c>
      <c r="S8" s="199">
        <v>0</v>
      </c>
      <c r="T8" s="203">
        <f>_xll.qlMidSafe($P8,$Q8)</f>
        <v>0.71</v>
      </c>
      <c r="U8" s="201"/>
      <c r="V8" s="202">
        <v>0.51900000000000002</v>
      </c>
      <c r="W8" s="201"/>
      <c r="X8" s="274">
        <v>0.71</v>
      </c>
      <c r="Y8" s="198">
        <f>_xll.qlSimpleQuoteSetValue(F8,X8/100,Trigger)</f>
        <v>-1.0000000000001327E-5</v>
      </c>
      <c r="Z8" s="169"/>
      <c r="AB8" s="236">
        <f t="shared" si="2"/>
        <v>5.0000000000000044E-4</v>
      </c>
    </row>
    <row r="9" spans="1:28" x14ac:dyDescent="0.2">
      <c r="A9" s="96"/>
      <c r="B9" s="151"/>
      <c r="C9" s="141" t="s">
        <v>175</v>
      </c>
      <c r="D9" s="141">
        <v>24</v>
      </c>
      <c r="E9" s="49" t="str">
        <f t="shared" si="0"/>
        <v>USD1S24_Quote</v>
      </c>
      <c r="F9" s="49" t="str">
        <f>_xll.qlSimpleQuote(Currency&amp;$C9&amp;$D9&amp;$B9&amp;QuoteSuffix,,RateTickValue,Permanent,Trigger,ObjectOverwrite)</f>
        <v>USD1S24_Quote#0000</v>
      </c>
      <c r="G9" s="140" t="str">
        <f>_xll.ohRangeRetrieveError(F9)</f>
        <v/>
      </c>
      <c r="H9" s="23"/>
      <c r="J9" s="96"/>
      <c r="K9" s="200"/>
      <c r="L9" s="254" t="s">
        <v>175</v>
      </c>
      <c r="M9" s="254">
        <v>24</v>
      </c>
      <c r="N9" s="204" t="str">
        <f t="shared" si="1"/>
        <v>USD1S24</v>
      </c>
      <c r="O9" s="204" t="str">
        <v>USD1S24=ICAP</v>
      </c>
      <c r="P9" s="199" t="s">
        <v>213</v>
      </c>
      <c r="Q9" s="199" t="s">
        <v>213</v>
      </c>
      <c r="R9" s="199" t="s">
        <v>213</v>
      </c>
      <c r="S9" s="199" t="s">
        <v>213</v>
      </c>
      <c r="T9" s="203" t="e">
        <f>_xll.qlMidSafe($P9,$Q9)</f>
        <v>#NUM!</v>
      </c>
      <c r="U9" s="201"/>
      <c r="V9" s="202" t="e">
        <v>#NUM!</v>
      </c>
      <c r="W9" s="201"/>
      <c r="X9" s="274" t="e">
        <v>#NUM!</v>
      </c>
      <c r="Y9" s="198" t="e">
        <f>_xll.qlSimpleQuoteSetValue(F9,X9/100,Trigger)</f>
        <v>#NUM!</v>
      </c>
      <c r="Z9" s="169"/>
      <c r="AB9" s="236" t="e">
        <f t="shared" si="2"/>
        <v>#VALUE!</v>
      </c>
    </row>
    <row r="10" spans="1:28" x14ac:dyDescent="0.2">
      <c r="A10" s="96"/>
      <c r="B10" s="151"/>
      <c r="C10" s="141" t="s">
        <v>176</v>
      </c>
      <c r="D10" s="141">
        <v>24</v>
      </c>
      <c r="E10" s="49" t="str">
        <f t="shared" si="0"/>
        <v>USD2S24_Quote</v>
      </c>
      <c r="F10" s="49" t="str">
        <f>_xll.qlSimpleQuote(Currency&amp;$C10&amp;$D10&amp;$B10&amp;QuoteSuffix,,RateTickValue,Permanent,Trigger,ObjectOverwrite)</f>
        <v>USD2S24_Quote#0000</v>
      </c>
      <c r="G10" s="140" t="str">
        <f>_xll.ohRangeRetrieveError(F10)</f>
        <v/>
      </c>
      <c r="H10" s="23"/>
      <c r="J10" s="96"/>
      <c r="K10" s="200"/>
      <c r="L10" s="254" t="s">
        <v>176</v>
      </c>
      <c r="M10" s="254">
        <v>24</v>
      </c>
      <c r="N10" s="204" t="str">
        <f t="shared" si="1"/>
        <v>USD2S24</v>
      </c>
      <c r="O10" s="204" t="str">
        <v>USD2S24=ICAP</v>
      </c>
      <c r="P10" s="199" t="s">
        <v>213</v>
      </c>
      <c r="Q10" s="199" t="s">
        <v>213</v>
      </c>
      <c r="R10" s="199" t="s">
        <v>213</v>
      </c>
      <c r="S10" s="199" t="s">
        <v>213</v>
      </c>
      <c r="T10" s="203" t="e">
        <f>_xll.qlMidSafe($P10,$Q10)</f>
        <v>#NUM!</v>
      </c>
      <c r="U10" s="201"/>
      <c r="V10" s="202" t="e">
        <v>#NUM!</v>
      </c>
      <c r="W10" s="201"/>
      <c r="X10" s="274" t="e">
        <v>#NUM!</v>
      </c>
      <c r="Y10" s="198" t="e">
        <f>_xll.qlSimpleQuoteSetValue(F10,X10/100,Trigger)</f>
        <v>#NUM!</v>
      </c>
      <c r="Z10" s="169"/>
      <c r="AB10" s="236" t="e">
        <f t="shared" si="2"/>
        <v>#VALUE!</v>
      </c>
    </row>
    <row r="11" spans="1:28" x14ac:dyDescent="0.2">
      <c r="A11" s="96"/>
      <c r="B11" s="151"/>
      <c r="C11" s="141" t="s">
        <v>175</v>
      </c>
      <c r="D11" s="141">
        <v>36</v>
      </c>
      <c r="E11" s="49" t="str">
        <f t="shared" si="0"/>
        <v>USD1S36_Quote</v>
      </c>
      <c r="F11" s="49" t="str">
        <f>_xll.qlSimpleQuote(Currency&amp;$C11&amp;$D11&amp;$B11&amp;QuoteSuffix,,RateTickValue,Permanent,Trigger,ObjectOverwrite)</f>
        <v>USD1S36_Quote#0000</v>
      </c>
      <c r="G11" s="140" t="str">
        <f>_xll.ohRangeRetrieveError(F11)</f>
        <v/>
      </c>
      <c r="H11" s="23"/>
      <c r="J11" s="96"/>
      <c r="K11" s="213"/>
      <c r="L11" s="249" t="s">
        <v>175</v>
      </c>
      <c r="M11" s="249">
        <v>36</v>
      </c>
      <c r="N11" s="216" t="str">
        <f t="shared" si="1"/>
        <v>USD1S36</v>
      </c>
      <c r="O11" s="216" t="str">
        <v>USD1S36=ICAP</v>
      </c>
      <c r="P11" s="212" t="s">
        <v>213</v>
      </c>
      <c r="Q11" s="212" t="s">
        <v>213</v>
      </c>
      <c r="R11" s="212" t="s">
        <v>213</v>
      </c>
      <c r="S11" s="212" t="s">
        <v>213</v>
      </c>
      <c r="T11" s="215" t="e">
        <f>_xll.qlMidSafe($P11,$Q11)</f>
        <v>#NUM!</v>
      </c>
      <c r="U11" s="201"/>
      <c r="V11" s="214" t="e">
        <v>#NUM!</v>
      </c>
      <c r="W11" s="201"/>
      <c r="X11" s="267" t="e">
        <v>#NUM!</v>
      </c>
      <c r="Y11" s="211" t="e">
        <f>_xll.qlSimpleQuoteSetValue(F11,X11/100,Trigger)</f>
        <v>#NUM!</v>
      </c>
      <c r="Z11" s="169"/>
      <c r="AB11" s="236" t="e">
        <f t="shared" si="2"/>
        <v>#VALUE!</v>
      </c>
    </row>
    <row r="12" spans="1:28" ht="13.5" thickBot="1" x14ac:dyDescent="0.25">
      <c r="A12" s="22"/>
      <c r="B12" s="21"/>
      <c r="C12" s="21"/>
      <c r="D12" s="21"/>
      <c r="E12" s="21"/>
      <c r="F12" s="90"/>
      <c r="G12" s="90"/>
      <c r="H12" s="20"/>
      <c r="J12" s="22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37"/>
    </row>
  </sheetData>
  <conditionalFormatting sqref="Y5:Y11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J43"/>
  <sheetViews>
    <sheetView topLeftCell="L22" workbookViewId="0">
      <selection activeCell="S42" sqref="S42"/>
    </sheetView>
  </sheetViews>
  <sheetFormatPr defaultRowHeight="12.75" x14ac:dyDescent="0.2"/>
  <cols>
    <col min="1" max="1" width="2.7109375" style="12" customWidth="1"/>
    <col min="2" max="2" width="6.5703125" style="89" bestFit="1" customWidth="1"/>
    <col min="3" max="3" width="3.140625" style="12" bestFit="1" customWidth="1"/>
    <col min="4" max="4" width="2.7109375" style="12" bestFit="1" customWidth="1"/>
    <col min="5" max="5" width="18" style="12" bestFit="1" customWidth="1"/>
    <col min="6" max="6" width="20.140625" style="88" bestFit="1" customWidth="1"/>
    <col min="7" max="7" width="38.28515625" style="12" customWidth="1"/>
    <col min="8" max="9" width="2.7109375" style="12" customWidth="1"/>
    <col min="10" max="10" width="4.140625" style="12" bestFit="1" customWidth="1"/>
    <col min="11" max="11" width="3.28515625" style="12" bestFit="1" customWidth="1"/>
    <col min="12" max="12" width="9.5703125" style="12" bestFit="1" customWidth="1"/>
    <col min="13" max="14" width="2.7109375" style="12" customWidth="1"/>
    <col min="15" max="17" width="9.140625" style="432"/>
    <col min="18" max="18" width="10.85546875" style="12" bestFit="1" customWidth="1"/>
    <col min="19" max="19" width="16.5703125" style="12" customWidth="1"/>
    <col min="20" max="24" width="9.140625" style="12"/>
    <col min="25" max="25" width="2.7109375" style="12" customWidth="1"/>
    <col min="26" max="26" width="9.140625" style="12"/>
    <col min="27" max="27" width="2.7109375" style="12" customWidth="1"/>
    <col min="28" max="29" width="9.140625" style="12"/>
    <col min="30" max="31" width="2.7109375" style="12" customWidth="1"/>
    <col min="32" max="16384" width="9.140625" style="12"/>
  </cols>
  <sheetData>
    <row r="1" spans="1:36" x14ac:dyDescent="0.2">
      <c r="N1" s="265" t="s">
        <v>280</v>
      </c>
      <c r="O1" s="290"/>
      <c r="P1" s="290"/>
      <c r="Q1" s="290"/>
      <c r="R1" s="150"/>
      <c r="S1" s="150" t="s">
        <v>255</v>
      </c>
      <c r="T1" s="150"/>
      <c r="U1" s="150"/>
      <c r="V1" s="150"/>
      <c r="W1" s="150"/>
      <c r="X1" s="150"/>
      <c r="Y1" s="150"/>
      <c r="Z1" s="150"/>
      <c r="AA1" s="150"/>
      <c r="AB1" s="150"/>
      <c r="AC1" s="150"/>
      <c r="AD1" s="147"/>
      <c r="AE1" s="13"/>
      <c r="AF1" s="13"/>
      <c r="AG1" s="13"/>
      <c r="AH1" s="13"/>
      <c r="AI1" s="13"/>
      <c r="AJ1" s="13"/>
    </row>
    <row r="2" spans="1:36" x14ac:dyDescent="0.2">
      <c r="N2" s="234"/>
      <c r="O2" s="201"/>
      <c r="P2" s="201"/>
      <c r="Q2" s="201"/>
      <c r="R2" s="201"/>
      <c r="S2" s="118" t="s">
        <v>214</v>
      </c>
      <c r="T2" s="201"/>
      <c r="U2" s="201"/>
      <c r="V2" s="201"/>
      <c r="W2" s="201"/>
      <c r="X2" s="111"/>
      <c r="Y2" s="201"/>
      <c r="Z2" s="201"/>
      <c r="AA2" s="201"/>
      <c r="AB2" s="201"/>
      <c r="AC2" s="111"/>
      <c r="AD2" s="23"/>
      <c r="AE2" s="13"/>
      <c r="AF2" s="13"/>
      <c r="AG2" s="13"/>
      <c r="AH2" s="13"/>
      <c r="AI2" s="13"/>
      <c r="AJ2" s="13"/>
    </row>
    <row r="3" spans="1:36" ht="13.5" thickBot="1" x14ac:dyDescent="0.25">
      <c r="N3" s="96"/>
      <c r="O3" s="201"/>
      <c r="P3" s="201"/>
      <c r="Q3" s="201"/>
      <c r="R3" s="111"/>
      <c r="S3" s="111"/>
      <c r="T3" s="111"/>
      <c r="U3" s="111"/>
      <c r="V3" s="111"/>
      <c r="W3" s="111"/>
      <c r="X3" s="111"/>
      <c r="Y3" s="201"/>
      <c r="Z3" s="201"/>
      <c r="AA3" s="201"/>
      <c r="AB3" s="111"/>
      <c r="AC3" s="231">
        <f>_xll.ohTrigger(AC5:AC42)</f>
        <v>145</v>
      </c>
      <c r="AD3" s="169"/>
      <c r="AE3" s="13"/>
      <c r="AF3" s="13"/>
      <c r="AG3" s="13"/>
      <c r="AH3" s="13"/>
      <c r="AI3" s="13"/>
      <c r="AJ3" s="13"/>
    </row>
    <row r="4" spans="1:36" ht="23.25" thickBot="1" x14ac:dyDescent="0.25">
      <c r="A4" s="168" t="s">
        <v>186</v>
      </c>
      <c r="B4" s="150"/>
      <c r="C4" s="150"/>
      <c r="D4" s="150"/>
      <c r="E4" s="148"/>
      <c r="F4" s="149"/>
      <c r="G4" s="148"/>
      <c r="H4" s="147"/>
      <c r="N4" s="96"/>
      <c r="O4" s="263"/>
      <c r="P4" s="145"/>
      <c r="Q4" s="145"/>
      <c r="R4" s="145"/>
      <c r="S4" s="196" t="str">
        <f>_xll.RData(S5:S42,T4:W4,"RTFEED:IDN",ReutersRtMode,,T5)</f>
        <v>Updated at 16:55:17</v>
      </c>
      <c r="T4" s="262" t="s">
        <v>201</v>
      </c>
      <c r="U4" s="262" t="s">
        <v>200</v>
      </c>
      <c r="V4" s="262" t="s">
        <v>218</v>
      </c>
      <c r="W4" s="262" t="s">
        <v>236</v>
      </c>
      <c r="X4" s="227" t="s">
        <v>235</v>
      </c>
      <c r="Y4" s="201"/>
      <c r="Z4" s="229" t="s">
        <v>231</v>
      </c>
      <c r="AA4" s="201"/>
      <c r="AB4" s="431" t="s">
        <v>229</v>
      </c>
      <c r="AC4" s="67" t="s">
        <v>228</v>
      </c>
      <c r="AD4" s="169"/>
      <c r="AE4" s="13"/>
      <c r="AF4" s="13"/>
      <c r="AG4" s="13"/>
      <c r="AH4" s="13"/>
      <c r="AI4" s="13"/>
      <c r="AJ4" s="260" t="s">
        <v>234</v>
      </c>
    </row>
    <row r="5" spans="1:36" x14ac:dyDescent="0.2">
      <c r="A5" s="96"/>
      <c r="B5" s="66" t="s">
        <v>109</v>
      </c>
      <c r="C5" s="66"/>
      <c r="D5" s="66"/>
      <c r="E5" s="65" t="str">
        <f>Currency&amp;"_010_Sw"&amp;$C$6&amp;$D$6&amp;".xml"</f>
        <v>USD_010_SwAM3L.xml</v>
      </c>
      <c r="F5" s="64" t="str">
        <f>IF(Serialize,_xll.ohObjectSave(F6:F42,SerializationPath&amp;E5,FileOverwrite,Serialize),"---")</f>
        <v>---</v>
      </c>
      <c r="G5" s="48" t="str">
        <f>_xll.ohRangeRetrieveError(F5)</f>
        <v/>
      </c>
      <c r="H5" s="23"/>
      <c r="J5" s="159" t="s">
        <v>184</v>
      </c>
      <c r="K5" s="158" t="s">
        <v>183</v>
      </c>
      <c r="L5" s="157" t="s">
        <v>182</v>
      </c>
      <c r="N5" s="96"/>
      <c r="O5" s="205" t="s">
        <v>14</v>
      </c>
      <c r="P5" s="254" t="str">
        <f t="array" ref="P5:P42">VLOOKUP(Currency,Conventions,2)</f>
        <v>AM</v>
      </c>
      <c r="Q5" s="254" t="str">
        <f t="array" ref="Q5:Q42">VLOOKUP(Currency,Conventions,3)</f>
        <v>3L</v>
      </c>
      <c r="R5" s="252" t="str">
        <f t="shared" ref="R5:R42" si="0">Currency&amp;$P5&amp;$Q5&amp;$O5</f>
        <v>USDAM3L6M</v>
      </c>
      <c r="S5" s="252" t="str">
        <f t="array" ref="S5:S42">Instruments&amp;"="&amp;VLOOKUP(Contributor,ContributorTable,2,FALSE)</f>
        <v>USDAM3L6M=ICAP</v>
      </c>
      <c r="T5" s="199" t="s">
        <v>213</v>
      </c>
      <c r="U5" s="199" t="s">
        <v>213</v>
      </c>
      <c r="V5" s="199" t="s">
        <v>213</v>
      </c>
      <c r="W5" s="199" t="s">
        <v>213</v>
      </c>
      <c r="X5" s="203" t="e">
        <f>_xll.qlMidSafe($T5,$U5)</f>
        <v>#NUM!</v>
      </c>
      <c r="Y5" s="201"/>
      <c r="Z5" s="202" t="e">
        <v>#NUM!</v>
      </c>
      <c r="AA5" s="201"/>
      <c r="AB5" s="274" t="e">
        <f t="array" ref="AB5:AB42">QuoteLive</f>
        <v>#NUM!</v>
      </c>
      <c r="AC5" s="435" t="e">
        <f>_xll.qlSimpleQuoteSetValue(F5,AB5/100,Trigger)</f>
        <v>#NUM!</v>
      </c>
      <c r="AD5" s="169"/>
      <c r="AE5" s="13"/>
      <c r="AF5" s="315" t="s">
        <v>105</v>
      </c>
      <c r="AG5" s="61" t="s">
        <v>181</v>
      </c>
      <c r="AH5" s="60" t="s">
        <v>98</v>
      </c>
      <c r="AI5" s="13"/>
      <c r="AJ5" s="236" t="e">
        <f t="shared" ref="AJ5:AJ42" si="1">(U5-X5)/50</f>
        <v>#VALUE!</v>
      </c>
    </row>
    <row r="6" spans="1:36" x14ac:dyDescent="0.2">
      <c r="A6" s="96"/>
      <c r="B6" s="144" t="s">
        <v>8</v>
      </c>
      <c r="C6" s="51" t="str">
        <f t="array" ref="C6:C42">VLOOKUP(Currency,SwapMainSetConventions,2)</f>
        <v>AM</v>
      </c>
      <c r="D6" s="51" t="str">
        <f t="array" ref="D6:D42">VLOOKUP(Currency,SwapMainSetConventions,3)</f>
        <v>3L</v>
      </c>
      <c r="E6" s="49" t="str">
        <f t="shared" ref="E6:E42" si="2">Currency&amp;$C6&amp;$D6&amp;$B6&amp;QuoteSuffix</f>
        <v>USDAM3L1Y_Quote</v>
      </c>
      <c r="F6" s="49" t="str">
        <f>_xll.qlSimpleQuote(Currency&amp;$C6&amp;$D6&amp;$B6&amp;QuoteSuffix,,RateTickValue,Permanent,Trigger,ObjectOverwrite)</f>
        <v>USDAM3L1Y_Quote#0000</v>
      </c>
      <c r="G6" s="16" t="str">
        <f>_xll.ohRangeRetrieveError(F6)</f>
        <v/>
      </c>
      <c r="H6" s="23"/>
      <c r="J6" s="156" t="s">
        <v>105</v>
      </c>
      <c r="K6" s="58" t="s">
        <v>181</v>
      </c>
      <c r="L6" s="57" t="s">
        <v>98</v>
      </c>
      <c r="N6" s="96"/>
      <c r="O6" s="205" t="s">
        <v>8</v>
      </c>
      <c r="P6" s="254" t="str">
        <v>AM</v>
      </c>
      <c r="Q6" s="254" t="str">
        <v>3L</v>
      </c>
      <c r="R6" s="252" t="str">
        <f t="shared" si="0"/>
        <v>USDAM3L1Y</v>
      </c>
      <c r="S6" s="252" t="str">
        <v>USDAM3L1Y=ICAP</v>
      </c>
      <c r="T6" s="199">
        <v>0.245</v>
      </c>
      <c r="U6" s="199">
        <v>0.27500000000000002</v>
      </c>
      <c r="V6" s="199">
        <v>0</v>
      </c>
      <c r="W6" s="199">
        <v>0</v>
      </c>
      <c r="X6" s="203">
        <f>_xll.qlMidSafe($T6,$U6)</f>
        <v>0.26</v>
      </c>
      <c r="Y6" s="201"/>
      <c r="Z6" s="202">
        <v>0.26</v>
      </c>
      <c r="AA6" s="201"/>
      <c r="AB6" s="274">
        <v>0.26</v>
      </c>
      <c r="AC6" s="198">
        <f>_xll.qlSimpleQuoteSetValue(F6,AB6/100,Trigger)</f>
        <v>0</v>
      </c>
      <c r="AD6" s="169"/>
      <c r="AE6" s="13"/>
      <c r="AF6" s="156" t="s">
        <v>104</v>
      </c>
      <c r="AG6" s="58" t="s">
        <v>181</v>
      </c>
      <c r="AH6" s="57" t="s">
        <v>110</v>
      </c>
      <c r="AI6" s="13"/>
      <c r="AJ6" s="236">
        <f t="shared" si="1"/>
        <v>3.0000000000000024E-4</v>
      </c>
    </row>
    <row r="7" spans="1:36" x14ac:dyDescent="0.2">
      <c r="A7" s="96"/>
      <c r="B7" s="143" t="s">
        <v>108</v>
      </c>
      <c r="C7" s="51" t="str">
        <v>AM</v>
      </c>
      <c r="D7" s="51" t="str">
        <v>3L</v>
      </c>
      <c r="E7" s="49" t="str">
        <f t="shared" si="2"/>
        <v>USDAM3L15M_Quote</v>
      </c>
      <c r="F7" s="49" t="str">
        <f>_xll.qlSimpleQuote(Currency&amp;$C7&amp;$D7&amp;$B7&amp;QuoteSuffix,,RateTickValue,Permanent,Trigger,ObjectOverwrite)</f>
        <v>USDAM3L15M_Quote#0000</v>
      </c>
      <c r="G7" s="140" t="str">
        <f>_xll.ohRangeRetrieveError(F7)</f>
        <v/>
      </c>
      <c r="H7" s="23"/>
      <c r="J7" s="156" t="s">
        <v>104</v>
      </c>
      <c r="K7" s="58" t="s">
        <v>181</v>
      </c>
      <c r="L7" s="57" t="s">
        <v>110</v>
      </c>
      <c r="N7" s="96"/>
      <c r="O7" s="205" t="s">
        <v>108</v>
      </c>
      <c r="P7" s="254" t="str">
        <v>AM</v>
      </c>
      <c r="Q7" s="254" t="str">
        <v>3L</v>
      </c>
      <c r="R7" s="252" t="str">
        <f t="shared" si="0"/>
        <v>USDAM3L15M</v>
      </c>
      <c r="S7" s="252" t="str">
        <v>USDAM3L15M=ICAP</v>
      </c>
      <c r="T7" s="199" t="s">
        <v>213</v>
      </c>
      <c r="U7" s="199" t="s">
        <v>213</v>
      </c>
      <c r="V7" s="199" t="s">
        <v>213</v>
      </c>
      <c r="W7" s="199" t="s">
        <v>213</v>
      </c>
      <c r="X7" s="203" t="e">
        <f>_xll.qlMidSafe($T7,$U7)</f>
        <v>#NUM!</v>
      </c>
      <c r="Y7" s="201"/>
      <c r="Z7" s="202" t="e">
        <v>#NUM!</v>
      </c>
      <c r="AA7" s="201"/>
      <c r="AB7" s="274" t="e">
        <v>#NUM!</v>
      </c>
      <c r="AC7" s="198" t="e">
        <f>_xll.qlSimpleQuoteSetValue(F7,AB7/100,Trigger)</f>
        <v>#NUM!</v>
      </c>
      <c r="AD7" s="169"/>
      <c r="AE7" s="13"/>
      <c r="AF7" s="156" t="s">
        <v>101</v>
      </c>
      <c r="AG7" s="58" t="s">
        <v>179</v>
      </c>
      <c r="AH7" s="57" t="s">
        <v>98</v>
      </c>
      <c r="AI7" s="13"/>
      <c r="AJ7" s="236" t="e">
        <f t="shared" si="1"/>
        <v>#VALUE!</v>
      </c>
    </row>
    <row r="8" spans="1:36" x14ac:dyDescent="0.2">
      <c r="A8" s="96"/>
      <c r="B8" s="143" t="s">
        <v>107</v>
      </c>
      <c r="C8" s="51" t="str">
        <v>AM</v>
      </c>
      <c r="D8" s="51" t="str">
        <v>3L</v>
      </c>
      <c r="E8" s="49" t="str">
        <f t="shared" si="2"/>
        <v>USDAM3L18M_Quote</v>
      </c>
      <c r="F8" s="49" t="str">
        <f>_xll.qlSimpleQuote(Currency&amp;$C8&amp;$D8&amp;$B8&amp;QuoteSuffix,,RateTickValue,Permanent,Trigger,ObjectOverwrite)</f>
        <v>USDAM3L18M_Quote#0000</v>
      </c>
      <c r="G8" s="140" t="str">
        <f>_xll.ohRangeRetrieveError(F8)</f>
        <v/>
      </c>
      <c r="H8" s="23"/>
      <c r="J8" s="156" t="s">
        <v>101</v>
      </c>
      <c r="K8" s="58" t="s">
        <v>179</v>
      </c>
      <c r="L8" s="57" t="s">
        <v>98</v>
      </c>
      <c r="N8" s="96"/>
      <c r="O8" s="205" t="s">
        <v>107</v>
      </c>
      <c r="P8" s="254" t="str">
        <v>AM</v>
      </c>
      <c r="Q8" s="254" t="str">
        <v>3L</v>
      </c>
      <c r="R8" s="252" t="str">
        <f t="shared" si="0"/>
        <v>USDAM3L18M</v>
      </c>
      <c r="S8" s="252" t="str">
        <v>USDAM3L18M=ICAP</v>
      </c>
      <c r="T8" s="199" t="s">
        <v>213</v>
      </c>
      <c r="U8" s="199" t="s">
        <v>213</v>
      </c>
      <c r="V8" s="199" t="s">
        <v>213</v>
      </c>
      <c r="W8" s="199" t="s">
        <v>213</v>
      </c>
      <c r="X8" s="203" t="e">
        <f>_xll.qlMidSafe($T8,$U8)</f>
        <v>#NUM!</v>
      </c>
      <c r="Y8" s="201"/>
      <c r="Z8" s="202" t="e">
        <v>#NUM!</v>
      </c>
      <c r="AA8" s="201"/>
      <c r="AB8" s="274" t="e">
        <v>#NUM!</v>
      </c>
      <c r="AC8" s="198" t="e">
        <f>_xll.qlSimpleQuoteSetValue(F8,AB8/100,Trigger)</f>
        <v>#NUM!</v>
      </c>
      <c r="AD8" s="169"/>
      <c r="AE8" s="13"/>
      <c r="AF8" s="156" t="s">
        <v>100</v>
      </c>
      <c r="AG8" s="58" t="s">
        <v>180</v>
      </c>
      <c r="AH8" s="57" t="s">
        <v>98</v>
      </c>
      <c r="AI8" s="13"/>
      <c r="AJ8" s="236" t="e">
        <f t="shared" si="1"/>
        <v>#VALUE!</v>
      </c>
    </row>
    <row r="9" spans="1:36" ht="13.5" thickBot="1" x14ac:dyDescent="0.25">
      <c r="A9" s="96"/>
      <c r="B9" s="143" t="s">
        <v>106</v>
      </c>
      <c r="C9" s="51" t="str">
        <v>AM</v>
      </c>
      <c r="D9" s="51" t="str">
        <v>3L</v>
      </c>
      <c r="E9" s="49" t="str">
        <f t="shared" si="2"/>
        <v>USDAM3L21M_Quote</v>
      </c>
      <c r="F9" s="49" t="str">
        <f>_xll.qlSimpleQuote(Currency&amp;$C9&amp;$D9&amp;$B9&amp;QuoteSuffix,,RateTickValue,Permanent,Trigger,ObjectOverwrite)</f>
        <v>USDAM3L21M_Quote#0000</v>
      </c>
      <c r="G9" s="140" t="str">
        <f>_xll.ohRangeRetrieveError(F9)</f>
        <v/>
      </c>
      <c r="H9" s="23"/>
      <c r="J9" s="156" t="s">
        <v>100</v>
      </c>
      <c r="K9" s="58" t="s">
        <v>180</v>
      </c>
      <c r="L9" s="57" t="s">
        <v>98</v>
      </c>
      <c r="N9" s="96"/>
      <c r="O9" s="205" t="s">
        <v>106</v>
      </c>
      <c r="P9" s="254" t="str">
        <v>AM</v>
      </c>
      <c r="Q9" s="254" t="str">
        <v>3L</v>
      </c>
      <c r="R9" s="252" t="str">
        <f t="shared" si="0"/>
        <v>USDAM3L21M</v>
      </c>
      <c r="S9" s="252" t="str">
        <v>USDAM3L21M=ICAP</v>
      </c>
      <c r="T9" s="199" t="s">
        <v>213</v>
      </c>
      <c r="U9" s="199" t="s">
        <v>213</v>
      </c>
      <c r="V9" s="199" t="s">
        <v>213</v>
      </c>
      <c r="W9" s="199" t="s">
        <v>213</v>
      </c>
      <c r="X9" s="203" t="e">
        <f>_xll.qlMidSafe($T9,$U9)</f>
        <v>#NUM!</v>
      </c>
      <c r="Y9" s="201"/>
      <c r="Z9" s="202" t="e">
        <v>#NUM!</v>
      </c>
      <c r="AA9" s="201"/>
      <c r="AB9" s="274" t="e">
        <v>#NUM!</v>
      </c>
      <c r="AC9" s="198" t="e">
        <f>_xll.qlSimpleQuoteSetValue(F9,AB9/100,Trigger)</f>
        <v>#NUM!</v>
      </c>
      <c r="AD9" s="169"/>
      <c r="AE9" s="13"/>
      <c r="AF9" s="155" t="s">
        <v>95</v>
      </c>
      <c r="AG9" s="55" t="s">
        <v>179</v>
      </c>
      <c r="AH9" s="54" t="s">
        <v>98</v>
      </c>
      <c r="AI9" s="13"/>
      <c r="AJ9" s="236" t="e">
        <f t="shared" si="1"/>
        <v>#VALUE!</v>
      </c>
    </row>
    <row r="10" spans="1:36" ht="13.5" thickBot="1" x14ac:dyDescent="0.25">
      <c r="A10" s="96"/>
      <c r="B10" s="143" t="s">
        <v>84</v>
      </c>
      <c r="C10" s="51" t="str">
        <v>AM</v>
      </c>
      <c r="D10" s="51" t="str">
        <v>3L</v>
      </c>
      <c r="E10" s="49" t="str">
        <f t="shared" si="2"/>
        <v>USDAM3L2Y_Quote</v>
      </c>
      <c r="F10" s="49" t="str">
        <f>_xll.qlSimpleQuote(Currency&amp;$C10&amp;$D10&amp;$B10&amp;QuoteSuffix,,RateTickValue,Permanent,Trigger,ObjectOverwrite)</f>
        <v>USDAM3L2Y_Quote#0000</v>
      </c>
      <c r="G10" s="140" t="str">
        <f>_xll.ohRangeRetrieveError(F10)</f>
        <v/>
      </c>
      <c r="H10" s="23"/>
      <c r="J10" s="155" t="s">
        <v>95</v>
      </c>
      <c r="K10" s="55" t="s">
        <v>179</v>
      </c>
      <c r="L10" s="54" t="s">
        <v>98</v>
      </c>
      <c r="N10" s="96"/>
      <c r="O10" s="205" t="s">
        <v>84</v>
      </c>
      <c r="P10" s="254" t="str">
        <v>AM</v>
      </c>
      <c r="Q10" s="254" t="str">
        <v>3L</v>
      </c>
      <c r="R10" s="252" t="str">
        <f t="shared" si="0"/>
        <v>USDAM3L2Y</v>
      </c>
      <c r="S10" s="252" t="str">
        <v>USDAM3L2Y=ICAP</v>
      </c>
      <c r="T10" s="199">
        <v>0.53900000000000003</v>
      </c>
      <c r="U10" s="199">
        <v>0.56899999999999995</v>
      </c>
      <c r="V10" s="199">
        <v>0</v>
      </c>
      <c r="W10" s="199">
        <v>0</v>
      </c>
      <c r="X10" s="203">
        <f>_xll.qlMidSafe($T10,$U10)</f>
        <v>0.55400000000000005</v>
      </c>
      <c r="Y10" s="201"/>
      <c r="Z10" s="202">
        <v>0.55400000000000005</v>
      </c>
      <c r="AA10" s="201"/>
      <c r="AB10" s="274">
        <v>0.55400000000000005</v>
      </c>
      <c r="AC10" s="198">
        <f>_xll.qlSimpleQuoteSetValue(F10,AB10/100,Trigger)</f>
        <v>0</v>
      </c>
      <c r="AD10" s="169"/>
      <c r="AE10" s="13"/>
      <c r="AF10" s="13"/>
      <c r="AG10" s="13"/>
      <c r="AH10" s="13"/>
      <c r="AI10" s="13"/>
      <c r="AJ10" s="236">
        <f t="shared" si="1"/>
        <v>2.9999999999999802E-4</v>
      </c>
    </row>
    <row r="11" spans="1:36" x14ac:dyDescent="0.2">
      <c r="A11" s="96"/>
      <c r="B11" s="143" t="s">
        <v>83</v>
      </c>
      <c r="C11" s="51" t="str">
        <v>AM</v>
      </c>
      <c r="D11" s="51" t="str">
        <v>3L</v>
      </c>
      <c r="E11" s="49" t="str">
        <f t="shared" si="2"/>
        <v>USDAM3L3Y_Quote</v>
      </c>
      <c r="F11" s="49" t="str">
        <f>_xll.qlSimpleQuote(Currency&amp;$C11&amp;$D11&amp;$B11&amp;QuoteSuffix,,RateTickValue,Permanent,Trigger,ObjectOverwrite)</f>
        <v>USDAM3L3Y_Quote#0000</v>
      </c>
      <c r="G11" s="140" t="str">
        <f>_xll.ohRangeRetrieveError(F11)</f>
        <v/>
      </c>
      <c r="H11" s="23"/>
      <c r="N11" s="96"/>
      <c r="O11" s="205" t="s">
        <v>83</v>
      </c>
      <c r="P11" s="58" t="str">
        <v>AM</v>
      </c>
      <c r="Q11" s="58" t="str">
        <v>3L</v>
      </c>
      <c r="R11" s="252" t="str">
        <f t="shared" si="0"/>
        <v>USDAM3L3Y</v>
      </c>
      <c r="S11" s="252" t="str">
        <v>USDAM3L3Y=ICAP</v>
      </c>
      <c r="T11" s="199">
        <v>0.98499999999999999</v>
      </c>
      <c r="U11" s="199">
        <v>1.0149999999999999</v>
      </c>
      <c r="V11" s="199">
        <v>0</v>
      </c>
      <c r="W11" s="199">
        <v>0</v>
      </c>
      <c r="X11" s="203">
        <f>_xll.qlMidSafe($T11,$U11)</f>
        <v>1</v>
      </c>
      <c r="Y11" s="201"/>
      <c r="Z11" s="202">
        <v>1.0009999999999999</v>
      </c>
      <c r="AA11" s="201"/>
      <c r="AB11" s="274">
        <v>1</v>
      </c>
      <c r="AC11" s="198">
        <f>_xll.qlSimpleQuoteSetValue(F11,AB11/100,Trigger)</f>
        <v>0</v>
      </c>
      <c r="AD11" s="169"/>
      <c r="AE11" s="13"/>
      <c r="AF11" s="13"/>
      <c r="AG11" s="13"/>
      <c r="AH11" s="13"/>
      <c r="AI11" s="13"/>
      <c r="AJ11" s="236">
        <f t="shared" si="1"/>
        <v>2.9999999999999802E-4</v>
      </c>
    </row>
    <row r="12" spans="1:36" x14ac:dyDescent="0.2">
      <c r="A12" s="96"/>
      <c r="B12" s="143" t="s">
        <v>82</v>
      </c>
      <c r="C12" s="51" t="str">
        <v>AM</v>
      </c>
      <c r="D12" s="51" t="str">
        <v>3L</v>
      </c>
      <c r="E12" s="49" t="str">
        <f t="shared" si="2"/>
        <v>USDAM3L4Y_Quote</v>
      </c>
      <c r="F12" s="49" t="str">
        <f>_xll.qlSimpleQuote(Currency&amp;$C12&amp;$D12&amp;$B12&amp;QuoteSuffix,,RateTickValue,Permanent,Trigger,ObjectOverwrite)</f>
        <v>USDAM3L4Y_Quote#0000</v>
      </c>
      <c r="G12" s="140" t="str">
        <f>_xll.ohRangeRetrieveError(F12)</f>
        <v/>
      </c>
      <c r="H12" s="23"/>
      <c r="N12" s="96"/>
      <c r="O12" s="205" t="s">
        <v>82</v>
      </c>
      <c r="P12" s="58" t="str">
        <v>AM</v>
      </c>
      <c r="Q12" s="58" t="str">
        <v>3L</v>
      </c>
      <c r="R12" s="252" t="str">
        <f t="shared" si="0"/>
        <v>USDAM3L4Y</v>
      </c>
      <c r="S12" s="252" t="str">
        <v>USDAM3L4Y=ICAP</v>
      </c>
      <c r="T12" s="199">
        <v>1.3959999999999999</v>
      </c>
      <c r="U12" s="199">
        <v>1.4259999999999999</v>
      </c>
      <c r="V12" s="199">
        <v>0</v>
      </c>
      <c r="W12" s="199">
        <v>0</v>
      </c>
      <c r="X12" s="203">
        <f>_xll.qlMidSafe($T12,$U12)</f>
        <v>1.411</v>
      </c>
      <c r="Y12" s="201"/>
      <c r="Z12" s="202">
        <v>1.4119999999999999</v>
      </c>
      <c r="AA12" s="201"/>
      <c r="AB12" s="274">
        <v>1.411</v>
      </c>
      <c r="AC12" s="198">
        <f>_xll.qlSimpleQuoteSetValue(F12,AB12/100,Trigger)</f>
        <v>0</v>
      </c>
      <c r="AD12" s="169"/>
      <c r="AE12" s="13"/>
      <c r="AF12" s="13"/>
      <c r="AG12" s="13"/>
      <c r="AH12" s="13"/>
      <c r="AI12" s="13"/>
      <c r="AJ12" s="236">
        <f t="shared" si="1"/>
        <v>2.9999999999999802E-4</v>
      </c>
    </row>
    <row r="13" spans="1:36" x14ac:dyDescent="0.2">
      <c r="A13" s="96"/>
      <c r="B13" s="143" t="s">
        <v>81</v>
      </c>
      <c r="C13" s="51" t="str">
        <v>AM</v>
      </c>
      <c r="D13" s="51" t="str">
        <v>3L</v>
      </c>
      <c r="E13" s="49" t="str">
        <f t="shared" si="2"/>
        <v>USDAM3L5Y_Quote</v>
      </c>
      <c r="F13" s="49" t="str">
        <f>_xll.qlSimpleQuote(Currency&amp;$C13&amp;$D13&amp;$B13&amp;QuoteSuffix,,RateTickValue,Permanent,Trigger,ObjectOverwrite)</f>
        <v>USDAM3L5Y_Quote#0000</v>
      </c>
      <c r="G13" s="140" t="str">
        <f>_xll.ohRangeRetrieveError(F13)</f>
        <v/>
      </c>
      <c r="H13" s="23"/>
      <c r="N13" s="96"/>
      <c r="O13" s="205" t="s">
        <v>81</v>
      </c>
      <c r="P13" s="58" t="str">
        <v>AM</v>
      </c>
      <c r="Q13" s="58" t="str">
        <v>3L</v>
      </c>
      <c r="R13" s="252" t="str">
        <f t="shared" si="0"/>
        <v>USDAM3L5Y</v>
      </c>
      <c r="S13" s="252" t="str">
        <v>USDAM3L5Y=ICAP</v>
      </c>
      <c r="T13" s="199">
        <v>1.7330000000000001</v>
      </c>
      <c r="U13" s="199">
        <v>1.7629999999999999</v>
      </c>
      <c r="V13" s="199">
        <v>0</v>
      </c>
      <c r="W13" s="199">
        <v>0</v>
      </c>
      <c r="X13" s="203">
        <f>_xll.qlMidSafe($T13,$U13)</f>
        <v>1.748</v>
      </c>
      <c r="Y13" s="201"/>
      <c r="Z13" s="202">
        <v>1.7490000000000001</v>
      </c>
      <c r="AA13" s="201"/>
      <c r="AB13" s="274">
        <v>1.748</v>
      </c>
      <c r="AC13" s="198">
        <f>_xll.qlSimpleQuoteSetValue(F13,AB13/100,Trigger)</f>
        <v>9.9999999999995925E-6</v>
      </c>
      <c r="AD13" s="169"/>
      <c r="AE13" s="13"/>
      <c r="AF13" s="13"/>
      <c r="AG13" s="13"/>
      <c r="AH13" s="13"/>
      <c r="AI13" s="13"/>
      <c r="AJ13" s="236">
        <f t="shared" si="1"/>
        <v>2.9999999999999802E-4</v>
      </c>
    </row>
    <row r="14" spans="1:36" x14ac:dyDescent="0.2">
      <c r="A14" s="96"/>
      <c r="B14" s="143" t="s">
        <v>80</v>
      </c>
      <c r="C14" s="51" t="str">
        <v>AM</v>
      </c>
      <c r="D14" s="51" t="str">
        <v>3L</v>
      </c>
      <c r="E14" s="49" t="str">
        <f t="shared" si="2"/>
        <v>USDAM3L6Y_Quote</v>
      </c>
      <c r="F14" s="49" t="str">
        <f>_xll.qlSimpleQuote(Currency&amp;$C14&amp;$D14&amp;$B14&amp;QuoteSuffix,,RateTickValue,Permanent,Trigger,ObjectOverwrite)</f>
        <v>USDAM3L6Y_Quote#0000</v>
      </c>
      <c r="G14" s="140" t="str">
        <f>_xll.ohRangeRetrieveError(F14)</f>
        <v/>
      </c>
      <c r="H14" s="23"/>
      <c r="N14" s="96"/>
      <c r="O14" s="205" t="s">
        <v>80</v>
      </c>
      <c r="P14" s="58" t="str">
        <v>AM</v>
      </c>
      <c r="Q14" s="58" t="str">
        <v>3L</v>
      </c>
      <c r="R14" s="252" t="str">
        <f t="shared" si="0"/>
        <v>USDAM3L6Y</v>
      </c>
      <c r="S14" s="252" t="str">
        <v>USDAM3L6Y=ICAP</v>
      </c>
      <c r="T14" s="199">
        <v>2.0089999999999999</v>
      </c>
      <c r="U14" s="199">
        <v>2.0390000000000001</v>
      </c>
      <c r="V14" s="199">
        <v>0</v>
      </c>
      <c r="W14" s="199">
        <v>0</v>
      </c>
      <c r="X14" s="203">
        <f>_xll.qlMidSafe($T14,$U14)</f>
        <v>2.024</v>
      </c>
      <c r="Y14" s="201"/>
      <c r="Z14" s="202">
        <v>2.0249999999999999</v>
      </c>
      <c r="AA14" s="201"/>
      <c r="AB14" s="274">
        <v>2.024</v>
      </c>
      <c r="AC14" s="198">
        <f>_xll.qlSimpleQuoteSetValue(F14,AB14/100,Trigger)</f>
        <v>0</v>
      </c>
      <c r="AD14" s="169"/>
      <c r="AE14" s="13"/>
      <c r="AF14" s="13"/>
      <c r="AG14" s="13"/>
      <c r="AH14" s="13"/>
      <c r="AI14" s="13"/>
      <c r="AJ14" s="236">
        <f t="shared" si="1"/>
        <v>3.0000000000000247E-4</v>
      </c>
    </row>
    <row r="15" spans="1:36" x14ac:dyDescent="0.2">
      <c r="A15" s="96"/>
      <c r="B15" s="143" t="s">
        <v>79</v>
      </c>
      <c r="C15" s="51" t="str">
        <v>AM</v>
      </c>
      <c r="D15" s="51" t="str">
        <v>3L</v>
      </c>
      <c r="E15" s="49" t="str">
        <f t="shared" si="2"/>
        <v>USDAM3L7Y_Quote</v>
      </c>
      <c r="F15" s="49" t="str">
        <f>_xll.qlSimpleQuote(Currency&amp;$C15&amp;$D15&amp;$B15&amp;QuoteSuffix,,RateTickValue,Permanent,Trigger,ObjectOverwrite)</f>
        <v>USDAM3L7Y_Quote#0000</v>
      </c>
      <c r="G15" s="140" t="str">
        <f>_xll.ohRangeRetrieveError(F15)</f>
        <v/>
      </c>
      <c r="H15" s="23"/>
      <c r="N15" s="96"/>
      <c r="O15" s="205" t="s">
        <v>79</v>
      </c>
      <c r="P15" s="58" t="str">
        <v>AM</v>
      </c>
      <c r="Q15" s="58" t="str">
        <v>3L</v>
      </c>
      <c r="R15" s="252" t="str">
        <f t="shared" si="0"/>
        <v>USDAM3L7Y</v>
      </c>
      <c r="S15" s="252" t="str">
        <v>USDAM3L7Y=ICAP</v>
      </c>
      <c r="T15" s="199">
        <v>2.23</v>
      </c>
      <c r="U15" s="199">
        <v>2.2599999999999998</v>
      </c>
      <c r="V15" s="199">
        <v>0</v>
      </c>
      <c r="W15" s="199">
        <v>0</v>
      </c>
      <c r="X15" s="203">
        <f>_xll.qlMidSafe($T15,$U15)</f>
        <v>2.2450000000000001</v>
      </c>
      <c r="Y15" s="201"/>
      <c r="Z15" s="202">
        <v>2.246</v>
      </c>
      <c r="AA15" s="201"/>
      <c r="AB15" s="274">
        <v>2.2450000000000001</v>
      </c>
      <c r="AC15" s="198">
        <f>_xll.qlSimpleQuoteSetValue(F15,AB15/100,Trigger)</f>
        <v>0</v>
      </c>
      <c r="AD15" s="169"/>
      <c r="AE15" s="13"/>
      <c r="AF15" s="13"/>
      <c r="AG15" s="13"/>
      <c r="AH15" s="13"/>
      <c r="AI15" s="13"/>
      <c r="AJ15" s="236">
        <f t="shared" si="1"/>
        <v>2.9999999999999363E-4</v>
      </c>
    </row>
    <row r="16" spans="1:36" x14ac:dyDescent="0.2">
      <c r="A16" s="96"/>
      <c r="B16" s="143" t="s">
        <v>78</v>
      </c>
      <c r="C16" s="51" t="str">
        <v>AM</v>
      </c>
      <c r="D16" s="51" t="str">
        <v>3L</v>
      </c>
      <c r="E16" s="49" t="str">
        <f t="shared" si="2"/>
        <v>USDAM3L8Y_Quote</v>
      </c>
      <c r="F16" s="49" t="str">
        <f>_xll.qlSimpleQuote(Currency&amp;$C16&amp;$D16&amp;$B16&amp;QuoteSuffix,,RateTickValue,Permanent,Trigger,ObjectOverwrite)</f>
        <v>USDAM3L8Y_Quote#0000</v>
      </c>
      <c r="G16" s="140" t="str">
        <f>_xll.ohRangeRetrieveError(F16)</f>
        <v/>
      </c>
      <c r="H16" s="23"/>
      <c r="N16" s="96"/>
      <c r="O16" s="205" t="s">
        <v>78</v>
      </c>
      <c r="P16" s="58" t="str">
        <v>AM</v>
      </c>
      <c r="Q16" s="58" t="str">
        <v>3L</v>
      </c>
      <c r="R16" s="252" t="str">
        <f t="shared" si="0"/>
        <v>USDAM3L8Y</v>
      </c>
      <c r="S16" s="252" t="str">
        <v>USDAM3L8Y=ICAP</v>
      </c>
      <c r="T16" s="199">
        <v>2.4079999999999999</v>
      </c>
      <c r="U16" s="199">
        <v>2.4380000000000002</v>
      </c>
      <c r="V16" s="199">
        <v>0</v>
      </c>
      <c r="W16" s="199">
        <v>0</v>
      </c>
      <c r="X16" s="203">
        <f>_xll.qlMidSafe($T16,$U16)</f>
        <v>2.423</v>
      </c>
      <c r="Y16" s="201"/>
      <c r="Z16" s="202">
        <v>2.4239999999999999</v>
      </c>
      <c r="AA16" s="201"/>
      <c r="AB16" s="274">
        <v>2.423</v>
      </c>
      <c r="AC16" s="198">
        <f>_xll.qlSimpleQuoteSetValue(F16,AB16/100,Trigger)</f>
        <v>1.0000000000003062E-5</v>
      </c>
      <c r="AD16" s="169"/>
      <c r="AE16" s="13"/>
      <c r="AF16" s="13"/>
      <c r="AG16" s="13"/>
      <c r="AH16" s="13"/>
      <c r="AI16" s="13"/>
      <c r="AJ16" s="236">
        <f t="shared" si="1"/>
        <v>3.0000000000000247E-4</v>
      </c>
    </row>
    <row r="17" spans="1:36" x14ac:dyDescent="0.2">
      <c r="A17" s="96"/>
      <c r="B17" s="143" t="s">
        <v>77</v>
      </c>
      <c r="C17" s="51" t="str">
        <v>AM</v>
      </c>
      <c r="D17" s="51" t="str">
        <v>3L</v>
      </c>
      <c r="E17" s="49" t="str">
        <f t="shared" si="2"/>
        <v>USDAM3L9Y_Quote</v>
      </c>
      <c r="F17" s="49" t="str">
        <f>_xll.qlSimpleQuote(Currency&amp;$C17&amp;$D17&amp;$B17&amp;QuoteSuffix,,RateTickValue,Permanent,Trigger,ObjectOverwrite)</f>
        <v>USDAM3L9Y_Quote#0000</v>
      </c>
      <c r="G17" s="140" t="str">
        <f>_xll.ohRangeRetrieveError(F17)</f>
        <v/>
      </c>
      <c r="H17" s="23"/>
      <c r="N17" s="96"/>
      <c r="O17" s="205" t="s">
        <v>77</v>
      </c>
      <c r="P17" s="58" t="str">
        <v>AM</v>
      </c>
      <c r="Q17" s="58" t="str">
        <v>3L</v>
      </c>
      <c r="R17" s="252" t="str">
        <f t="shared" si="0"/>
        <v>USDAM3L9Y</v>
      </c>
      <c r="S17" s="252" t="str">
        <v>USDAM3L9Y=ICAP</v>
      </c>
      <c r="T17" s="199">
        <v>2.5539999999999998</v>
      </c>
      <c r="U17" s="199">
        <v>2.5840000000000001</v>
      </c>
      <c r="V17" s="199">
        <v>0</v>
      </c>
      <c r="W17" s="199">
        <v>0</v>
      </c>
      <c r="X17" s="203">
        <f>_xll.qlMidSafe($T17,$U17)</f>
        <v>2.569</v>
      </c>
      <c r="Y17" s="201"/>
      <c r="Z17" s="202">
        <v>2.5700000000000003</v>
      </c>
      <c r="AA17" s="201"/>
      <c r="AB17" s="274">
        <v>2.569</v>
      </c>
      <c r="AC17" s="198">
        <f>_xll.qlSimpleQuoteSetValue(F17,AB17/100,Trigger)</f>
        <v>9.9999999999995925E-6</v>
      </c>
      <c r="AD17" s="169"/>
      <c r="AE17" s="13"/>
      <c r="AF17" s="13"/>
      <c r="AG17" s="13"/>
      <c r="AH17" s="13"/>
      <c r="AI17" s="13"/>
      <c r="AJ17" s="236">
        <f t="shared" si="1"/>
        <v>3.0000000000000247E-4</v>
      </c>
    </row>
    <row r="18" spans="1:36" x14ac:dyDescent="0.2">
      <c r="A18" s="96"/>
      <c r="B18" s="143" t="s">
        <v>76</v>
      </c>
      <c r="C18" s="51" t="str">
        <v>AM</v>
      </c>
      <c r="D18" s="51" t="str">
        <v>3L</v>
      </c>
      <c r="E18" s="49" t="str">
        <f t="shared" si="2"/>
        <v>USDAM3L10Y_Quote</v>
      </c>
      <c r="F18" s="49" t="str">
        <f>_xll.qlSimpleQuote(Currency&amp;$C18&amp;$D18&amp;$B18&amp;QuoteSuffix,,RateTickValue,Permanent,Trigger,ObjectOverwrite)</f>
        <v>USDAM3L10Y_Quote#0000</v>
      </c>
      <c r="G18" s="140" t="str">
        <f>_xll.ohRangeRetrieveError(F18)</f>
        <v/>
      </c>
      <c r="H18" s="23"/>
      <c r="N18" s="96"/>
      <c r="O18" s="205" t="s">
        <v>76</v>
      </c>
      <c r="P18" s="58" t="str">
        <v>AM</v>
      </c>
      <c r="Q18" s="58" t="str">
        <v>3L</v>
      </c>
      <c r="R18" s="252" t="str">
        <f t="shared" si="0"/>
        <v>USDAM3L10Y</v>
      </c>
      <c r="S18" s="252" t="str">
        <v>USDAM3L10Y=ICAP</v>
      </c>
      <c r="T18" s="199">
        <v>2.677</v>
      </c>
      <c r="U18" s="199">
        <v>2.7069999999999999</v>
      </c>
      <c r="V18" s="199">
        <v>0</v>
      </c>
      <c r="W18" s="199">
        <v>0</v>
      </c>
      <c r="X18" s="203">
        <f>_xll.qlMidSafe($T18,$U18)</f>
        <v>2.6920000000000002</v>
      </c>
      <c r="Y18" s="201"/>
      <c r="Z18" s="202">
        <v>2.694</v>
      </c>
      <c r="AA18" s="201"/>
      <c r="AB18" s="274">
        <v>2.6920000000000002</v>
      </c>
      <c r="AC18" s="198">
        <f>_xll.qlSimpleQuoteSetValue(F18,AB18/100,Trigger)</f>
        <v>1.0000000000003062E-5</v>
      </c>
      <c r="AD18" s="169"/>
      <c r="AE18" s="13"/>
      <c r="AF18" s="13"/>
      <c r="AG18" s="13"/>
      <c r="AH18" s="13"/>
      <c r="AI18" s="13"/>
      <c r="AJ18" s="236">
        <f t="shared" si="1"/>
        <v>2.9999999999999363E-4</v>
      </c>
    </row>
    <row r="19" spans="1:36" x14ac:dyDescent="0.2">
      <c r="A19" s="96"/>
      <c r="B19" s="143" t="s">
        <v>75</v>
      </c>
      <c r="C19" s="51" t="str">
        <v>AM</v>
      </c>
      <c r="D19" s="51" t="str">
        <v>3L</v>
      </c>
      <c r="E19" s="49" t="str">
        <f t="shared" si="2"/>
        <v>USDAM3L11Y_Quote</v>
      </c>
      <c r="F19" s="49" t="str">
        <f>_xll.qlSimpleQuote(Currency&amp;$C19&amp;$D19&amp;$B19&amp;QuoteSuffix,,RateTickValue,Permanent,Trigger,ObjectOverwrite)</f>
        <v>USDAM3L11Y_Quote#0000</v>
      </c>
      <c r="G19" s="140" t="str">
        <f>_xll.ohRangeRetrieveError(F19)</f>
        <v/>
      </c>
      <c r="H19" s="23"/>
      <c r="N19" s="96"/>
      <c r="O19" s="205" t="s">
        <v>75</v>
      </c>
      <c r="P19" s="58" t="str">
        <v>AM</v>
      </c>
      <c r="Q19" s="58" t="str">
        <v>3L</v>
      </c>
      <c r="R19" s="252" t="str">
        <f t="shared" si="0"/>
        <v>USDAM3L11Y</v>
      </c>
      <c r="S19" s="252" t="str">
        <v>USDAM3L11Y=ICAP</v>
      </c>
      <c r="T19" s="199" t="s">
        <v>213</v>
      </c>
      <c r="U19" s="199" t="s">
        <v>213</v>
      </c>
      <c r="V19" s="199" t="s">
        <v>213</v>
      </c>
      <c r="W19" s="199" t="s">
        <v>213</v>
      </c>
      <c r="X19" s="203" t="e">
        <f>_xll.qlMidSafe($T19,$U19)</f>
        <v>#NUM!</v>
      </c>
      <c r="Y19" s="201"/>
      <c r="Z19" s="202" t="e">
        <v>#NUM!</v>
      </c>
      <c r="AA19" s="201"/>
      <c r="AB19" s="274" t="e">
        <v>#NUM!</v>
      </c>
      <c r="AC19" s="198" t="e">
        <f>_xll.qlSimpleQuoteSetValue(F19,AB19/100,Trigger)</f>
        <v>#NUM!</v>
      </c>
      <c r="AD19" s="169"/>
      <c r="AE19" s="13"/>
      <c r="AF19" s="13"/>
      <c r="AG19" s="13"/>
      <c r="AH19" s="13"/>
      <c r="AI19" s="13"/>
      <c r="AJ19" s="236" t="e">
        <f t="shared" si="1"/>
        <v>#VALUE!</v>
      </c>
    </row>
    <row r="20" spans="1:36" x14ac:dyDescent="0.2">
      <c r="A20" s="96"/>
      <c r="B20" s="143" t="s">
        <v>74</v>
      </c>
      <c r="C20" s="51" t="str">
        <v>AM</v>
      </c>
      <c r="D20" s="51" t="str">
        <v>3L</v>
      </c>
      <c r="E20" s="49" t="str">
        <f t="shared" si="2"/>
        <v>USDAM3L12Y_Quote</v>
      </c>
      <c r="F20" s="49" t="str">
        <f>_xll.qlSimpleQuote(Currency&amp;$C20&amp;$D20&amp;$B20&amp;QuoteSuffix,,RateTickValue,Permanent,Trigger,ObjectOverwrite)</f>
        <v>USDAM3L12Y_Quote#0000</v>
      </c>
      <c r="G20" s="140" t="str">
        <f>_xll.ohRangeRetrieveError(F20)</f>
        <v/>
      </c>
      <c r="H20" s="23"/>
      <c r="N20" s="96"/>
      <c r="O20" s="205" t="s">
        <v>74</v>
      </c>
      <c r="P20" s="58" t="str">
        <v>AM</v>
      </c>
      <c r="Q20" s="58" t="str">
        <v>3L</v>
      </c>
      <c r="R20" s="252" t="str">
        <f t="shared" si="0"/>
        <v>USDAM3L12Y</v>
      </c>
      <c r="S20" s="252" t="str">
        <v>USDAM3L12Y=ICAP</v>
      </c>
      <c r="T20" s="199">
        <v>2.8740000000000001</v>
      </c>
      <c r="U20" s="199">
        <v>2.9039999999999999</v>
      </c>
      <c r="V20" s="199">
        <v>0</v>
      </c>
      <c r="W20" s="199">
        <v>0</v>
      </c>
      <c r="X20" s="203">
        <f>_xll.qlMidSafe($T20,$U20)</f>
        <v>2.8890000000000002</v>
      </c>
      <c r="Y20" s="201"/>
      <c r="Z20" s="202">
        <v>2.891</v>
      </c>
      <c r="AA20" s="201"/>
      <c r="AB20" s="274">
        <v>2.8890000000000002</v>
      </c>
      <c r="AC20" s="198">
        <f>_xll.qlSimpleQuoteSetValue(F20,AB20/100,Trigger)</f>
        <v>1.0000000000003062E-5</v>
      </c>
      <c r="AD20" s="169"/>
      <c r="AE20" s="13"/>
      <c r="AF20" s="13"/>
      <c r="AG20" s="13"/>
      <c r="AH20" s="13"/>
      <c r="AI20" s="13"/>
      <c r="AJ20" s="236">
        <f t="shared" si="1"/>
        <v>2.9999999999999363E-4</v>
      </c>
    </row>
    <row r="21" spans="1:36" x14ac:dyDescent="0.2">
      <c r="A21" s="96"/>
      <c r="B21" s="143" t="s">
        <v>73</v>
      </c>
      <c r="C21" s="51" t="str">
        <v>AM</v>
      </c>
      <c r="D21" s="51" t="str">
        <v>3L</v>
      </c>
      <c r="E21" s="49" t="str">
        <f t="shared" si="2"/>
        <v>USDAM3L13Y_Quote</v>
      </c>
      <c r="F21" s="49" t="str">
        <f>_xll.qlSimpleQuote(Currency&amp;$C21&amp;$D21&amp;$B21&amp;QuoteSuffix,,RateTickValue,Permanent,Trigger,ObjectOverwrite)</f>
        <v>USDAM3L13Y_Quote#0000</v>
      </c>
      <c r="G21" s="140" t="str">
        <f>_xll.ohRangeRetrieveError(F21)</f>
        <v/>
      </c>
      <c r="H21" s="23"/>
      <c r="N21" s="96"/>
      <c r="O21" s="205" t="s">
        <v>73</v>
      </c>
      <c r="P21" s="58" t="str">
        <v>AM</v>
      </c>
      <c r="Q21" s="58" t="str">
        <v>3L</v>
      </c>
      <c r="R21" s="252" t="str">
        <f t="shared" si="0"/>
        <v>USDAM3L13Y</v>
      </c>
      <c r="S21" s="252" t="str">
        <v>USDAM3L13Y=ICAP</v>
      </c>
      <c r="T21" s="199" t="s">
        <v>213</v>
      </c>
      <c r="U21" s="199" t="s">
        <v>213</v>
      </c>
      <c r="V21" s="199" t="s">
        <v>213</v>
      </c>
      <c r="W21" s="199" t="s">
        <v>213</v>
      </c>
      <c r="X21" s="203" t="e">
        <f>_xll.qlMidSafe($T21,$U21)</f>
        <v>#NUM!</v>
      </c>
      <c r="Y21" s="201"/>
      <c r="Z21" s="202" t="e">
        <v>#NUM!</v>
      </c>
      <c r="AA21" s="201"/>
      <c r="AB21" s="274" t="e">
        <v>#NUM!</v>
      </c>
      <c r="AC21" s="198" t="e">
        <f>_xll.qlSimpleQuoteSetValue(F21,AB21/100,Trigger)</f>
        <v>#NUM!</v>
      </c>
      <c r="AD21" s="169"/>
      <c r="AE21" s="13"/>
      <c r="AF21" s="13"/>
      <c r="AG21" s="13"/>
      <c r="AH21" s="13"/>
      <c r="AI21" s="13"/>
      <c r="AJ21" s="236" t="e">
        <f t="shared" si="1"/>
        <v>#VALUE!</v>
      </c>
    </row>
    <row r="22" spans="1:36" x14ac:dyDescent="0.2">
      <c r="A22" s="96"/>
      <c r="B22" s="143" t="s">
        <v>72</v>
      </c>
      <c r="C22" s="51" t="str">
        <v>AM</v>
      </c>
      <c r="D22" s="51" t="str">
        <v>3L</v>
      </c>
      <c r="E22" s="49" t="str">
        <f t="shared" si="2"/>
        <v>USDAM3L14Y_Quote</v>
      </c>
      <c r="F22" s="49" t="str">
        <f>_xll.qlSimpleQuote(Currency&amp;$C22&amp;$D22&amp;$B22&amp;QuoteSuffix,,RateTickValue,Permanent,Trigger,ObjectOverwrite)</f>
        <v>USDAM3L14Y_Quote#0000</v>
      </c>
      <c r="G22" s="140" t="str">
        <f>_xll.ohRangeRetrieveError(F22)</f>
        <v/>
      </c>
      <c r="H22" s="23"/>
      <c r="N22" s="96"/>
      <c r="O22" s="205" t="s">
        <v>72</v>
      </c>
      <c r="P22" s="58" t="str">
        <v>AM</v>
      </c>
      <c r="Q22" s="58" t="str">
        <v>3L</v>
      </c>
      <c r="R22" s="252" t="str">
        <f t="shared" si="0"/>
        <v>USDAM3L14Y</v>
      </c>
      <c r="S22" s="252" t="str">
        <v>USDAM3L14Y=ICAP</v>
      </c>
      <c r="T22" s="199" t="s">
        <v>213</v>
      </c>
      <c r="U22" s="199" t="s">
        <v>213</v>
      </c>
      <c r="V22" s="199" t="s">
        <v>213</v>
      </c>
      <c r="W22" s="199" t="s">
        <v>213</v>
      </c>
      <c r="X22" s="203" t="e">
        <f>_xll.qlMidSafe($T22,$U22)</f>
        <v>#NUM!</v>
      </c>
      <c r="Y22" s="201"/>
      <c r="Z22" s="202" t="e">
        <v>#NUM!</v>
      </c>
      <c r="AA22" s="201"/>
      <c r="AB22" s="274" t="e">
        <v>#NUM!</v>
      </c>
      <c r="AC22" s="198" t="e">
        <f>_xll.qlSimpleQuoteSetValue(F22,AB22/100,Trigger)</f>
        <v>#NUM!</v>
      </c>
      <c r="AD22" s="169"/>
      <c r="AE22" s="13"/>
      <c r="AF22" s="13"/>
      <c r="AG22" s="13"/>
      <c r="AH22" s="13"/>
      <c r="AI22" s="13"/>
      <c r="AJ22" s="236" t="e">
        <f t="shared" si="1"/>
        <v>#VALUE!</v>
      </c>
    </row>
    <row r="23" spans="1:36" x14ac:dyDescent="0.2">
      <c r="A23" s="96"/>
      <c r="B23" s="143" t="s">
        <v>71</v>
      </c>
      <c r="C23" s="51" t="str">
        <v>AM</v>
      </c>
      <c r="D23" s="51" t="str">
        <v>3L</v>
      </c>
      <c r="E23" s="49" t="str">
        <f t="shared" si="2"/>
        <v>USDAM3L15Y_Quote</v>
      </c>
      <c r="F23" s="49" t="str">
        <f>_xll.qlSimpleQuote(Currency&amp;$C23&amp;$D23&amp;$B23&amp;QuoteSuffix,,RateTickValue,Permanent,Trigger,ObjectOverwrite)</f>
        <v>USDAM3L15Y_Quote#0000</v>
      </c>
      <c r="G23" s="140" t="str">
        <f>_xll.ohRangeRetrieveError(F23)</f>
        <v/>
      </c>
      <c r="H23" s="23"/>
      <c r="N23" s="96"/>
      <c r="O23" s="205" t="s">
        <v>71</v>
      </c>
      <c r="P23" s="58" t="str">
        <v>AM</v>
      </c>
      <c r="Q23" s="58" t="str">
        <v>3L</v>
      </c>
      <c r="R23" s="252" t="str">
        <f t="shared" si="0"/>
        <v>USDAM3L15Y</v>
      </c>
      <c r="S23" s="252" t="str">
        <v>USDAM3L15Y=ICAP</v>
      </c>
      <c r="T23" s="199">
        <v>3.0680000000000001</v>
      </c>
      <c r="U23" s="199">
        <v>3.0979999999999999</v>
      </c>
      <c r="V23" s="199">
        <v>0</v>
      </c>
      <c r="W23" s="199">
        <v>0</v>
      </c>
      <c r="X23" s="203">
        <f>_xll.qlMidSafe($T23,$U23)</f>
        <v>3.0830000000000002</v>
      </c>
      <c r="Y23" s="201"/>
      <c r="Z23" s="202">
        <v>3.085</v>
      </c>
      <c r="AA23" s="201"/>
      <c r="AB23" s="274">
        <v>3.0830000000000002</v>
      </c>
      <c r="AC23" s="198">
        <f>_xll.qlSimpleQuoteSetValue(F23,AB23/100,Trigger)</f>
        <v>1.0000000000003062E-5</v>
      </c>
      <c r="AD23" s="169"/>
      <c r="AE23" s="13"/>
      <c r="AF23" s="13"/>
      <c r="AG23" s="13"/>
      <c r="AH23" s="13"/>
      <c r="AI23" s="13"/>
      <c r="AJ23" s="236">
        <f t="shared" si="1"/>
        <v>2.9999999999999363E-4</v>
      </c>
    </row>
    <row r="24" spans="1:36" x14ac:dyDescent="0.2">
      <c r="A24" s="96"/>
      <c r="B24" s="143" t="s">
        <v>70</v>
      </c>
      <c r="C24" s="51" t="str">
        <v>AM</v>
      </c>
      <c r="D24" s="51" t="str">
        <v>3L</v>
      </c>
      <c r="E24" s="49" t="str">
        <f t="shared" si="2"/>
        <v>USDAM3L16Y_Quote</v>
      </c>
      <c r="F24" s="49" t="str">
        <f>_xll.qlSimpleQuote(Currency&amp;$C24&amp;$D24&amp;$B24&amp;QuoteSuffix,,RateTickValue,Permanent,Trigger,ObjectOverwrite)</f>
        <v>USDAM3L16Y_Quote#0000</v>
      </c>
      <c r="G24" s="140" t="str">
        <f>_xll.ohRangeRetrieveError(F24)</f>
        <v/>
      </c>
      <c r="H24" s="23"/>
      <c r="N24" s="96"/>
      <c r="O24" s="205" t="s">
        <v>70</v>
      </c>
      <c r="P24" s="58" t="str">
        <v>AM</v>
      </c>
      <c r="Q24" s="58" t="str">
        <v>3L</v>
      </c>
      <c r="R24" s="252" t="str">
        <f t="shared" si="0"/>
        <v>USDAM3L16Y</v>
      </c>
      <c r="S24" s="252" t="str">
        <v>USDAM3L16Y=ICAP</v>
      </c>
      <c r="T24" s="199" t="s">
        <v>213</v>
      </c>
      <c r="U24" s="199" t="s">
        <v>213</v>
      </c>
      <c r="V24" s="199" t="s">
        <v>213</v>
      </c>
      <c r="W24" s="199" t="s">
        <v>213</v>
      </c>
      <c r="X24" s="203" t="e">
        <f>_xll.qlMidSafe($T24,$U24)</f>
        <v>#NUM!</v>
      </c>
      <c r="Y24" s="201"/>
      <c r="Z24" s="202" t="e">
        <v>#NUM!</v>
      </c>
      <c r="AA24" s="201"/>
      <c r="AB24" s="274" t="e">
        <v>#NUM!</v>
      </c>
      <c r="AC24" s="198" t="e">
        <f>_xll.qlSimpleQuoteSetValue(F24,AB24/100,Trigger)</f>
        <v>#NUM!</v>
      </c>
      <c r="AD24" s="169"/>
      <c r="AE24" s="13"/>
      <c r="AF24" s="13"/>
      <c r="AG24" s="13"/>
      <c r="AH24" s="13"/>
      <c r="AI24" s="13"/>
      <c r="AJ24" s="236" t="e">
        <f t="shared" si="1"/>
        <v>#VALUE!</v>
      </c>
    </row>
    <row r="25" spans="1:36" x14ac:dyDescent="0.2">
      <c r="A25" s="96"/>
      <c r="B25" s="143" t="s">
        <v>69</v>
      </c>
      <c r="C25" s="51" t="str">
        <v>AM</v>
      </c>
      <c r="D25" s="51" t="str">
        <v>3L</v>
      </c>
      <c r="E25" s="49" t="str">
        <f t="shared" si="2"/>
        <v>USDAM3L17Y_Quote</v>
      </c>
      <c r="F25" s="49" t="str">
        <f>_xll.qlSimpleQuote(Currency&amp;$C25&amp;$D25&amp;$B25&amp;QuoteSuffix,,RateTickValue,Permanent,Trigger,ObjectOverwrite)</f>
        <v>USDAM3L17Y_Quote#0000</v>
      </c>
      <c r="G25" s="140" t="str">
        <f>_xll.ohRangeRetrieveError(F25)</f>
        <v/>
      </c>
      <c r="H25" s="23"/>
      <c r="N25" s="96"/>
      <c r="O25" s="205" t="s">
        <v>69</v>
      </c>
      <c r="P25" s="58" t="str">
        <v>AM</v>
      </c>
      <c r="Q25" s="58" t="str">
        <v>3L</v>
      </c>
      <c r="R25" s="252" t="str">
        <f t="shared" si="0"/>
        <v>USDAM3L17Y</v>
      </c>
      <c r="S25" s="252" t="str">
        <v>USDAM3L17Y=ICAP</v>
      </c>
      <c r="T25" s="199" t="s">
        <v>213</v>
      </c>
      <c r="U25" s="199" t="s">
        <v>213</v>
      </c>
      <c r="V25" s="199" t="s">
        <v>213</v>
      </c>
      <c r="W25" s="199" t="s">
        <v>213</v>
      </c>
      <c r="X25" s="203" t="e">
        <f>_xll.qlMidSafe($T25,$U25)</f>
        <v>#NUM!</v>
      </c>
      <c r="Y25" s="201"/>
      <c r="Z25" s="202" t="e">
        <v>#NUM!</v>
      </c>
      <c r="AA25" s="201"/>
      <c r="AB25" s="274" t="e">
        <v>#NUM!</v>
      </c>
      <c r="AC25" s="198" t="e">
        <f>_xll.qlSimpleQuoteSetValue(F25,AB25/100,Trigger)</f>
        <v>#NUM!</v>
      </c>
      <c r="AD25" s="169"/>
      <c r="AE25" s="13"/>
      <c r="AF25" s="13"/>
      <c r="AG25" s="13"/>
      <c r="AH25" s="13"/>
      <c r="AI25" s="13"/>
      <c r="AJ25" s="236" t="e">
        <f t="shared" si="1"/>
        <v>#VALUE!</v>
      </c>
    </row>
    <row r="26" spans="1:36" x14ac:dyDescent="0.2">
      <c r="A26" s="96"/>
      <c r="B26" s="143" t="s">
        <v>68</v>
      </c>
      <c r="C26" s="51" t="str">
        <v>AM</v>
      </c>
      <c r="D26" s="51" t="str">
        <v>3L</v>
      </c>
      <c r="E26" s="49" t="str">
        <f t="shared" si="2"/>
        <v>USDAM3L18Y_Quote</v>
      </c>
      <c r="F26" s="49" t="str">
        <f>_xll.qlSimpleQuote(Currency&amp;$C26&amp;$D26&amp;$B26&amp;QuoteSuffix,,RateTickValue,Permanent,Trigger,ObjectOverwrite)</f>
        <v>USDAM3L18Y_Quote#0000</v>
      </c>
      <c r="G26" s="140" t="str">
        <f>_xll.ohRangeRetrieveError(F26)</f>
        <v/>
      </c>
      <c r="H26" s="23"/>
      <c r="N26" s="96"/>
      <c r="O26" s="205" t="s">
        <v>68</v>
      </c>
      <c r="P26" s="58" t="str">
        <v>AM</v>
      </c>
      <c r="Q26" s="58" t="str">
        <v>3L</v>
      </c>
      <c r="R26" s="252" t="str">
        <f t="shared" si="0"/>
        <v>USDAM3L18Y</v>
      </c>
      <c r="S26" s="252" t="str">
        <v>USDAM3L18Y=ICAP</v>
      </c>
      <c r="T26" s="199" t="s">
        <v>213</v>
      </c>
      <c r="U26" s="199" t="s">
        <v>213</v>
      </c>
      <c r="V26" s="199" t="s">
        <v>213</v>
      </c>
      <c r="W26" s="199" t="s">
        <v>213</v>
      </c>
      <c r="X26" s="203" t="e">
        <f>_xll.qlMidSafe($T26,$U26)</f>
        <v>#NUM!</v>
      </c>
      <c r="Y26" s="201"/>
      <c r="Z26" s="202" t="e">
        <v>#NUM!</v>
      </c>
      <c r="AA26" s="201"/>
      <c r="AB26" s="274" t="e">
        <v>#NUM!</v>
      </c>
      <c r="AC26" s="198" t="e">
        <f>_xll.qlSimpleQuoteSetValue(F26,AB26/100,Trigger)</f>
        <v>#NUM!</v>
      </c>
      <c r="AD26" s="169"/>
      <c r="AE26" s="13"/>
      <c r="AF26" s="13"/>
      <c r="AG26" s="13"/>
      <c r="AH26" s="13"/>
      <c r="AI26" s="13"/>
      <c r="AJ26" s="236" t="e">
        <f t="shared" si="1"/>
        <v>#VALUE!</v>
      </c>
    </row>
    <row r="27" spans="1:36" x14ac:dyDescent="0.2">
      <c r="A27" s="96"/>
      <c r="B27" s="143" t="s">
        <v>67</v>
      </c>
      <c r="C27" s="51" t="str">
        <v>AM</v>
      </c>
      <c r="D27" s="51" t="str">
        <v>3L</v>
      </c>
      <c r="E27" s="49" t="str">
        <f t="shared" si="2"/>
        <v>USDAM3L19Y_Quote</v>
      </c>
      <c r="F27" s="49" t="str">
        <f>_xll.qlSimpleQuote(Currency&amp;$C27&amp;$D27&amp;$B27&amp;QuoteSuffix,,RateTickValue,Permanent,Trigger,ObjectOverwrite)</f>
        <v>USDAM3L19Y_Quote#0000</v>
      </c>
      <c r="G27" s="140" t="str">
        <f>_xll.ohRangeRetrieveError(F27)</f>
        <v/>
      </c>
      <c r="H27" s="23"/>
      <c r="N27" s="96"/>
      <c r="O27" s="205" t="s">
        <v>67</v>
      </c>
      <c r="P27" s="58" t="str">
        <v>AM</v>
      </c>
      <c r="Q27" s="58" t="str">
        <v>3L</v>
      </c>
      <c r="R27" s="252" t="str">
        <f t="shared" si="0"/>
        <v>USDAM3L19Y</v>
      </c>
      <c r="S27" s="252" t="str">
        <v>USDAM3L19Y=ICAP</v>
      </c>
      <c r="T27" s="199" t="s">
        <v>213</v>
      </c>
      <c r="U27" s="199" t="s">
        <v>213</v>
      </c>
      <c r="V27" s="199" t="s">
        <v>213</v>
      </c>
      <c r="W27" s="199" t="s">
        <v>213</v>
      </c>
      <c r="X27" s="203" t="e">
        <f>_xll.qlMidSafe($T27,$U27)</f>
        <v>#NUM!</v>
      </c>
      <c r="Y27" s="201"/>
      <c r="Z27" s="202" t="e">
        <v>#NUM!</v>
      </c>
      <c r="AA27" s="201"/>
      <c r="AB27" s="274" t="e">
        <v>#NUM!</v>
      </c>
      <c r="AC27" s="198" t="e">
        <f>_xll.qlSimpleQuoteSetValue(F27,AB27/100,Trigger)</f>
        <v>#NUM!</v>
      </c>
      <c r="AD27" s="169"/>
      <c r="AE27" s="13"/>
      <c r="AF27" s="13"/>
      <c r="AG27" s="13"/>
      <c r="AH27" s="13"/>
      <c r="AI27" s="13"/>
      <c r="AJ27" s="236" t="e">
        <f t="shared" si="1"/>
        <v>#VALUE!</v>
      </c>
    </row>
    <row r="28" spans="1:36" x14ac:dyDescent="0.2">
      <c r="A28" s="96"/>
      <c r="B28" s="143" t="s">
        <v>66</v>
      </c>
      <c r="C28" s="51" t="str">
        <v>AM</v>
      </c>
      <c r="D28" s="51" t="str">
        <v>3L</v>
      </c>
      <c r="E28" s="49" t="str">
        <f t="shared" si="2"/>
        <v>USDAM3L20Y_Quote</v>
      </c>
      <c r="F28" s="49" t="str">
        <f>_xll.qlSimpleQuote(Currency&amp;$C28&amp;$D28&amp;$B28&amp;QuoteSuffix,,RateTickValue,Permanent,Trigger,ObjectOverwrite)</f>
        <v>USDAM3L20Y_Quote#0000</v>
      </c>
      <c r="G28" s="140" t="str">
        <f>_xll.ohRangeRetrieveError(F28)</f>
        <v/>
      </c>
      <c r="H28" s="23"/>
      <c r="N28" s="96"/>
      <c r="O28" s="205" t="s">
        <v>66</v>
      </c>
      <c r="P28" s="58" t="str">
        <v>AM</v>
      </c>
      <c r="Q28" s="58" t="str">
        <v>3L</v>
      </c>
      <c r="R28" s="252" t="str">
        <f t="shared" si="0"/>
        <v>USDAM3L20Y</v>
      </c>
      <c r="S28" s="252" t="str">
        <v>USDAM3L20Y=ICAP</v>
      </c>
      <c r="T28" s="199">
        <v>3.2349999999999999</v>
      </c>
      <c r="U28" s="199">
        <v>3.2650000000000001</v>
      </c>
      <c r="V28" s="199">
        <v>0</v>
      </c>
      <c r="W28" s="199">
        <v>0</v>
      </c>
      <c r="X28" s="203">
        <f>_xll.qlMidSafe($T28,$U28)</f>
        <v>3.25</v>
      </c>
      <c r="Y28" s="201"/>
      <c r="Z28" s="202">
        <v>3.2519999999999998</v>
      </c>
      <c r="AA28" s="201"/>
      <c r="AB28" s="274">
        <v>3.25</v>
      </c>
      <c r="AC28" s="198">
        <f>_xll.qlSimpleQuoteSetValue(F28,AB28/100,Trigger)</f>
        <v>0</v>
      </c>
      <c r="AD28" s="169"/>
      <c r="AE28" s="13"/>
      <c r="AF28" s="13"/>
      <c r="AG28" s="13"/>
      <c r="AH28" s="13"/>
      <c r="AI28" s="13"/>
      <c r="AJ28" s="236">
        <f t="shared" si="1"/>
        <v>3.0000000000000247E-4</v>
      </c>
    </row>
    <row r="29" spans="1:36" x14ac:dyDescent="0.2">
      <c r="A29" s="96"/>
      <c r="B29" s="143" t="s">
        <v>65</v>
      </c>
      <c r="C29" s="51" t="str">
        <v>AM</v>
      </c>
      <c r="D29" s="51" t="str">
        <v>3L</v>
      </c>
      <c r="E29" s="49" t="str">
        <f t="shared" si="2"/>
        <v>USDAM3L21Y_Quote</v>
      </c>
      <c r="F29" s="49" t="str">
        <f>_xll.qlSimpleQuote(Currency&amp;$C29&amp;$D29&amp;$B29&amp;QuoteSuffix,,RateTickValue,Permanent,Trigger,ObjectOverwrite)</f>
        <v>USDAM3L21Y_Quote#0000</v>
      </c>
      <c r="G29" s="140" t="str">
        <f>_xll.ohRangeRetrieveError(F29)</f>
        <v/>
      </c>
      <c r="H29" s="23"/>
      <c r="N29" s="96"/>
      <c r="O29" s="205" t="s">
        <v>65</v>
      </c>
      <c r="P29" s="201" t="str">
        <v>AM</v>
      </c>
      <c r="Q29" s="201" t="str">
        <v>3L</v>
      </c>
      <c r="R29" s="252" t="str">
        <f t="shared" si="0"/>
        <v>USDAM3L21Y</v>
      </c>
      <c r="S29" s="252" t="str">
        <v>USDAM3L21Y=ICAP</v>
      </c>
      <c r="T29" s="199" t="s">
        <v>213</v>
      </c>
      <c r="U29" s="199" t="s">
        <v>213</v>
      </c>
      <c r="V29" s="199" t="s">
        <v>213</v>
      </c>
      <c r="W29" s="199" t="s">
        <v>213</v>
      </c>
      <c r="X29" s="203" t="e">
        <f>_xll.qlMidSafe($T29,$U29)</f>
        <v>#NUM!</v>
      </c>
      <c r="Y29" s="201"/>
      <c r="Z29" s="202" t="e">
        <v>#NUM!</v>
      </c>
      <c r="AA29" s="201"/>
      <c r="AB29" s="274" t="e">
        <v>#NUM!</v>
      </c>
      <c r="AC29" s="198" t="e">
        <f>_xll.qlSimpleQuoteSetValue(F29,AB29/100,Trigger)</f>
        <v>#NUM!</v>
      </c>
      <c r="AD29" s="169"/>
      <c r="AE29" s="13"/>
      <c r="AF29" s="13"/>
      <c r="AG29" s="13"/>
      <c r="AH29" s="13"/>
      <c r="AI29" s="13"/>
      <c r="AJ29" s="236" t="e">
        <f t="shared" si="1"/>
        <v>#VALUE!</v>
      </c>
    </row>
    <row r="30" spans="1:36" x14ac:dyDescent="0.2">
      <c r="A30" s="96"/>
      <c r="B30" s="143" t="s">
        <v>64</v>
      </c>
      <c r="C30" s="51" t="str">
        <v>AM</v>
      </c>
      <c r="D30" s="51" t="str">
        <v>3L</v>
      </c>
      <c r="E30" s="49" t="str">
        <f t="shared" si="2"/>
        <v>USDAM3L22Y_Quote</v>
      </c>
      <c r="F30" s="49" t="str">
        <f>_xll.qlSimpleQuote(Currency&amp;$C30&amp;$D30&amp;$B30&amp;QuoteSuffix,,RateTickValue,Permanent,Trigger,ObjectOverwrite)</f>
        <v>USDAM3L22Y_Quote#0000</v>
      </c>
      <c r="G30" s="140" t="str">
        <f>_xll.ohRangeRetrieveError(F30)</f>
        <v/>
      </c>
      <c r="H30" s="23"/>
      <c r="N30" s="96"/>
      <c r="O30" s="205" t="s">
        <v>64</v>
      </c>
      <c r="P30" s="58" t="str">
        <v>AM</v>
      </c>
      <c r="Q30" s="58" t="str">
        <v>3L</v>
      </c>
      <c r="R30" s="252" t="str">
        <f t="shared" si="0"/>
        <v>USDAM3L22Y</v>
      </c>
      <c r="S30" s="252" t="str">
        <v>USDAM3L22Y=ICAP</v>
      </c>
      <c r="T30" s="199" t="s">
        <v>213</v>
      </c>
      <c r="U30" s="199" t="s">
        <v>213</v>
      </c>
      <c r="V30" s="199" t="s">
        <v>213</v>
      </c>
      <c r="W30" s="199" t="s">
        <v>213</v>
      </c>
      <c r="X30" s="203" t="e">
        <f>_xll.qlMidSafe($T30,$U30)</f>
        <v>#NUM!</v>
      </c>
      <c r="Y30" s="201"/>
      <c r="Z30" s="202" t="e">
        <v>#NUM!</v>
      </c>
      <c r="AA30" s="201"/>
      <c r="AB30" s="274" t="e">
        <v>#NUM!</v>
      </c>
      <c r="AC30" s="198" t="e">
        <f>_xll.qlSimpleQuoteSetValue(F30,AB30/100,Trigger)</f>
        <v>#NUM!</v>
      </c>
      <c r="AD30" s="169"/>
      <c r="AE30" s="13"/>
      <c r="AF30" s="13"/>
      <c r="AG30" s="13"/>
      <c r="AH30" s="13"/>
      <c r="AI30" s="13"/>
      <c r="AJ30" s="236" t="e">
        <f t="shared" si="1"/>
        <v>#VALUE!</v>
      </c>
    </row>
    <row r="31" spans="1:36" x14ac:dyDescent="0.2">
      <c r="A31" s="96"/>
      <c r="B31" s="143" t="s">
        <v>63</v>
      </c>
      <c r="C31" s="51" t="str">
        <v>AM</v>
      </c>
      <c r="D31" s="51" t="str">
        <v>3L</v>
      </c>
      <c r="E31" s="49" t="str">
        <f t="shared" si="2"/>
        <v>USDAM3L23Y_Quote</v>
      </c>
      <c r="F31" s="49" t="str">
        <f>_xll.qlSimpleQuote(Currency&amp;$C31&amp;$D31&amp;$B31&amp;QuoteSuffix,,RateTickValue,Permanent,Trigger,ObjectOverwrite)</f>
        <v>USDAM3L23Y_Quote#0000</v>
      </c>
      <c r="G31" s="140" t="str">
        <f>_xll.ohRangeRetrieveError(F31)</f>
        <v/>
      </c>
      <c r="H31" s="23"/>
      <c r="N31" s="96"/>
      <c r="O31" s="205" t="s">
        <v>63</v>
      </c>
      <c r="P31" s="58" t="str">
        <v>AM</v>
      </c>
      <c r="Q31" s="58" t="str">
        <v>3L</v>
      </c>
      <c r="R31" s="252" t="str">
        <f t="shared" si="0"/>
        <v>USDAM3L23Y</v>
      </c>
      <c r="S31" s="252" t="str">
        <v>USDAM3L23Y=ICAP</v>
      </c>
      <c r="T31" s="199" t="s">
        <v>213</v>
      </c>
      <c r="U31" s="199" t="s">
        <v>213</v>
      </c>
      <c r="V31" s="199" t="s">
        <v>213</v>
      </c>
      <c r="W31" s="199" t="s">
        <v>213</v>
      </c>
      <c r="X31" s="203" t="e">
        <f>_xll.qlMidSafe($T31,$U31)</f>
        <v>#NUM!</v>
      </c>
      <c r="Y31" s="201"/>
      <c r="Z31" s="202" t="e">
        <v>#NUM!</v>
      </c>
      <c r="AA31" s="201"/>
      <c r="AB31" s="274" t="e">
        <v>#NUM!</v>
      </c>
      <c r="AC31" s="198" t="e">
        <f>_xll.qlSimpleQuoteSetValue(F31,AB31/100,Trigger)</f>
        <v>#NUM!</v>
      </c>
      <c r="AD31" s="169"/>
      <c r="AE31" s="13"/>
      <c r="AF31" s="13"/>
      <c r="AG31" s="13"/>
      <c r="AH31" s="13"/>
      <c r="AI31" s="13"/>
      <c r="AJ31" s="236" t="e">
        <f t="shared" si="1"/>
        <v>#VALUE!</v>
      </c>
    </row>
    <row r="32" spans="1:36" x14ac:dyDescent="0.2">
      <c r="A32" s="96"/>
      <c r="B32" s="143" t="s">
        <v>62</v>
      </c>
      <c r="C32" s="51" t="str">
        <v>AM</v>
      </c>
      <c r="D32" s="51" t="str">
        <v>3L</v>
      </c>
      <c r="E32" s="49" t="str">
        <f t="shared" si="2"/>
        <v>USDAM3L24Y_Quote</v>
      </c>
      <c r="F32" s="49" t="str">
        <f>_xll.qlSimpleQuote(Currency&amp;$C32&amp;$D32&amp;$B32&amp;QuoteSuffix,,RateTickValue,Permanent,Trigger,ObjectOverwrite)</f>
        <v>USDAM3L24Y_Quote#0000</v>
      </c>
      <c r="G32" s="140" t="str">
        <f>_xll.ohRangeRetrieveError(F32)</f>
        <v/>
      </c>
      <c r="H32" s="23"/>
      <c r="N32" s="96"/>
      <c r="O32" s="205" t="s">
        <v>62</v>
      </c>
      <c r="P32" s="58" t="str">
        <v>AM</v>
      </c>
      <c r="Q32" s="58" t="str">
        <v>3L</v>
      </c>
      <c r="R32" s="252" t="str">
        <f t="shared" si="0"/>
        <v>USDAM3L24Y</v>
      </c>
      <c r="S32" s="252" t="str">
        <v>USDAM3L24Y=ICAP</v>
      </c>
      <c r="T32" s="199" t="s">
        <v>213</v>
      </c>
      <c r="U32" s="199" t="s">
        <v>213</v>
      </c>
      <c r="V32" s="199" t="s">
        <v>213</v>
      </c>
      <c r="W32" s="199" t="s">
        <v>213</v>
      </c>
      <c r="X32" s="203" t="e">
        <f>_xll.qlMidSafe($T32,$U32)</f>
        <v>#NUM!</v>
      </c>
      <c r="Y32" s="201"/>
      <c r="Z32" s="202" t="e">
        <v>#NUM!</v>
      </c>
      <c r="AA32" s="201"/>
      <c r="AB32" s="274" t="e">
        <v>#NUM!</v>
      </c>
      <c r="AC32" s="198" t="e">
        <f>_xll.qlSimpleQuoteSetValue(F32,AB32/100,Trigger)</f>
        <v>#NUM!</v>
      </c>
      <c r="AD32" s="169"/>
      <c r="AE32" s="13"/>
      <c r="AF32" s="13"/>
      <c r="AG32" s="13"/>
      <c r="AH32" s="13"/>
      <c r="AI32" s="13"/>
      <c r="AJ32" s="236" t="e">
        <f t="shared" si="1"/>
        <v>#VALUE!</v>
      </c>
    </row>
    <row r="33" spans="1:36" x14ac:dyDescent="0.2">
      <c r="A33" s="96"/>
      <c r="B33" s="143" t="s">
        <v>61</v>
      </c>
      <c r="C33" s="51" t="str">
        <v>AM</v>
      </c>
      <c r="D33" s="51" t="str">
        <v>3L</v>
      </c>
      <c r="E33" s="49" t="str">
        <f t="shared" si="2"/>
        <v>USDAM3L25Y_Quote</v>
      </c>
      <c r="F33" s="49" t="str">
        <f>_xll.qlSimpleQuote(Currency&amp;$C33&amp;$D33&amp;$B33&amp;QuoteSuffix,,RateTickValue,Permanent,Trigger,ObjectOverwrite)</f>
        <v>USDAM3L25Y_Quote#0000</v>
      </c>
      <c r="G33" s="140" t="str">
        <f>_xll.ohRangeRetrieveError(F33)</f>
        <v/>
      </c>
      <c r="H33" s="23"/>
      <c r="N33" s="96"/>
      <c r="O33" s="205" t="s">
        <v>61</v>
      </c>
      <c r="P33" s="58" t="str">
        <v>AM</v>
      </c>
      <c r="Q33" s="58" t="str">
        <v>3L</v>
      </c>
      <c r="R33" s="252" t="str">
        <f t="shared" si="0"/>
        <v>USDAM3L25Y</v>
      </c>
      <c r="S33" s="252" t="str">
        <v>USDAM3L25Y=ICAP</v>
      </c>
      <c r="T33" s="199">
        <v>3.3109999999999999</v>
      </c>
      <c r="U33" s="199">
        <v>3.3410000000000002</v>
      </c>
      <c r="V33" s="199">
        <v>0</v>
      </c>
      <c r="W33" s="199">
        <v>0</v>
      </c>
      <c r="X33" s="203">
        <f>_xll.qlMidSafe($T33,$U33)</f>
        <v>3.3260000000000001</v>
      </c>
      <c r="Y33" s="201"/>
      <c r="Z33" s="202">
        <v>3.3280000000000003</v>
      </c>
      <c r="AA33" s="201"/>
      <c r="AB33" s="274">
        <v>3.3260000000000001</v>
      </c>
      <c r="AC33" s="198">
        <f>_xll.qlSimpleQuoteSetValue(F33,AB33/100,Trigger)</f>
        <v>9.9999999999961231E-6</v>
      </c>
      <c r="AD33" s="169"/>
      <c r="AE33" s="13"/>
      <c r="AF33" s="13"/>
      <c r="AG33" s="13"/>
      <c r="AH33" s="13"/>
      <c r="AI33" s="13"/>
      <c r="AJ33" s="236">
        <f t="shared" si="1"/>
        <v>3.0000000000000247E-4</v>
      </c>
    </row>
    <row r="34" spans="1:36" x14ac:dyDescent="0.2">
      <c r="A34" s="96"/>
      <c r="B34" s="143" t="s">
        <v>60</v>
      </c>
      <c r="C34" s="51" t="str">
        <v>AM</v>
      </c>
      <c r="D34" s="51" t="str">
        <v>3L</v>
      </c>
      <c r="E34" s="49" t="str">
        <f t="shared" si="2"/>
        <v>USDAM3L26Y_Quote</v>
      </c>
      <c r="F34" s="49" t="str">
        <f>_xll.qlSimpleQuote(Currency&amp;$C34&amp;$D34&amp;$B34&amp;QuoteSuffix,,RateTickValue,Permanent,Trigger,ObjectOverwrite)</f>
        <v>USDAM3L26Y_Quote#0000</v>
      </c>
      <c r="G34" s="140" t="str">
        <f>_xll.ohRangeRetrieveError(F34)</f>
        <v/>
      </c>
      <c r="H34" s="23"/>
      <c r="N34" s="96"/>
      <c r="O34" s="205" t="s">
        <v>60</v>
      </c>
      <c r="P34" s="58" t="str">
        <v>AM</v>
      </c>
      <c r="Q34" s="58" t="str">
        <v>3L</v>
      </c>
      <c r="R34" s="252" t="str">
        <f t="shared" si="0"/>
        <v>USDAM3L26Y</v>
      </c>
      <c r="S34" s="252" t="str">
        <v>USDAM3L26Y=ICAP</v>
      </c>
      <c r="T34" s="199" t="s">
        <v>213</v>
      </c>
      <c r="U34" s="199" t="s">
        <v>213</v>
      </c>
      <c r="V34" s="199" t="s">
        <v>213</v>
      </c>
      <c r="W34" s="199" t="s">
        <v>213</v>
      </c>
      <c r="X34" s="203" t="e">
        <f>_xll.qlMidSafe($T34,$U34)</f>
        <v>#NUM!</v>
      </c>
      <c r="Y34" s="201"/>
      <c r="Z34" s="202" t="e">
        <v>#NUM!</v>
      </c>
      <c r="AA34" s="201"/>
      <c r="AB34" s="274" t="e">
        <v>#NUM!</v>
      </c>
      <c r="AC34" s="198" t="e">
        <f>_xll.qlSimpleQuoteSetValue(F34,AB34/100,Trigger)</f>
        <v>#NUM!</v>
      </c>
      <c r="AD34" s="169"/>
      <c r="AE34" s="13"/>
      <c r="AF34" s="13"/>
      <c r="AG34" s="13"/>
      <c r="AH34" s="13"/>
      <c r="AI34" s="13"/>
      <c r="AJ34" s="236" t="e">
        <f t="shared" si="1"/>
        <v>#VALUE!</v>
      </c>
    </row>
    <row r="35" spans="1:36" x14ac:dyDescent="0.2">
      <c r="A35" s="96"/>
      <c r="B35" s="143" t="s">
        <v>59</v>
      </c>
      <c r="C35" s="51" t="str">
        <v>AM</v>
      </c>
      <c r="D35" s="51" t="str">
        <v>3L</v>
      </c>
      <c r="E35" s="49" t="str">
        <f t="shared" si="2"/>
        <v>USDAM3L27Y_Quote</v>
      </c>
      <c r="F35" s="49" t="str">
        <f>_xll.qlSimpleQuote(Currency&amp;$C35&amp;$D35&amp;$B35&amp;QuoteSuffix,,RateTickValue,Permanent,Trigger,ObjectOverwrite)</f>
        <v>USDAM3L27Y_Quote#0000</v>
      </c>
      <c r="G35" s="140" t="str">
        <f>_xll.ohRangeRetrieveError(F35)</f>
        <v/>
      </c>
      <c r="H35" s="23"/>
      <c r="N35" s="96"/>
      <c r="O35" s="205" t="s">
        <v>59</v>
      </c>
      <c r="P35" s="58" t="str">
        <v>AM</v>
      </c>
      <c r="Q35" s="58" t="str">
        <v>3L</v>
      </c>
      <c r="R35" s="252" t="str">
        <f t="shared" si="0"/>
        <v>USDAM3L27Y</v>
      </c>
      <c r="S35" s="252" t="str">
        <v>USDAM3L27Y=ICAP</v>
      </c>
      <c r="T35" s="199" t="s">
        <v>213</v>
      </c>
      <c r="U35" s="199" t="s">
        <v>213</v>
      </c>
      <c r="V35" s="199" t="s">
        <v>213</v>
      </c>
      <c r="W35" s="199" t="s">
        <v>213</v>
      </c>
      <c r="X35" s="203" t="e">
        <f>_xll.qlMidSafe($T35,$U35)</f>
        <v>#NUM!</v>
      </c>
      <c r="Y35" s="201"/>
      <c r="Z35" s="202" t="e">
        <v>#NUM!</v>
      </c>
      <c r="AA35" s="201"/>
      <c r="AB35" s="274" t="e">
        <v>#NUM!</v>
      </c>
      <c r="AC35" s="198" t="e">
        <f>_xll.qlSimpleQuoteSetValue(F35,AB35/100,Trigger)</f>
        <v>#NUM!</v>
      </c>
      <c r="AD35" s="169"/>
      <c r="AE35" s="13"/>
      <c r="AF35" s="13"/>
      <c r="AG35" s="13"/>
      <c r="AH35" s="13"/>
      <c r="AI35" s="13"/>
      <c r="AJ35" s="236" t="e">
        <f t="shared" si="1"/>
        <v>#VALUE!</v>
      </c>
    </row>
    <row r="36" spans="1:36" x14ac:dyDescent="0.2">
      <c r="A36" s="96"/>
      <c r="B36" s="143" t="s">
        <v>58</v>
      </c>
      <c r="C36" s="51" t="str">
        <v>AM</v>
      </c>
      <c r="D36" s="51" t="str">
        <v>3L</v>
      </c>
      <c r="E36" s="49" t="str">
        <f t="shared" si="2"/>
        <v>USDAM3L28Y_Quote</v>
      </c>
      <c r="F36" s="49" t="str">
        <f>_xll.qlSimpleQuote(Currency&amp;$C36&amp;$D36&amp;$B36&amp;QuoteSuffix,,RateTickValue,Permanent,Trigger,ObjectOverwrite)</f>
        <v>USDAM3L28Y_Quote#0000</v>
      </c>
      <c r="G36" s="140" t="str">
        <f>_xll.ohRangeRetrieveError(F36)</f>
        <v/>
      </c>
      <c r="H36" s="23"/>
      <c r="N36" s="96"/>
      <c r="O36" s="205" t="s">
        <v>58</v>
      </c>
      <c r="P36" s="58" t="str">
        <v>AM</v>
      </c>
      <c r="Q36" s="58" t="str">
        <v>3L</v>
      </c>
      <c r="R36" s="252" t="str">
        <f t="shared" si="0"/>
        <v>USDAM3L28Y</v>
      </c>
      <c r="S36" s="252" t="str">
        <v>USDAM3L28Y=ICAP</v>
      </c>
      <c r="T36" s="199" t="s">
        <v>213</v>
      </c>
      <c r="U36" s="199" t="s">
        <v>213</v>
      </c>
      <c r="V36" s="199" t="s">
        <v>213</v>
      </c>
      <c r="W36" s="199" t="s">
        <v>213</v>
      </c>
      <c r="X36" s="203" t="e">
        <f>_xll.qlMidSafe($T36,$U36)</f>
        <v>#NUM!</v>
      </c>
      <c r="Y36" s="201"/>
      <c r="Z36" s="202" t="e">
        <v>#NUM!</v>
      </c>
      <c r="AA36" s="201"/>
      <c r="AB36" s="274" t="e">
        <v>#NUM!</v>
      </c>
      <c r="AC36" s="198" t="e">
        <f>_xll.qlSimpleQuoteSetValue(F36,AB36/100,Trigger)</f>
        <v>#NUM!</v>
      </c>
      <c r="AD36" s="169"/>
      <c r="AE36" s="13"/>
      <c r="AF36" s="13"/>
      <c r="AG36" s="13"/>
      <c r="AH36" s="13"/>
      <c r="AI36" s="13"/>
      <c r="AJ36" s="236" t="e">
        <f t="shared" si="1"/>
        <v>#VALUE!</v>
      </c>
    </row>
    <row r="37" spans="1:36" x14ac:dyDescent="0.2">
      <c r="A37" s="96"/>
      <c r="B37" s="143" t="s">
        <v>57</v>
      </c>
      <c r="C37" s="51" t="str">
        <v>AM</v>
      </c>
      <c r="D37" s="51" t="str">
        <v>3L</v>
      </c>
      <c r="E37" s="49" t="str">
        <f t="shared" si="2"/>
        <v>USDAM3L29Y_Quote</v>
      </c>
      <c r="F37" s="49" t="str">
        <f>_xll.qlSimpleQuote(Currency&amp;$C37&amp;$D37&amp;$B37&amp;QuoteSuffix,,RateTickValue,Permanent,Trigger,ObjectOverwrite)</f>
        <v>USDAM3L29Y_Quote#0000</v>
      </c>
      <c r="G37" s="140" t="str">
        <f>_xll.ohRangeRetrieveError(F37)</f>
        <v/>
      </c>
      <c r="H37" s="23"/>
      <c r="N37" s="96"/>
      <c r="O37" s="205" t="s">
        <v>57</v>
      </c>
      <c r="P37" s="58" t="str">
        <v>AM</v>
      </c>
      <c r="Q37" s="58" t="str">
        <v>3L</v>
      </c>
      <c r="R37" s="252" t="str">
        <f t="shared" si="0"/>
        <v>USDAM3L29Y</v>
      </c>
      <c r="S37" s="252" t="str">
        <v>USDAM3L29Y=ICAP</v>
      </c>
      <c r="T37" s="199" t="s">
        <v>213</v>
      </c>
      <c r="U37" s="199" t="s">
        <v>213</v>
      </c>
      <c r="V37" s="199" t="s">
        <v>213</v>
      </c>
      <c r="W37" s="199" t="s">
        <v>213</v>
      </c>
      <c r="X37" s="203" t="e">
        <f>_xll.qlMidSafe($T37,$U37)</f>
        <v>#NUM!</v>
      </c>
      <c r="Y37" s="201"/>
      <c r="Z37" s="202" t="e">
        <v>#NUM!</v>
      </c>
      <c r="AA37" s="201"/>
      <c r="AB37" s="274" t="e">
        <v>#NUM!</v>
      </c>
      <c r="AC37" s="198" t="e">
        <f>_xll.qlSimpleQuoteSetValue(F37,AB37/100,Trigger)</f>
        <v>#NUM!</v>
      </c>
      <c r="AD37" s="169"/>
      <c r="AE37" s="13"/>
      <c r="AF37" s="13"/>
      <c r="AG37" s="13"/>
      <c r="AH37" s="13"/>
      <c r="AI37" s="13"/>
      <c r="AJ37" s="236" t="e">
        <f t="shared" si="1"/>
        <v>#VALUE!</v>
      </c>
    </row>
    <row r="38" spans="1:36" x14ac:dyDescent="0.2">
      <c r="A38" s="96"/>
      <c r="B38" s="143" t="s">
        <v>56</v>
      </c>
      <c r="C38" s="51" t="str">
        <v>AM</v>
      </c>
      <c r="D38" s="51" t="str">
        <v>3L</v>
      </c>
      <c r="E38" s="49" t="str">
        <f t="shared" si="2"/>
        <v>USDAM3L30Y_Quote</v>
      </c>
      <c r="F38" s="49" t="str">
        <f>_xll.qlSimpleQuote(Currency&amp;$C38&amp;$D38&amp;$B38&amp;QuoteSuffix,,RateTickValue,Permanent,Trigger,ObjectOverwrite)</f>
        <v>USDAM3L30Y_Quote#0000</v>
      </c>
      <c r="G38" s="140" t="str">
        <f>_xll.ohRangeRetrieveError(F38)</f>
        <v/>
      </c>
      <c r="H38" s="23"/>
      <c r="N38" s="96"/>
      <c r="O38" s="205" t="s">
        <v>56</v>
      </c>
      <c r="P38" s="58" t="str">
        <v>AM</v>
      </c>
      <c r="Q38" s="58" t="str">
        <v>3L</v>
      </c>
      <c r="R38" s="252" t="str">
        <f t="shared" si="0"/>
        <v>USDAM3L30Y</v>
      </c>
      <c r="S38" s="252" t="str">
        <v>USDAM3L30Y=ICAP</v>
      </c>
      <c r="T38" s="199">
        <v>3.3450000000000002</v>
      </c>
      <c r="U38" s="199">
        <v>3.375</v>
      </c>
      <c r="V38" s="199">
        <v>0</v>
      </c>
      <c r="W38" s="199">
        <v>0</v>
      </c>
      <c r="X38" s="203">
        <f>_xll.qlMidSafe($T38,$U38)</f>
        <v>3.3600000000000003</v>
      </c>
      <c r="Y38" s="201"/>
      <c r="Z38" s="202">
        <v>3.3620000000000001</v>
      </c>
      <c r="AA38" s="201"/>
      <c r="AB38" s="274">
        <v>3.3600000000000003</v>
      </c>
      <c r="AC38" s="198">
        <f>_xll.qlSimpleQuoteSetValue(F38,AB38/100,Trigger)</f>
        <v>1.0000000000003062E-5</v>
      </c>
      <c r="AD38" s="169"/>
      <c r="AE38" s="13"/>
      <c r="AF38" s="13"/>
      <c r="AG38" s="13"/>
      <c r="AH38" s="13"/>
      <c r="AI38" s="13"/>
      <c r="AJ38" s="236">
        <f t="shared" si="1"/>
        <v>2.9999999999999363E-4</v>
      </c>
    </row>
    <row r="39" spans="1:36" x14ac:dyDescent="0.2">
      <c r="A39" s="96"/>
      <c r="B39" s="143" t="s">
        <v>51</v>
      </c>
      <c r="C39" s="51" t="str">
        <v>AM</v>
      </c>
      <c r="D39" s="51" t="str">
        <v>3L</v>
      </c>
      <c r="E39" s="49" t="str">
        <f t="shared" si="2"/>
        <v>USDAM3L35Y_Quote</v>
      </c>
      <c r="F39" s="49" t="str">
        <f>_xll.qlSimpleQuote(Currency&amp;$C39&amp;$D39&amp;$B39&amp;QuoteSuffix,,RateTickValue,Permanent,Trigger,ObjectOverwrite)</f>
        <v>USDAM3L35Y_Quote#0000</v>
      </c>
      <c r="G39" s="140" t="str">
        <f>_xll.ohRangeRetrieveError(F39)</f>
        <v/>
      </c>
      <c r="H39" s="23"/>
      <c r="N39" s="96"/>
      <c r="O39" s="205" t="s">
        <v>51</v>
      </c>
      <c r="P39" s="58" t="str">
        <v>AM</v>
      </c>
      <c r="Q39" s="58" t="str">
        <v>3L</v>
      </c>
      <c r="R39" s="252" t="str">
        <f t="shared" si="0"/>
        <v>USDAM3L35Y</v>
      </c>
      <c r="S39" s="252" t="str">
        <v>USDAM3L35Y=ICAP</v>
      </c>
      <c r="T39" s="199" t="s">
        <v>213</v>
      </c>
      <c r="U39" s="199" t="s">
        <v>213</v>
      </c>
      <c r="V39" s="199" t="s">
        <v>213</v>
      </c>
      <c r="W39" s="199" t="s">
        <v>213</v>
      </c>
      <c r="X39" s="203" t="e">
        <f>_xll.qlMidSafe($T39,$U39)</f>
        <v>#NUM!</v>
      </c>
      <c r="Y39" s="201"/>
      <c r="Z39" s="202" t="e">
        <v>#NUM!</v>
      </c>
      <c r="AA39" s="201"/>
      <c r="AB39" s="274" t="e">
        <v>#NUM!</v>
      </c>
      <c r="AC39" s="198" t="e">
        <f>_xll.qlSimpleQuoteSetValue(F39,AB39/100,Trigger)</f>
        <v>#NUM!</v>
      </c>
      <c r="AD39" s="169"/>
      <c r="AE39" s="13"/>
      <c r="AF39" s="13"/>
      <c r="AG39" s="13"/>
      <c r="AH39" s="13"/>
      <c r="AI39" s="13"/>
      <c r="AJ39" s="236" t="e">
        <f t="shared" si="1"/>
        <v>#VALUE!</v>
      </c>
    </row>
    <row r="40" spans="1:36" x14ac:dyDescent="0.2">
      <c r="A40" s="96"/>
      <c r="B40" s="143" t="s">
        <v>46</v>
      </c>
      <c r="C40" s="51" t="str">
        <v>AM</v>
      </c>
      <c r="D40" s="51" t="str">
        <v>3L</v>
      </c>
      <c r="E40" s="49" t="str">
        <f t="shared" si="2"/>
        <v>USDAM3L40Y_Quote</v>
      </c>
      <c r="F40" s="49" t="str">
        <f>_xll.qlSimpleQuote(Currency&amp;$C40&amp;$D40&amp;$B40&amp;QuoteSuffix,,RateTickValue,Permanent,Trigger,ObjectOverwrite)</f>
        <v>USDAM3L40Y_Quote#0000</v>
      </c>
      <c r="G40" s="140" t="str">
        <f>_xll.ohRangeRetrieveError(F40)</f>
        <v/>
      </c>
      <c r="H40" s="23"/>
      <c r="N40" s="96"/>
      <c r="O40" s="205" t="s">
        <v>46</v>
      </c>
      <c r="P40" s="58" t="str">
        <v>AM</v>
      </c>
      <c r="Q40" s="58" t="str">
        <v>3L</v>
      </c>
      <c r="R40" s="252" t="str">
        <f t="shared" si="0"/>
        <v>USDAM3L40Y</v>
      </c>
      <c r="S40" s="252" t="str">
        <v>USDAM3L40Y=ICAP</v>
      </c>
      <c r="T40" s="199">
        <v>3.3639999999999999</v>
      </c>
      <c r="U40" s="199">
        <v>3.3940000000000001</v>
      </c>
      <c r="V40" s="199">
        <v>0</v>
      </c>
      <c r="W40" s="199">
        <v>0</v>
      </c>
      <c r="X40" s="203">
        <f>_xll.qlMidSafe($T40,$U40)</f>
        <v>3.379</v>
      </c>
      <c r="Y40" s="201"/>
      <c r="Z40" s="202">
        <v>3.3810000000000002</v>
      </c>
      <c r="AA40" s="201"/>
      <c r="AB40" s="274">
        <v>3.379</v>
      </c>
      <c r="AC40" s="198">
        <f>_xll.qlSimpleQuoteSetValue(F40,AB40/100,Trigger)</f>
        <v>9.9999999999961231E-6</v>
      </c>
      <c r="AD40" s="169"/>
      <c r="AE40" s="13"/>
      <c r="AF40" s="13"/>
      <c r="AG40" s="13"/>
      <c r="AH40" s="13"/>
      <c r="AI40" s="13"/>
      <c r="AJ40" s="236">
        <f t="shared" si="1"/>
        <v>3.0000000000000247E-4</v>
      </c>
    </row>
    <row r="41" spans="1:36" x14ac:dyDescent="0.2">
      <c r="A41" s="96"/>
      <c r="B41" s="143" t="s">
        <v>36</v>
      </c>
      <c r="C41" s="51" t="str">
        <v>AM</v>
      </c>
      <c r="D41" s="51" t="str">
        <v>3L</v>
      </c>
      <c r="E41" s="49" t="str">
        <f t="shared" si="2"/>
        <v>USDAM3L50Y_Quote</v>
      </c>
      <c r="F41" s="49" t="str">
        <f>_xll.qlSimpleQuote(Currency&amp;$C41&amp;$D41&amp;$B41&amp;QuoteSuffix,,RateTickValue,Permanent,Trigger,ObjectOverwrite)</f>
        <v>USDAM3L50Y_Quote#0000</v>
      </c>
      <c r="G41" s="140" t="str">
        <f>_xll.ohRangeRetrieveError(F41)</f>
        <v/>
      </c>
      <c r="H41" s="23"/>
      <c r="N41" s="96"/>
      <c r="O41" s="205" t="s">
        <v>36</v>
      </c>
      <c r="P41" s="58" t="str">
        <v>AM</v>
      </c>
      <c r="Q41" s="58" t="str">
        <v>3L</v>
      </c>
      <c r="R41" s="252" t="str">
        <f t="shared" si="0"/>
        <v>USDAM3L50Y</v>
      </c>
      <c r="S41" s="252" t="str">
        <v>USDAM3L50Y=ICAP</v>
      </c>
      <c r="T41" s="199">
        <v>3.3450000000000002</v>
      </c>
      <c r="U41" s="199">
        <v>3.375</v>
      </c>
      <c r="V41" s="199">
        <v>0</v>
      </c>
      <c r="W41" s="199">
        <v>0</v>
      </c>
      <c r="X41" s="203">
        <f>_xll.qlMidSafe($T41,$U41)</f>
        <v>3.3600000000000003</v>
      </c>
      <c r="Y41" s="201"/>
      <c r="Z41" s="202">
        <v>3.3620000000000001</v>
      </c>
      <c r="AA41" s="201"/>
      <c r="AB41" s="274">
        <v>3.3600000000000003</v>
      </c>
      <c r="AC41" s="198">
        <f>_xll.qlSimpleQuoteSetValue(F41,AB41/100,Trigger)</f>
        <v>1.0000000000003062E-5</v>
      </c>
      <c r="AD41" s="169"/>
      <c r="AE41" s="13"/>
      <c r="AF41" s="13"/>
      <c r="AG41" s="13"/>
      <c r="AH41" s="13"/>
      <c r="AI41" s="13"/>
      <c r="AJ41" s="236">
        <f t="shared" si="1"/>
        <v>2.9999999999999363E-4</v>
      </c>
    </row>
    <row r="42" spans="1:36" x14ac:dyDescent="0.2">
      <c r="A42" s="96"/>
      <c r="B42" s="143" t="s">
        <v>26</v>
      </c>
      <c r="C42" s="51" t="str">
        <v>AM</v>
      </c>
      <c r="D42" s="51" t="str">
        <v>3L</v>
      </c>
      <c r="E42" s="49" t="str">
        <f t="shared" si="2"/>
        <v>USDAM3L60Y_Quote</v>
      </c>
      <c r="F42" s="49" t="str">
        <f>_xll.qlSimpleQuote(Currency&amp;$C42&amp;$D42&amp;$B42&amp;QuoteSuffix,,RateTickValue,Permanent,Trigger,ObjectOverwrite)</f>
        <v>USDAM3L60Y_Quote#0000</v>
      </c>
      <c r="G42" s="140" t="str">
        <f>_xll.ohRangeRetrieveError(F42)</f>
        <v/>
      </c>
      <c r="H42" s="23"/>
      <c r="N42" s="96"/>
      <c r="O42" s="217" t="s">
        <v>26</v>
      </c>
      <c r="P42" s="207" t="str">
        <v>AM</v>
      </c>
      <c r="Q42" s="207" t="str">
        <v>3L</v>
      </c>
      <c r="R42" s="247" t="str">
        <f t="shared" si="0"/>
        <v>USDAM3L60Y</v>
      </c>
      <c r="S42" s="247" t="str">
        <v>USDAM3L60Y=ICAP</v>
      </c>
      <c r="T42" s="212" t="s">
        <v>213</v>
      </c>
      <c r="U42" s="212" t="s">
        <v>213</v>
      </c>
      <c r="V42" s="212" t="s">
        <v>213</v>
      </c>
      <c r="W42" s="212" t="s">
        <v>213</v>
      </c>
      <c r="X42" s="215" t="e">
        <f>_xll.qlMidSafe($T42,$U42)</f>
        <v>#NUM!</v>
      </c>
      <c r="Y42" s="201"/>
      <c r="Z42" s="214" t="e">
        <v>#NUM!</v>
      </c>
      <c r="AA42" s="201"/>
      <c r="AB42" s="267" t="e">
        <v>#NUM!</v>
      </c>
      <c r="AC42" s="211" t="e">
        <f>_xll.qlSimpleQuoteSetValue(F42,AB42/100,Trigger)</f>
        <v>#NUM!</v>
      </c>
      <c r="AD42" s="169"/>
      <c r="AE42" s="13"/>
      <c r="AF42" s="13"/>
      <c r="AG42" s="13"/>
      <c r="AH42" s="13"/>
      <c r="AI42" s="13"/>
      <c r="AJ42" s="236" t="e">
        <f t="shared" si="1"/>
        <v>#VALUE!</v>
      </c>
    </row>
    <row r="43" spans="1:36" ht="13.5" thickBot="1" x14ac:dyDescent="0.25">
      <c r="A43" s="22"/>
      <c r="B43" s="21"/>
      <c r="C43" s="21"/>
      <c r="D43" s="21"/>
      <c r="E43" s="21"/>
      <c r="F43" s="90"/>
      <c r="G43" s="90"/>
      <c r="H43" s="20"/>
      <c r="N43" s="162"/>
      <c r="O43" s="161"/>
      <c r="P43" s="161"/>
      <c r="Q43" s="161"/>
      <c r="R43" s="21"/>
      <c r="S43" s="21"/>
      <c r="T43" s="21"/>
      <c r="U43" s="21"/>
      <c r="V43" s="21"/>
      <c r="W43" s="21"/>
      <c r="X43" s="21"/>
      <c r="Y43" s="161"/>
      <c r="Z43" s="161"/>
      <c r="AA43" s="161"/>
      <c r="AB43" s="161"/>
      <c r="AC43" s="161"/>
      <c r="AD43" s="237"/>
      <c r="AE43" s="13"/>
      <c r="AF43" s="13"/>
      <c r="AG43" s="13"/>
      <c r="AH43" s="13"/>
      <c r="AI43" s="13"/>
      <c r="AJ43" s="13"/>
    </row>
  </sheetData>
  <conditionalFormatting sqref="AC5:AC42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J43"/>
  <sheetViews>
    <sheetView topLeftCell="T1" workbookViewId="0">
      <selection activeCell="AC3" sqref="AC3"/>
    </sheetView>
  </sheetViews>
  <sheetFormatPr defaultRowHeight="11.25" x14ac:dyDescent="0.2"/>
  <cols>
    <col min="1" max="1" width="2.7109375" style="77" customWidth="1"/>
    <col min="2" max="2" width="6.5703125" style="13" bestFit="1" customWidth="1"/>
    <col min="3" max="3" width="3.140625" style="77" bestFit="1" customWidth="1"/>
    <col min="4" max="4" width="2.7109375" style="77" bestFit="1" customWidth="1"/>
    <col min="5" max="5" width="18" style="77" bestFit="1" customWidth="1"/>
    <col min="6" max="6" width="20.140625" style="160" bestFit="1" customWidth="1"/>
    <col min="7" max="7" width="38.28515625" style="77" customWidth="1"/>
    <col min="8" max="9" width="2.7109375" style="77" customWidth="1"/>
    <col min="10" max="10" width="8.5703125" style="77" bestFit="1" customWidth="1"/>
    <col min="11" max="11" width="3.28515625" style="77" bestFit="1" customWidth="1"/>
    <col min="12" max="12" width="9.5703125" style="77" bestFit="1" customWidth="1"/>
    <col min="13" max="14" width="2.7109375" style="77" customWidth="1"/>
    <col min="15" max="17" width="9.140625" style="77"/>
    <col min="18" max="18" width="10.85546875" style="77" bestFit="1" customWidth="1"/>
    <col min="19" max="19" width="15.140625" style="77" bestFit="1" customWidth="1"/>
    <col min="20" max="22" width="9.140625" style="77"/>
    <col min="23" max="23" width="10.140625" style="77" customWidth="1"/>
    <col min="24" max="24" width="9.140625" style="77"/>
    <col min="25" max="25" width="2.7109375" style="77" customWidth="1"/>
    <col min="26" max="26" width="9.140625" style="77"/>
    <col min="27" max="27" width="2.7109375" style="77" customWidth="1"/>
    <col min="28" max="29" width="9.140625" style="77"/>
    <col min="30" max="31" width="2.7109375" style="77" customWidth="1"/>
    <col min="32" max="16384" width="9.140625" style="77"/>
  </cols>
  <sheetData>
    <row r="1" spans="1:36" ht="12" thickBot="1" x14ac:dyDescent="0.25">
      <c r="N1" s="265" t="s">
        <v>280</v>
      </c>
      <c r="O1" s="150"/>
      <c r="P1" s="150"/>
      <c r="Q1" s="150"/>
      <c r="R1" s="150"/>
      <c r="S1" s="150"/>
      <c r="T1" s="150"/>
      <c r="U1" s="150"/>
      <c r="V1" s="150"/>
      <c r="W1" s="150"/>
      <c r="X1" s="150"/>
      <c r="Y1" s="150"/>
      <c r="Z1" s="150"/>
      <c r="AA1" s="150"/>
      <c r="AB1" s="150"/>
      <c r="AC1" s="150"/>
      <c r="AD1" s="147"/>
      <c r="AE1" s="13"/>
      <c r="AF1" s="13"/>
      <c r="AG1" s="13"/>
      <c r="AH1" s="13"/>
      <c r="AI1" s="13"/>
      <c r="AJ1" s="13"/>
    </row>
    <row r="2" spans="1:36" x14ac:dyDescent="0.2">
      <c r="J2" s="159" t="s">
        <v>185</v>
      </c>
      <c r="K2" s="158" t="s">
        <v>183</v>
      </c>
      <c r="L2" s="157" t="s">
        <v>182</v>
      </c>
      <c r="N2" s="234"/>
      <c r="O2" s="111"/>
      <c r="P2" s="233"/>
      <c r="Q2" s="233"/>
      <c r="R2" s="233"/>
      <c r="S2" s="118" t="s">
        <v>214</v>
      </c>
      <c r="T2" s="201"/>
      <c r="U2" s="201"/>
      <c r="V2" s="201"/>
      <c r="W2" s="201"/>
      <c r="X2" s="111"/>
      <c r="Y2" s="201"/>
      <c r="Z2" s="201"/>
      <c r="AA2" s="201"/>
      <c r="AB2" s="201"/>
      <c r="AC2" s="111"/>
      <c r="AD2" s="23"/>
      <c r="AE2" s="13"/>
      <c r="AF2" s="13"/>
      <c r="AG2" s="13"/>
      <c r="AH2" s="13"/>
      <c r="AI2" s="13"/>
      <c r="AJ2" s="13"/>
    </row>
    <row r="3" spans="1:36" ht="12" thickBot="1" x14ac:dyDescent="0.25">
      <c r="J3" s="156" t="s">
        <v>105</v>
      </c>
      <c r="K3" s="165" t="s">
        <v>181</v>
      </c>
      <c r="L3" s="164" t="s">
        <v>99</v>
      </c>
      <c r="N3" s="96"/>
      <c r="O3" s="201"/>
      <c r="P3" s="111"/>
      <c r="Q3" s="111"/>
      <c r="R3" s="111"/>
      <c r="S3" s="111"/>
      <c r="T3" s="111"/>
      <c r="U3" s="111"/>
      <c r="V3" s="111"/>
      <c r="W3" s="111"/>
      <c r="X3" s="111"/>
      <c r="Y3" s="201"/>
      <c r="Z3" s="201"/>
      <c r="AA3" s="201"/>
      <c r="AB3" s="111"/>
      <c r="AC3" s="231">
        <f>_xll.ohTrigger(AC5:AC42)</f>
        <v>1</v>
      </c>
      <c r="AD3" s="169"/>
      <c r="AE3" s="13"/>
      <c r="AF3" s="13"/>
      <c r="AG3" s="13"/>
      <c r="AH3" s="13"/>
      <c r="AI3" s="13"/>
      <c r="AJ3" s="13"/>
    </row>
    <row r="4" spans="1:36" ht="12" thickBot="1" x14ac:dyDescent="0.25">
      <c r="A4" s="168" t="s">
        <v>186</v>
      </c>
      <c r="B4" s="150"/>
      <c r="C4" s="150"/>
      <c r="D4" s="150"/>
      <c r="E4" s="129"/>
      <c r="F4" s="167"/>
      <c r="G4" s="129"/>
      <c r="H4" s="147"/>
      <c r="J4" s="156" t="s">
        <v>104</v>
      </c>
      <c r="K4" s="58" t="s">
        <v>181</v>
      </c>
      <c r="L4" s="57" t="s">
        <v>102</v>
      </c>
      <c r="N4" s="96"/>
      <c r="O4" s="317"/>
      <c r="P4" s="145"/>
      <c r="Q4" s="145"/>
      <c r="R4" s="145"/>
      <c r="S4" s="196" t="str">
        <f>_xll.RData(S5:S42,T4:W4,"RTFEED:IDN",ReutersRtMode,,T5)</f>
        <v>Updated at 16:43:51</v>
      </c>
      <c r="T4" s="262" t="s">
        <v>201</v>
      </c>
      <c r="U4" s="262" t="s">
        <v>200</v>
      </c>
      <c r="V4" s="262" t="s">
        <v>218</v>
      </c>
      <c r="W4" s="262" t="s">
        <v>236</v>
      </c>
      <c r="X4" s="227" t="s">
        <v>235</v>
      </c>
      <c r="Y4" s="201"/>
      <c r="Z4" s="229" t="s">
        <v>231</v>
      </c>
      <c r="AA4" s="201"/>
      <c r="AB4" s="431" t="s">
        <v>229</v>
      </c>
      <c r="AC4" s="67" t="s">
        <v>228</v>
      </c>
      <c r="AD4" s="169"/>
      <c r="AE4" s="13"/>
      <c r="AF4" s="13"/>
      <c r="AG4" s="13"/>
      <c r="AH4" s="13"/>
      <c r="AI4" s="13"/>
      <c r="AJ4" s="260" t="s">
        <v>234</v>
      </c>
    </row>
    <row r="5" spans="1:36" x14ac:dyDescent="0.2">
      <c r="A5" s="96"/>
      <c r="B5" s="66" t="s">
        <v>109</v>
      </c>
      <c r="C5" s="66"/>
      <c r="D5" s="66"/>
      <c r="E5" s="65" t="str">
        <f>Currency&amp;"_010_Sw"&amp;$C$6&amp;$D$6&amp;".xml"</f>
        <v>USD_010_SwAM6L.xml</v>
      </c>
      <c r="F5" s="64" t="str">
        <f>IF(Serialize,_xll.ohObjectSave(F6:F42,SerializationPath&amp;E5,FileOverwrite,Serialize),"---")</f>
        <v>---</v>
      </c>
      <c r="G5" s="48" t="str">
        <f>_xll.ohRangeRetrieveError(F5)</f>
        <v/>
      </c>
      <c r="H5" s="23"/>
      <c r="J5" s="156" t="s">
        <v>101</v>
      </c>
      <c r="K5" s="58" t="s">
        <v>180</v>
      </c>
      <c r="L5" s="57" t="s">
        <v>99</v>
      </c>
      <c r="N5" s="96"/>
      <c r="O5" s="205" t="s">
        <v>14</v>
      </c>
      <c r="P5" s="254" t="str">
        <f t="array" ref="P5:P42">VLOOKUP(Currency,Conventions,2)</f>
        <v>AM</v>
      </c>
      <c r="Q5" s="254" t="str">
        <f t="array" ref="Q5:Q42">VLOOKUP(Currency,Conventions,3)</f>
        <v>6L</v>
      </c>
      <c r="R5" s="204" t="str">
        <f t="shared" ref="R5:R42" si="0">Currency&amp;$P5&amp;$Q5&amp;$O5</f>
        <v>USDAM6L6M</v>
      </c>
      <c r="S5" s="204" t="str">
        <f t="array" ref="S5:S42">Instruments&amp;"="&amp;VLOOKUP(Contributor,ContributorTable,2,FALSE)</f>
        <v>USDAM6L6M=ICAP</v>
      </c>
      <c r="T5" s="199" t="s">
        <v>213</v>
      </c>
      <c r="U5" s="199" t="s">
        <v>213</v>
      </c>
      <c r="V5" s="199" t="s">
        <v>213</v>
      </c>
      <c r="W5" s="199" t="s">
        <v>213</v>
      </c>
      <c r="X5" s="203" t="e">
        <f>_xll.qlMidSafe($T5,$U5)</f>
        <v>#NUM!</v>
      </c>
      <c r="Y5" s="201"/>
      <c r="Z5" s="202">
        <v>0</v>
      </c>
      <c r="AA5" s="201"/>
      <c r="AB5" s="274" t="e">
        <f t="array" ref="AB5:AB42">QuoteLive</f>
        <v>#NUM!</v>
      </c>
      <c r="AC5" s="198" t="e">
        <f>_xll.qlSimpleQuoteSetValue(F5,AB5/100,Trigger)</f>
        <v>#NUM!</v>
      </c>
      <c r="AD5" s="169"/>
      <c r="AE5" s="13"/>
      <c r="AF5" s="315" t="s">
        <v>105</v>
      </c>
      <c r="AG5" s="61" t="s">
        <v>181</v>
      </c>
      <c r="AH5" s="60" t="s">
        <v>99</v>
      </c>
      <c r="AI5" s="13"/>
      <c r="AJ5" s="236" t="e">
        <f t="shared" ref="AJ5:AJ42" si="1">(U5-X5)/50</f>
        <v>#VALUE!</v>
      </c>
    </row>
    <row r="6" spans="1:36" x14ac:dyDescent="0.2">
      <c r="A6" s="96"/>
      <c r="B6" s="163" t="s">
        <v>8</v>
      </c>
      <c r="C6" s="51" t="str">
        <f t="array" ref="C6:C42">VLOOKUP(Currency,SwapSecondarySetConventions,2)</f>
        <v>AM</v>
      </c>
      <c r="D6" s="51" t="str">
        <f t="array" ref="D6:D42">VLOOKUP(Currency,SwapSecondarySetConventions,3)</f>
        <v>6L</v>
      </c>
      <c r="E6" s="49" t="str">
        <f t="shared" ref="E6:E42" si="2">Currency&amp;$C6&amp;$D6&amp;$B6&amp;QuoteSuffix</f>
        <v>USDAM6L1Y_Quote</v>
      </c>
      <c r="F6" s="49" t="str">
        <f>_xll.qlSimpleQuote(Currency&amp;$C6&amp;$D6&amp;$B6&amp;QuoteSuffix,,RateTickValue,Permanent,Trigger,ObjectOverwrite)</f>
        <v>USDAM6L1Y_Quote#0000</v>
      </c>
      <c r="G6" s="48" t="str">
        <f>_xll.ohRangeRetrieveError(F6)</f>
        <v/>
      </c>
      <c r="H6" s="23"/>
      <c r="J6" s="156" t="s">
        <v>100</v>
      </c>
      <c r="K6" s="165" t="s">
        <v>180</v>
      </c>
      <c r="L6" s="164" t="s">
        <v>99</v>
      </c>
      <c r="N6" s="96"/>
      <c r="O6" s="205" t="s">
        <v>8</v>
      </c>
      <c r="P6" s="254" t="str">
        <v>AM</v>
      </c>
      <c r="Q6" s="254" t="str">
        <v>6L</v>
      </c>
      <c r="R6" s="204" t="str">
        <f t="shared" si="0"/>
        <v>USDAM6L1Y</v>
      </c>
      <c r="S6" s="204" t="str">
        <v>USDAM6L1Y=ICAP</v>
      </c>
      <c r="T6" s="199" t="s">
        <v>213</v>
      </c>
      <c r="U6" s="199" t="s">
        <v>213</v>
      </c>
      <c r="V6" s="199" t="s">
        <v>213</v>
      </c>
      <c r="W6" s="199" t="s">
        <v>213</v>
      </c>
      <c r="X6" s="203" t="e">
        <f>_xll.qlMidSafe($T6,$U6)</f>
        <v>#NUM!</v>
      </c>
      <c r="Y6" s="201"/>
      <c r="Z6" s="202">
        <v>0</v>
      </c>
      <c r="AA6" s="201"/>
      <c r="AB6" s="274" t="e">
        <v>#NUM!</v>
      </c>
      <c r="AC6" s="198" t="e">
        <f>_xll.qlSimpleQuoteSetValue(F6,AB6/100,Trigger)</f>
        <v>#NUM!</v>
      </c>
      <c r="AD6" s="169"/>
      <c r="AE6" s="13"/>
      <c r="AF6" s="156" t="s">
        <v>104</v>
      </c>
      <c r="AG6" s="58" t="s">
        <v>181</v>
      </c>
      <c r="AH6" s="57" t="s">
        <v>102</v>
      </c>
      <c r="AI6" s="13"/>
      <c r="AJ6" s="236" t="e">
        <f t="shared" si="1"/>
        <v>#VALUE!</v>
      </c>
    </row>
    <row r="7" spans="1:36" ht="12" thickBot="1" x14ac:dyDescent="0.25">
      <c r="A7" s="96"/>
      <c r="B7" s="166" t="s">
        <v>108</v>
      </c>
      <c r="C7" s="51" t="str">
        <v>AM</v>
      </c>
      <c r="D7" s="51" t="str">
        <v>6L</v>
      </c>
      <c r="E7" s="49" t="str">
        <f t="shared" si="2"/>
        <v>USDAM6L15M_Quote</v>
      </c>
      <c r="F7" s="49" t="str">
        <f>_xll.qlSimpleQuote(Currency&amp;$C7&amp;$D7&amp;$B7&amp;QuoteSuffix,,RateTickValue,Permanent,Trigger,ObjectOverwrite)</f>
        <v>USDAM6L15M_Quote#0000</v>
      </c>
      <c r="G7" s="48" t="str">
        <f>_xll.ohRangeRetrieveError(F7)</f>
        <v/>
      </c>
      <c r="H7" s="23"/>
      <c r="J7" s="155" t="s">
        <v>95</v>
      </c>
      <c r="K7" s="55" t="s">
        <v>179</v>
      </c>
      <c r="L7" s="54" t="s">
        <v>99</v>
      </c>
      <c r="N7" s="96"/>
      <c r="O7" s="205" t="s">
        <v>108</v>
      </c>
      <c r="P7" s="254" t="str">
        <v>AM</v>
      </c>
      <c r="Q7" s="254" t="str">
        <v>6L</v>
      </c>
      <c r="R7" s="204" t="str">
        <f t="shared" si="0"/>
        <v>USDAM6L15M</v>
      </c>
      <c r="S7" s="204" t="str">
        <v>USDAM6L15M=ICAP</v>
      </c>
      <c r="T7" s="199" t="s">
        <v>213</v>
      </c>
      <c r="U7" s="199" t="s">
        <v>213</v>
      </c>
      <c r="V7" s="199" t="s">
        <v>213</v>
      </c>
      <c r="W7" s="199" t="s">
        <v>213</v>
      </c>
      <c r="X7" s="203" t="e">
        <f>_xll.qlMidEquivalent($T7,$U7,$V7,$W7)</f>
        <v>#NUM!</v>
      </c>
      <c r="Y7" s="201"/>
      <c r="Z7" s="202">
        <v>0</v>
      </c>
      <c r="AA7" s="201"/>
      <c r="AB7" s="274" t="e">
        <v>#NUM!</v>
      </c>
      <c r="AC7" s="198" t="e">
        <f>_xll.qlSimpleQuoteSetValue(F7,AB7/100,Trigger)</f>
        <v>#NUM!</v>
      </c>
      <c r="AD7" s="169"/>
      <c r="AE7" s="13"/>
      <c r="AF7" s="156" t="s">
        <v>101</v>
      </c>
      <c r="AG7" s="58" t="s">
        <v>180</v>
      </c>
      <c r="AH7" s="57" t="s">
        <v>99</v>
      </c>
      <c r="AI7" s="316"/>
      <c r="AJ7" s="236" t="e">
        <f t="shared" si="1"/>
        <v>#VALUE!</v>
      </c>
    </row>
    <row r="8" spans="1:36" x14ac:dyDescent="0.2">
      <c r="A8" s="96"/>
      <c r="B8" s="166" t="s">
        <v>107</v>
      </c>
      <c r="C8" s="51" t="str">
        <v>AM</v>
      </c>
      <c r="D8" s="51" t="str">
        <v>6L</v>
      </c>
      <c r="E8" s="49" t="str">
        <f t="shared" si="2"/>
        <v>USDAM6L18M_Quote</v>
      </c>
      <c r="F8" s="49" t="str">
        <f>_xll.qlSimpleQuote(Currency&amp;$C8&amp;$D8&amp;$B8&amp;QuoteSuffix,,RateTickValue,Permanent,Trigger,ObjectOverwrite)</f>
        <v>USDAM6L18M_Quote#0000</v>
      </c>
      <c r="G8" s="48" t="str">
        <f>_xll.ohRangeRetrieveError(F8)</f>
        <v/>
      </c>
      <c r="H8" s="23"/>
      <c r="N8" s="96"/>
      <c r="O8" s="205" t="s">
        <v>107</v>
      </c>
      <c r="P8" s="254" t="str">
        <v>AM</v>
      </c>
      <c r="Q8" s="254" t="str">
        <v>6L</v>
      </c>
      <c r="R8" s="204" t="str">
        <f t="shared" si="0"/>
        <v>USDAM6L18M</v>
      </c>
      <c r="S8" s="204" t="str">
        <v>USDAM6L18M=ICAP</v>
      </c>
      <c r="T8" s="199" t="s">
        <v>213</v>
      </c>
      <c r="U8" s="199" t="s">
        <v>213</v>
      </c>
      <c r="V8" s="199" t="s">
        <v>213</v>
      </c>
      <c r="W8" s="199" t="s">
        <v>213</v>
      </c>
      <c r="X8" s="203" t="e">
        <f>_xll.qlMidEquivalent($T8,$U8,$V8,$W8)</f>
        <v>#NUM!</v>
      </c>
      <c r="Y8" s="201"/>
      <c r="Z8" s="202">
        <v>0</v>
      </c>
      <c r="AA8" s="201"/>
      <c r="AB8" s="274" t="e">
        <v>#NUM!</v>
      </c>
      <c r="AC8" s="198" t="e">
        <f>_xll.qlSimpleQuoteSetValue(F8,AB8/100,Trigger)</f>
        <v>#NUM!</v>
      </c>
      <c r="AD8" s="169"/>
      <c r="AE8" s="13"/>
      <c r="AF8" s="156" t="s">
        <v>100</v>
      </c>
      <c r="AG8" s="58" t="s">
        <v>180</v>
      </c>
      <c r="AH8" s="57" t="s">
        <v>99</v>
      </c>
      <c r="AI8" s="316"/>
      <c r="AJ8" s="236" t="e">
        <f t="shared" si="1"/>
        <v>#VALUE!</v>
      </c>
    </row>
    <row r="9" spans="1:36" ht="12" thickBot="1" x14ac:dyDescent="0.25">
      <c r="A9" s="96"/>
      <c r="B9" s="166" t="s">
        <v>106</v>
      </c>
      <c r="C9" s="51" t="str">
        <v>AM</v>
      </c>
      <c r="D9" s="51" t="str">
        <v>6L</v>
      </c>
      <c r="E9" s="49" t="str">
        <f t="shared" si="2"/>
        <v>USDAM6L21M_Quote</v>
      </c>
      <c r="F9" s="49" t="str">
        <f>_xll.qlSimpleQuote(Currency&amp;$C9&amp;$D9&amp;$B9&amp;QuoteSuffix,,RateTickValue,Permanent,Trigger,ObjectOverwrite)</f>
        <v>USDAM6L21M_Quote#0000</v>
      </c>
      <c r="G9" s="48" t="str">
        <f>_xll.ohRangeRetrieveError(F9)</f>
        <v/>
      </c>
      <c r="H9" s="23"/>
      <c r="N9" s="96"/>
      <c r="O9" s="205" t="s">
        <v>106</v>
      </c>
      <c r="P9" s="254" t="str">
        <v>AM</v>
      </c>
      <c r="Q9" s="254" t="str">
        <v>6L</v>
      </c>
      <c r="R9" s="204" t="str">
        <f t="shared" si="0"/>
        <v>USDAM6L21M</v>
      </c>
      <c r="S9" s="204" t="str">
        <v>USDAM6L21M=ICAP</v>
      </c>
      <c r="T9" s="199" t="s">
        <v>213</v>
      </c>
      <c r="U9" s="199" t="s">
        <v>213</v>
      </c>
      <c r="V9" s="199" t="s">
        <v>213</v>
      </c>
      <c r="W9" s="199" t="s">
        <v>213</v>
      </c>
      <c r="X9" s="203" t="e">
        <f>_xll.qlMidEquivalent($T9,$U9,$V9,$W9)</f>
        <v>#NUM!</v>
      </c>
      <c r="Y9" s="201"/>
      <c r="Z9" s="202">
        <v>0</v>
      </c>
      <c r="AA9" s="201"/>
      <c r="AB9" s="274" t="e">
        <v>#NUM!</v>
      </c>
      <c r="AC9" s="198" t="e">
        <f>_xll.qlSimpleQuoteSetValue(F9,AB9/100,Trigger)</f>
        <v>#NUM!</v>
      </c>
      <c r="AD9" s="169"/>
      <c r="AE9" s="13"/>
      <c r="AF9" s="155" t="s">
        <v>95</v>
      </c>
      <c r="AG9" s="55" t="s">
        <v>179</v>
      </c>
      <c r="AH9" s="54" t="s">
        <v>99</v>
      </c>
      <c r="AI9" s="13"/>
      <c r="AJ9" s="236" t="e">
        <f t="shared" si="1"/>
        <v>#VALUE!</v>
      </c>
    </row>
    <row r="10" spans="1:36" x14ac:dyDescent="0.2">
      <c r="A10" s="96"/>
      <c r="B10" s="163" t="s">
        <v>84</v>
      </c>
      <c r="C10" s="51" t="str">
        <v>AM</v>
      </c>
      <c r="D10" s="51" t="str">
        <v>6L</v>
      </c>
      <c r="E10" s="49" t="str">
        <f t="shared" si="2"/>
        <v>USDAM6L2Y_Quote</v>
      </c>
      <c r="F10" s="49" t="str">
        <f>_xll.qlSimpleQuote(Currency&amp;$C10&amp;$D10&amp;$B10&amp;QuoteSuffix,,RateTickValue,Permanent,Trigger,ObjectOverwrite)</f>
        <v>USDAM6L2Y_Quote#0000</v>
      </c>
      <c r="G10" s="48" t="str">
        <f>_xll.ohRangeRetrieveError(F10)</f>
        <v/>
      </c>
      <c r="H10" s="23"/>
      <c r="N10" s="96"/>
      <c r="O10" s="205" t="s">
        <v>84</v>
      </c>
      <c r="P10" s="254" t="str">
        <v>AM</v>
      </c>
      <c r="Q10" s="254" t="str">
        <v>6L</v>
      </c>
      <c r="R10" s="204" t="str">
        <f t="shared" si="0"/>
        <v>USDAM6L2Y</v>
      </c>
      <c r="S10" s="204" t="str">
        <v>USDAM6L2Y=ICAP</v>
      </c>
      <c r="T10" s="199" t="s">
        <v>213</v>
      </c>
      <c r="U10" s="199" t="s">
        <v>213</v>
      </c>
      <c r="V10" s="199" t="s">
        <v>213</v>
      </c>
      <c r="W10" s="199" t="s">
        <v>213</v>
      </c>
      <c r="X10" s="203" t="e">
        <f>_xll.qlMidEquivalent($T10,$U10,$V10,$W10)</f>
        <v>#NUM!</v>
      </c>
      <c r="Y10" s="201"/>
      <c r="Z10" s="202">
        <v>0</v>
      </c>
      <c r="AA10" s="201"/>
      <c r="AB10" s="274" t="e">
        <v>#NUM!</v>
      </c>
      <c r="AC10" s="198" t="e">
        <f>_xll.qlSimpleQuoteSetValue(F10,AB10/100,Trigger)</f>
        <v>#NUM!</v>
      </c>
      <c r="AD10" s="169"/>
      <c r="AE10" s="13"/>
      <c r="AF10" s="13"/>
      <c r="AG10" s="13"/>
      <c r="AH10" s="13"/>
      <c r="AI10" s="13"/>
      <c r="AJ10" s="236" t="e">
        <f t="shared" si="1"/>
        <v>#VALUE!</v>
      </c>
    </row>
    <row r="11" spans="1:36" x14ac:dyDescent="0.2">
      <c r="A11" s="96"/>
      <c r="B11" s="163" t="s">
        <v>83</v>
      </c>
      <c r="C11" s="51" t="str">
        <v>AM</v>
      </c>
      <c r="D11" s="51" t="str">
        <v>6L</v>
      </c>
      <c r="E11" s="49" t="str">
        <f t="shared" si="2"/>
        <v>USDAM6L3Y_Quote</v>
      </c>
      <c r="F11" s="49" t="str">
        <f>_xll.qlSimpleQuote(Currency&amp;$C11&amp;$D11&amp;$B11&amp;QuoteSuffix,,RateTickValue,Permanent,Trigger,ObjectOverwrite)</f>
        <v>USDAM6L3Y_Quote#0000</v>
      </c>
      <c r="G11" s="48" t="str">
        <f>_xll.ohRangeRetrieveError(F11)</f>
        <v/>
      </c>
      <c r="H11" s="23"/>
      <c r="N11" s="96"/>
      <c r="O11" s="205" t="s">
        <v>83</v>
      </c>
      <c r="P11" s="254" t="str">
        <v>AM</v>
      </c>
      <c r="Q11" s="254" t="str">
        <v>6L</v>
      </c>
      <c r="R11" s="204" t="str">
        <f t="shared" si="0"/>
        <v>USDAM6L3Y</v>
      </c>
      <c r="S11" s="204" t="str">
        <v>USDAM6L3Y=ICAP</v>
      </c>
      <c r="T11" s="199" t="s">
        <v>213</v>
      </c>
      <c r="U11" s="199" t="s">
        <v>213</v>
      </c>
      <c r="V11" s="199" t="s">
        <v>213</v>
      </c>
      <c r="W11" s="199" t="s">
        <v>213</v>
      </c>
      <c r="X11" s="203" t="e">
        <f>_xll.qlMidEquivalent($T11,$U11,$V11,$W11)</f>
        <v>#NUM!</v>
      </c>
      <c r="Y11" s="201"/>
      <c r="Z11" s="202">
        <v>0</v>
      </c>
      <c r="AA11" s="201"/>
      <c r="AB11" s="274" t="e">
        <v>#NUM!</v>
      </c>
      <c r="AC11" s="198" t="e">
        <f>_xll.qlSimpleQuoteSetValue(F11,AB11/100,Trigger)</f>
        <v>#NUM!</v>
      </c>
      <c r="AD11" s="169"/>
      <c r="AE11" s="13"/>
      <c r="AF11" s="13"/>
      <c r="AG11" s="13"/>
      <c r="AH11" s="13"/>
      <c r="AI11" s="13"/>
      <c r="AJ11" s="236" t="e">
        <f t="shared" si="1"/>
        <v>#VALUE!</v>
      </c>
    </row>
    <row r="12" spans="1:36" x14ac:dyDescent="0.2">
      <c r="A12" s="96"/>
      <c r="B12" s="163" t="s">
        <v>82</v>
      </c>
      <c r="C12" s="51" t="str">
        <v>AM</v>
      </c>
      <c r="D12" s="51" t="str">
        <v>6L</v>
      </c>
      <c r="E12" s="49" t="str">
        <f t="shared" si="2"/>
        <v>USDAM6L4Y_Quote</v>
      </c>
      <c r="F12" s="49" t="str">
        <f>_xll.qlSimpleQuote(Currency&amp;$C12&amp;$D12&amp;$B12&amp;QuoteSuffix,,RateTickValue,Permanent,Trigger,ObjectOverwrite)</f>
        <v>USDAM6L4Y_Quote#0000</v>
      </c>
      <c r="G12" s="48" t="str">
        <f>_xll.ohRangeRetrieveError(F12)</f>
        <v/>
      </c>
      <c r="H12" s="23"/>
      <c r="N12" s="96"/>
      <c r="O12" s="205" t="s">
        <v>82</v>
      </c>
      <c r="P12" s="254" t="str">
        <v>AM</v>
      </c>
      <c r="Q12" s="254" t="str">
        <v>6L</v>
      </c>
      <c r="R12" s="204" t="str">
        <f t="shared" si="0"/>
        <v>USDAM6L4Y</v>
      </c>
      <c r="S12" s="204" t="str">
        <v>USDAM6L4Y=ICAP</v>
      </c>
      <c r="T12" s="199" t="s">
        <v>213</v>
      </c>
      <c r="U12" s="199" t="s">
        <v>213</v>
      </c>
      <c r="V12" s="199" t="s">
        <v>213</v>
      </c>
      <c r="W12" s="199" t="s">
        <v>213</v>
      </c>
      <c r="X12" s="203" t="e">
        <f>_xll.qlMidEquivalent($T12,$U12,$V12,$W12)</f>
        <v>#NUM!</v>
      </c>
      <c r="Y12" s="201"/>
      <c r="Z12" s="202">
        <v>0</v>
      </c>
      <c r="AA12" s="201"/>
      <c r="AB12" s="274" t="e">
        <v>#NUM!</v>
      </c>
      <c r="AC12" s="198" t="e">
        <f>_xll.qlSimpleQuoteSetValue(F12,AB12/100,Trigger)</f>
        <v>#NUM!</v>
      </c>
      <c r="AD12" s="169"/>
      <c r="AE12" s="13"/>
      <c r="AF12" s="13"/>
      <c r="AG12" s="13"/>
      <c r="AH12" s="13"/>
      <c r="AI12" s="13"/>
      <c r="AJ12" s="236" t="e">
        <f t="shared" si="1"/>
        <v>#VALUE!</v>
      </c>
    </row>
    <row r="13" spans="1:36" x14ac:dyDescent="0.2">
      <c r="A13" s="96"/>
      <c r="B13" s="163" t="s">
        <v>81</v>
      </c>
      <c r="C13" s="51" t="str">
        <v>AM</v>
      </c>
      <c r="D13" s="51" t="str">
        <v>6L</v>
      </c>
      <c r="E13" s="49" t="str">
        <f t="shared" si="2"/>
        <v>USDAM6L5Y_Quote</v>
      </c>
      <c r="F13" s="49" t="str">
        <f>_xll.qlSimpleQuote(Currency&amp;$C13&amp;$D13&amp;$B13&amp;QuoteSuffix,,RateTickValue,Permanent,Trigger,ObjectOverwrite)</f>
        <v>USDAM6L5Y_Quote#0000</v>
      </c>
      <c r="G13" s="48" t="str">
        <f>_xll.ohRangeRetrieveError(F13)</f>
        <v/>
      </c>
      <c r="H13" s="23"/>
      <c r="N13" s="96"/>
      <c r="O13" s="205" t="s">
        <v>81</v>
      </c>
      <c r="P13" s="254" t="str">
        <v>AM</v>
      </c>
      <c r="Q13" s="254" t="str">
        <v>6L</v>
      </c>
      <c r="R13" s="204" t="str">
        <f t="shared" si="0"/>
        <v>USDAM6L5Y</v>
      </c>
      <c r="S13" s="204" t="str">
        <v>USDAM6L5Y=ICAP</v>
      </c>
      <c r="T13" s="199" t="s">
        <v>213</v>
      </c>
      <c r="U13" s="199" t="s">
        <v>213</v>
      </c>
      <c r="V13" s="199" t="s">
        <v>213</v>
      </c>
      <c r="W13" s="199" t="s">
        <v>213</v>
      </c>
      <c r="X13" s="203" t="e">
        <f>_xll.qlMidEquivalent($T13,$U13,$V13,$W13)</f>
        <v>#NUM!</v>
      </c>
      <c r="Y13" s="201"/>
      <c r="Z13" s="202">
        <v>0</v>
      </c>
      <c r="AA13" s="201"/>
      <c r="AB13" s="274" t="e">
        <v>#NUM!</v>
      </c>
      <c r="AC13" s="198" t="e">
        <f>_xll.qlSimpleQuoteSetValue(F13,AB13/100,Trigger)</f>
        <v>#NUM!</v>
      </c>
      <c r="AD13" s="169"/>
      <c r="AE13" s="13"/>
      <c r="AF13" s="13"/>
      <c r="AG13" s="13"/>
      <c r="AH13" s="13"/>
      <c r="AI13" s="13"/>
      <c r="AJ13" s="236" t="e">
        <f t="shared" si="1"/>
        <v>#VALUE!</v>
      </c>
    </row>
    <row r="14" spans="1:36" x14ac:dyDescent="0.2">
      <c r="A14" s="96"/>
      <c r="B14" s="163" t="s">
        <v>80</v>
      </c>
      <c r="C14" s="51" t="str">
        <v>AM</v>
      </c>
      <c r="D14" s="51" t="str">
        <v>6L</v>
      </c>
      <c r="E14" s="49" t="str">
        <f t="shared" si="2"/>
        <v>USDAM6L6Y_Quote</v>
      </c>
      <c r="F14" s="49" t="str">
        <f>_xll.qlSimpleQuote(Currency&amp;$C14&amp;$D14&amp;$B14&amp;QuoteSuffix,,RateTickValue,Permanent,Trigger,ObjectOverwrite)</f>
        <v>USDAM6L6Y_Quote#0000</v>
      </c>
      <c r="G14" s="48" t="str">
        <f>_xll.ohRangeRetrieveError(F14)</f>
        <v/>
      </c>
      <c r="H14" s="23"/>
      <c r="N14" s="96"/>
      <c r="O14" s="205" t="s">
        <v>80</v>
      </c>
      <c r="P14" s="254" t="str">
        <v>AM</v>
      </c>
      <c r="Q14" s="254" t="str">
        <v>6L</v>
      </c>
      <c r="R14" s="204" t="str">
        <f t="shared" si="0"/>
        <v>USDAM6L6Y</v>
      </c>
      <c r="S14" s="204" t="str">
        <v>USDAM6L6Y=ICAP</v>
      </c>
      <c r="T14" s="199" t="s">
        <v>213</v>
      </c>
      <c r="U14" s="199" t="s">
        <v>213</v>
      </c>
      <c r="V14" s="199" t="s">
        <v>213</v>
      </c>
      <c r="W14" s="199" t="s">
        <v>213</v>
      </c>
      <c r="X14" s="203" t="e">
        <f>_xll.qlMidEquivalent($T14,$U14,$V14,$W14)</f>
        <v>#NUM!</v>
      </c>
      <c r="Y14" s="201"/>
      <c r="Z14" s="202">
        <v>0</v>
      </c>
      <c r="AA14" s="201"/>
      <c r="AB14" s="274" t="e">
        <v>#NUM!</v>
      </c>
      <c r="AC14" s="198" t="e">
        <f>_xll.qlSimpleQuoteSetValue(F14,AB14/100,Trigger)</f>
        <v>#NUM!</v>
      </c>
      <c r="AD14" s="169"/>
      <c r="AE14" s="13"/>
      <c r="AF14" s="13"/>
      <c r="AG14" s="13"/>
      <c r="AH14" s="13"/>
      <c r="AI14" s="13"/>
      <c r="AJ14" s="236" t="e">
        <f t="shared" si="1"/>
        <v>#VALUE!</v>
      </c>
    </row>
    <row r="15" spans="1:36" x14ac:dyDescent="0.2">
      <c r="A15" s="96"/>
      <c r="B15" s="163" t="s">
        <v>79</v>
      </c>
      <c r="C15" s="51" t="str">
        <v>AM</v>
      </c>
      <c r="D15" s="51" t="str">
        <v>6L</v>
      </c>
      <c r="E15" s="49" t="str">
        <f t="shared" si="2"/>
        <v>USDAM6L7Y_Quote</v>
      </c>
      <c r="F15" s="49" t="str">
        <f>_xll.qlSimpleQuote(Currency&amp;$C15&amp;$D15&amp;$B15&amp;QuoteSuffix,,RateTickValue,Permanent,Trigger,ObjectOverwrite)</f>
        <v>USDAM6L7Y_Quote#0000</v>
      </c>
      <c r="G15" s="48" t="str">
        <f>_xll.ohRangeRetrieveError(F15)</f>
        <v/>
      </c>
      <c r="H15" s="23"/>
      <c r="N15" s="96"/>
      <c r="O15" s="205" t="s">
        <v>79</v>
      </c>
      <c r="P15" s="254" t="str">
        <v>AM</v>
      </c>
      <c r="Q15" s="254" t="str">
        <v>6L</v>
      </c>
      <c r="R15" s="204" t="str">
        <f t="shared" si="0"/>
        <v>USDAM6L7Y</v>
      </c>
      <c r="S15" s="204" t="str">
        <v>USDAM6L7Y=ICAP</v>
      </c>
      <c r="T15" s="199" t="s">
        <v>213</v>
      </c>
      <c r="U15" s="199" t="s">
        <v>213</v>
      </c>
      <c r="V15" s="199" t="s">
        <v>213</v>
      </c>
      <c r="W15" s="199" t="s">
        <v>213</v>
      </c>
      <c r="X15" s="203" t="e">
        <f>_xll.qlMidEquivalent($T15,$U15,$V15,$W15)</f>
        <v>#NUM!</v>
      </c>
      <c r="Y15" s="201"/>
      <c r="Z15" s="202">
        <v>0</v>
      </c>
      <c r="AA15" s="201"/>
      <c r="AB15" s="274" t="e">
        <v>#NUM!</v>
      </c>
      <c r="AC15" s="198" t="e">
        <f>_xll.qlSimpleQuoteSetValue(F15,AB15/100,Trigger)</f>
        <v>#NUM!</v>
      </c>
      <c r="AD15" s="169"/>
      <c r="AE15" s="13"/>
      <c r="AF15" s="13"/>
      <c r="AG15" s="13"/>
      <c r="AH15" s="13"/>
      <c r="AI15" s="13"/>
      <c r="AJ15" s="236" t="e">
        <f t="shared" si="1"/>
        <v>#VALUE!</v>
      </c>
    </row>
    <row r="16" spans="1:36" x14ac:dyDescent="0.2">
      <c r="A16" s="96"/>
      <c r="B16" s="163" t="s">
        <v>78</v>
      </c>
      <c r="C16" s="51" t="str">
        <v>AM</v>
      </c>
      <c r="D16" s="51" t="str">
        <v>6L</v>
      </c>
      <c r="E16" s="49" t="str">
        <f t="shared" si="2"/>
        <v>USDAM6L8Y_Quote</v>
      </c>
      <c r="F16" s="49" t="str">
        <f>_xll.qlSimpleQuote(Currency&amp;$C16&amp;$D16&amp;$B16&amp;QuoteSuffix,,RateTickValue,Permanent,Trigger,ObjectOverwrite)</f>
        <v>USDAM6L8Y_Quote#0000</v>
      </c>
      <c r="G16" s="48" t="str">
        <f>_xll.ohRangeRetrieveError(F16)</f>
        <v/>
      </c>
      <c r="H16" s="23"/>
      <c r="N16" s="96"/>
      <c r="O16" s="205" t="s">
        <v>78</v>
      </c>
      <c r="P16" s="254" t="str">
        <v>AM</v>
      </c>
      <c r="Q16" s="254" t="str">
        <v>6L</v>
      </c>
      <c r="R16" s="204" t="str">
        <f t="shared" si="0"/>
        <v>USDAM6L8Y</v>
      </c>
      <c r="S16" s="204" t="str">
        <v>USDAM6L8Y=ICAP</v>
      </c>
      <c r="T16" s="199" t="s">
        <v>213</v>
      </c>
      <c r="U16" s="199" t="s">
        <v>213</v>
      </c>
      <c r="V16" s="199" t="s">
        <v>213</v>
      </c>
      <c r="W16" s="199" t="s">
        <v>213</v>
      </c>
      <c r="X16" s="203" t="e">
        <f>_xll.qlMidEquivalent($T16,$U16,$V16,$W16)</f>
        <v>#NUM!</v>
      </c>
      <c r="Y16" s="201"/>
      <c r="Z16" s="202">
        <v>0</v>
      </c>
      <c r="AA16" s="201"/>
      <c r="AB16" s="274" t="e">
        <v>#NUM!</v>
      </c>
      <c r="AC16" s="198" t="e">
        <f>_xll.qlSimpleQuoteSetValue(F16,AB16/100,Trigger)</f>
        <v>#NUM!</v>
      </c>
      <c r="AD16" s="169"/>
      <c r="AE16" s="13"/>
      <c r="AF16" s="13"/>
      <c r="AG16" s="13"/>
      <c r="AH16" s="13"/>
      <c r="AI16" s="13"/>
      <c r="AJ16" s="236" t="e">
        <f t="shared" si="1"/>
        <v>#VALUE!</v>
      </c>
    </row>
    <row r="17" spans="1:36" x14ac:dyDescent="0.2">
      <c r="A17" s="96"/>
      <c r="B17" s="163" t="s">
        <v>77</v>
      </c>
      <c r="C17" s="51" t="str">
        <v>AM</v>
      </c>
      <c r="D17" s="51" t="str">
        <v>6L</v>
      </c>
      <c r="E17" s="49" t="str">
        <f t="shared" si="2"/>
        <v>USDAM6L9Y_Quote</v>
      </c>
      <c r="F17" s="49" t="str">
        <f>_xll.qlSimpleQuote(Currency&amp;$C17&amp;$D17&amp;$B17&amp;QuoteSuffix,,RateTickValue,Permanent,Trigger,ObjectOverwrite)</f>
        <v>USDAM6L9Y_Quote#0000</v>
      </c>
      <c r="G17" s="48" t="str">
        <f>_xll.ohRangeRetrieveError(F17)</f>
        <v/>
      </c>
      <c r="H17" s="23"/>
      <c r="N17" s="96"/>
      <c r="O17" s="205" t="s">
        <v>77</v>
      </c>
      <c r="P17" s="254" t="str">
        <v>AM</v>
      </c>
      <c r="Q17" s="254" t="str">
        <v>6L</v>
      </c>
      <c r="R17" s="204" t="str">
        <f t="shared" si="0"/>
        <v>USDAM6L9Y</v>
      </c>
      <c r="S17" s="204" t="str">
        <v>USDAM6L9Y=ICAP</v>
      </c>
      <c r="T17" s="199" t="s">
        <v>213</v>
      </c>
      <c r="U17" s="199" t="s">
        <v>213</v>
      </c>
      <c r="V17" s="199" t="s">
        <v>213</v>
      </c>
      <c r="W17" s="199" t="s">
        <v>213</v>
      </c>
      <c r="X17" s="203" t="e">
        <f>_xll.qlMidEquivalent($T17,$U17,$V17,$W17)</f>
        <v>#NUM!</v>
      </c>
      <c r="Y17" s="201"/>
      <c r="Z17" s="202">
        <v>0</v>
      </c>
      <c r="AA17" s="201"/>
      <c r="AB17" s="274" t="e">
        <v>#NUM!</v>
      </c>
      <c r="AC17" s="198" t="e">
        <f>_xll.qlSimpleQuoteSetValue(F17,AB17/100,Trigger)</f>
        <v>#NUM!</v>
      </c>
      <c r="AD17" s="169"/>
      <c r="AE17" s="13"/>
      <c r="AF17" s="13"/>
      <c r="AG17" s="13"/>
      <c r="AH17" s="13"/>
      <c r="AI17" s="13"/>
      <c r="AJ17" s="236" t="e">
        <f t="shared" si="1"/>
        <v>#VALUE!</v>
      </c>
    </row>
    <row r="18" spans="1:36" x14ac:dyDescent="0.2">
      <c r="A18" s="96"/>
      <c r="B18" s="163" t="s">
        <v>76</v>
      </c>
      <c r="C18" s="51" t="str">
        <v>AM</v>
      </c>
      <c r="D18" s="51" t="str">
        <v>6L</v>
      </c>
      <c r="E18" s="49" t="str">
        <f t="shared" si="2"/>
        <v>USDAM6L10Y_Quote</v>
      </c>
      <c r="F18" s="49" t="str">
        <f>_xll.qlSimpleQuote(Currency&amp;$C18&amp;$D18&amp;$B18&amp;QuoteSuffix,,RateTickValue,Permanent,Trigger,ObjectOverwrite)</f>
        <v>USDAM6L10Y_Quote#0000</v>
      </c>
      <c r="G18" s="48" t="str">
        <f>_xll.ohRangeRetrieveError(F18)</f>
        <v/>
      </c>
      <c r="H18" s="23"/>
      <c r="N18" s="96"/>
      <c r="O18" s="205" t="s">
        <v>76</v>
      </c>
      <c r="P18" s="254" t="str">
        <v>AM</v>
      </c>
      <c r="Q18" s="254" t="str">
        <v>6L</v>
      </c>
      <c r="R18" s="204" t="str">
        <f t="shared" si="0"/>
        <v>USDAM6L10Y</v>
      </c>
      <c r="S18" s="204" t="str">
        <v>USDAM6L10Y=ICAP</v>
      </c>
      <c r="T18" s="199" t="s">
        <v>213</v>
      </c>
      <c r="U18" s="199" t="s">
        <v>213</v>
      </c>
      <c r="V18" s="199" t="s">
        <v>213</v>
      </c>
      <c r="W18" s="199" t="s">
        <v>213</v>
      </c>
      <c r="X18" s="203" t="e">
        <f>_xll.qlMidEquivalent($T18,$U18,$V18,$W18)</f>
        <v>#NUM!</v>
      </c>
      <c r="Y18" s="201"/>
      <c r="Z18" s="202">
        <v>0</v>
      </c>
      <c r="AA18" s="201"/>
      <c r="AB18" s="274" t="e">
        <v>#NUM!</v>
      </c>
      <c r="AC18" s="198" t="e">
        <f>_xll.qlSimpleQuoteSetValue(F18,AB18/100,Trigger)</f>
        <v>#NUM!</v>
      </c>
      <c r="AD18" s="169"/>
      <c r="AE18" s="13"/>
      <c r="AF18" s="13"/>
      <c r="AG18" s="13"/>
      <c r="AH18" s="13"/>
      <c r="AI18" s="13"/>
      <c r="AJ18" s="236" t="e">
        <f t="shared" si="1"/>
        <v>#VALUE!</v>
      </c>
    </row>
    <row r="19" spans="1:36" x14ac:dyDescent="0.2">
      <c r="A19" s="96"/>
      <c r="B19" s="163" t="s">
        <v>75</v>
      </c>
      <c r="C19" s="51" t="str">
        <v>AM</v>
      </c>
      <c r="D19" s="51" t="str">
        <v>6L</v>
      </c>
      <c r="E19" s="49" t="str">
        <f t="shared" si="2"/>
        <v>USDAM6L11Y_Quote</v>
      </c>
      <c r="F19" s="49" t="str">
        <f>_xll.qlSimpleQuote(Currency&amp;$C19&amp;$D19&amp;$B19&amp;QuoteSuffix,,RateTickValue,Permanent,Trigger,ObjectOverwrite)</f>
        <v>USDAM6L11Y_Quote#0000</v>
      </c>
      <c r="G19" s="48" t="str">
        <f>_xll.ohRangeRetrieveError(F19)</f>
        <v/>
      </c>
      <c r="H19" s="23"/>
      <c r="N19" s="96"/>
      <c r="O19" s="205" t="s">
        <v>75</v>
      </c>
      <c r="P19" s="254" t="str">
        <v>AM</v>
      </c>
      <c r="Q19" s="254" t="str">
        <v>6L</v>
      </c>
      <c r="R19" s="204" t="str">
        <f t="shared" si="0"/>
        <v>USDAM6L11Y</v>
      </c>
      <c r="S19" s="204" t="str">
        <v>USDAM6L11Y=ICAP</v>
      </c>
      <c r="T19" s="199" t="s">
        <v>213</v>
      </c>
      <c r="U19" s="199" t="s">
        <v>213</v>
      </c>
      <c r="V19" s="199" t="s">
        <v>213</v>
      </c>
      <c r="W19" s="199" t="s">
        <v>213</v>
      </c>
      <c r="X19" s="203" t="e">
        <f>_xll.qlMidEquivalent($T19,$U19,$V19,$W19)</f>
        <v>#NUM!</v>
      </c>
      <c r="Y19" s="201"/>
      <c r="Z19" s="202">
        <v>0</v>
      </c>
      <c r="AA19" s="201"/>
      <c r="AB19" s="274" t="e">
        <v>#NUM!</v>
      </c>
      <c r="AC19" s="198" t="e">
        <f>_xll.qlSimpleQuoteSetValue(F19,AB19/100,Trigger)</f>
        <v>#NUM!</v>
      </c>
      <c r="AD19" s="169"/>
      <c r="AE19" s="13"/>
      <c r="AF19" s="13"/>
      <c r="AG19" s="13"/>
      <c r="AH19" s="13"/>
      <c r="AI19" s="13"/>
      <c r="AJ19" s="236" t="e">
        <f t="shared" si="1"/>
        <v>#VALUE!</v>
      </c>
    </row>
    <row r="20" spans="1:36" x14ac:dyDescent="0.2">
      <c r="A20" s="96"/>
      <c r="B20" s="163" t="s">
        <v>74</v>
      </c>
      <c r="C20" s="51" t="str">
        <v>AM</v>
      </c>
      <c r="D20" s="51" t="str">
        <v>6L</v>
      </c>
      <c r="E20" s="49" t="str">
        <f t="shared" si="2"/>
        <v>USDAM6L12Y_Quote</v>
      </c>
      <c r="F20" s="49" t="str">
        <f>_xll.qlSimpleQuote(Currency&amp;$C20&amp;$D20&amp;$B20&amp;QuoteSuffix,,RateTickValue,Permanent,Trigger,ObjectOverwrite)</f>
        <v>USDAM6L12Y_Quote#0000</v>
      </c>
      <c r="G20" s="48" t="str">
        <f>_xll.ohRangeRetrieveError(F20)</f>
        <v/>
      </c>
      <c r="H20" s="23"/>
      <c r="N20" s="96"/>
      <c r="O20" s="205" t="s">
        <v>74</v>
      </c>
      <c r="P20" s="254" t="str">
        <v>AM</v>
      </c>
      <c r="Q20" s="254" t="str">
        <v>6L</v>
      </c>
      <c r="R20" s="204" t="str">
        <f t="shared" si="0"/>
        <v>USDAM6L12Y</v>
      </c>
      <c r="S20" s="204" t="str">
        <v>USDAM6L12Y=ICAP</v>
      </c>
      <c r="T20" s="199" t="s">
        <v>213</v>
      </c>
      <c r="U20" s="199" t="s">
        <v>213</v>
      </c>
      <c r="V20" s="199" t="s">
        <v>213</v>
      </c>
      <c r="W20" s="199" t="s">
        <v>213</v>
      </c>
      <c r="X20" s="203" t="e">
        <f>_xll.qlMidEquivalent($T20,$U20,$V20,$W20)</f>
        <v>#NUM!</v>
      </c>
      <c r="Y20" s="201"/>
      <c r="Z20" s="202">
        <v>0</v>
      </c>
      <c r="AA20" s="201"/>
      <c r="AB20" s="274" t="e">
        <v>#NUM!</v>
      </c>
      <c r="AC20" s="198" t="e">
        <f>_xll.qlSimpleQuoteSetValue(F20,AB20/100,Trigger)</f>
        <v>#NUM!</v>
      </c>
      <c r="AD20" s="169"/>
      <c r="AE20" s="13"/>
      <c r="AF20" s="13"/>
      <c r="AG20" s="13"/>
      <c r="AH20" s="13"/>
      <c r="AI20" s="13"/>
      <c r="AJ20" s="236" t="e">
        <f t="shared" si="1"/>
        <v>#VALUE!</v>
      </c>
    </row>
    <row r="21" spans="1:36" x14ac:dyDescent="0.2">
      <c r="A21" s="96"/>
      <c r="B21" s="163" t="s">
        <v>73</v>
      </c>
      <c r="C21" s="51" t="str">
        <v>AM</v>
      </c>
      <c r="D21" s="51" t="str">
        <v>6L</v>
      </c>
      <c r="E21" s="49" t="str">
        <f t="shared" si="2"/>
        <v>USDAM6L13Y_Quote</v>
      </c>
      <c r="F21" s="49" t="str">
        <f>_xll.qlSimpleQuote(Currency&amp;$C21&amp;$D21&amp;$B21&amp;QuoteSuffix,,RateTickValue,Permanent,Trigger,ObjectOverwrite)</f>
        <v>USDAM6L13Y_Quote#0000</v>
      </c>
      <c r="G21" s="48" t="str">
        <f>_xll.ohRangeRetrieveError(F21)</f>
        <v/>
      </c>
      <c r="H21" s="23"/>
      <c r="N21" s="96"/>
      <c r="O21" s="205" t="s">
        <v>73</v>
      </c>
      <c r="P21" s="254" t="str">
        <v>AM</v>
      </c>
      <c r="Q21" s="254" t="str">
        <v>6L</v>
      </c>
      <c r="R21" s="204" t="str">
        <f t="shared" si="0"/>
        <v>USDAM6L13Y</v>
      </c>
      <c r="S21" s="204" t="str">
        <v>USDAM6L13Y=ICAP</v>
      </c>
      <c r="T21" s="199" t="s">
        <v>213</v>
      </c>
      <c r="U21" s="199" t="s">
        <v>213</v>
      </c>
      <c r="V21" s="199" t="s">
        <v>213</v>
      </c>
      <c r="W21" s="199" t="s">
        <v>213</v>
      </c>
      <c r="X21" s="203" t="e">
        <f>_xll.qlMidEquivalent($T21,$U21,$V21,$W21)</f>
        <v>#NUM!</v>
      </c>
      <c r="Y21" s="201"/>
      <c r="Z21" s="202">
        <v>0</v>
      </c>
      <c r="AA21" s="201"/>
      <c r="AB21" s="274" t="e">
        <v>#NUM!</v>
      </c>
      <c r="AC21" s="198" t="e">
        <f>_xll.qlSimpleQuoteSetValue(F21,AB21/100,Trigger)</f>
        <v>#NUM!</v>
      </c>
      <c r="AD21" s="169"/>
      <c r="AE21" s="13"/>
      <c r="AF21" s="13"/>
      <c r="AG21" s="13"/>
      <c r="AH21" s="13"/>
      <c r="AI21" s="13"/>
      <c r="AJ21" s="236" t="e">
        <f t="shared" si="1"/>
        <v>#VALUE!</v>
      </c>
    </row>
    <row r="22" spans="1:36" x14ac:dyDescent="0.2">
      <c r="A22" s="96"/>
      <c r="B22" s="163" t="s">
        <v>72</v>
      </c>
      <c r="C22" s="51" t="str">
        <v>AM</v>
      </c>
      <c r="D22" s="51" t="str">
        <v>6L</v>
      </c>
      <c r="E22" s="49" t="str">
        <f t="shared" si="2"/>
        <v>USDAM6L14Y_Quote</v>
      </c>
      <c r="F22" s="49" t="str">
        <f>_xll.qlSimpleQuote(Currency&amp;$C22&amp;$D22&amp;$B22&amp;QuoteSuffix,,RateTickValue,Permanent,Trigger,ObjectOverwrite)</f>
        <v>USDAM6L14Y_Quote#0000</v>
      </c>
      <c r="G22" s="48" t="str">
        <f>_xll.ohRangeRetrieveError(F22)</f>
        <v/>
      </c>
      <c r="H22" s="23"/>
      <c r="N22" s="96"/>
      <c r="O22" s="205" t="s">
        <v>72</v>
      </c>
      <c r="P22" s="254" t="str">
        <v>AM</v>
      </c>
      <c r="Q22" s="254" t="str">
        <v>6L</v>
      </c>
      <c r="R22" s="204" t="str">
        <f t="shared" si="0"/>
        <v>USDAM6L14Y</v>
      </c>
      <c r="S22" s="204" t="str">
        <v>USDAM6L14Y=ICAP</v>
      </c>
      <c r="T22" s="199" t="s">
        <v>213</v>
      </c>
      <c r="U22" s="199" t="s">
        <v>213</v>
      </c>
      <c r="V22" s="199" t="s">
        <v>213</v>
      </c>
      <c r="W22" s="199" t="s">
        <v>213</v>
      </c>
      <c r="X22" s="203" t="e">
        <f>_xll.qlMidEquivalent($T22,$U22,$V22,$W22)</f>
        <v>#NUM!</v>
      </c>
      <c r="Y22" s="201"/>
      <c r="Z22" s="202">
        <v>0</v>
      </c>
      <c r="AA22" s="201"/>
      <c r="AB22" s="274" t="e">
        <v>#NUM!</v>
      </c>
      <c r="AC22" s="198" t="e">
        <f>_xll.qlSimpleQuoteSetValue(F22,AB22/100,Trigger)</f>
        <v>#NUM!</v>
      </c>
      <c r="AD22" s="169"/>
      <c r="AE22" s="13"/>
      <c r="AF22" s="13"/>
      <c r="AG22" s="13"/>
      <c r="AH22" s="13"/>
      <c r="AI22" s="13"/>
      <c r="AJ22" s="236" t="e">
        <f t="shared" si="1"/>
        <v>#VALUE!</v>
      </c>
    </row>
    <row r="23" spans="1:36" x14ac:dyDescent="0.2">
      <c r="A23" s="96"/>
      <c r="B23" s="163" t="s">
        <v>71</v>
      </c>
      <c r="C23" s="51" t="str">
        <v>AM</v>
      </c>
      <c r="D23" s="51" t="str">
        <v>6L</v>
      </c>
      <c r="E23" s="49" t="str">
        <f t="shared" si="2"/>
        <v>USDAM6L15Y_Quote</v>
      </c>
      <c r="F23" s="49" t="str">
        <f>_xll.qlSimpleQuote(Currency&amp;$C23&amp;$D23&amp;$B23&amp;QuoteSuffix,,RateTickValue,Permanent,Trigger,ObjectOverwrite)</f>
        <v>USDAM6L15Y_Quote#0000</v>
      </c>
      <c r="G23" s="48" t="str">
        <f>_xll.ohRangeRetrieveError(F23)</f>
        <v/>
      </c>
      <c r="H23" s="23"/>
      <c r="N23" s="96"/>
      <c r="O23" s="205" t="s">
        <v>71</v>
      </c>
      <c r="P23" s="254" t="str">
        <v>AM</v>
      </c>
      <c r="Q23" s="254" t="str">
        <v>6L</v>
      </c>
      <c r="R23" s="204" t="str">
        <f t="shared" si="0"/>
        <v>USDAM6L15Y</v>
      </c>
      <c r="S23" s="204" t="str">
        <v>USDAM6L15Y=ICAP</v>
      </c>
      <c r="T23" s="199" t="s">
        <v>213</v>
      </c>
      <c r="U23" s="199" t="s">
        <v>213</v>
      </c>
      <c r="V23" s="199" t="s">
        <v>213</v>
      </c>
      <c r="W23" s="199" t="s">
        <v>213</v>
      </c>
      <c r="X23" s="203" t="e">
        <f>_xll.qlMidEquivalent($T23,$U23,$V23,$W23)</f>
        <v>#NUM!</v>
      </c>
      <c r="Y23" s="201"/>
      <c r="Z23" s="202">
        <v>0</v>
      </c>
      <c r="AA23" s="201"/>
      <c r="AB23" s="274" t="e">
        <v>#NUM!</v>
      </c>
      <c r="AC23" s="198" t="e">
        <f>_xll.qlSimpleQuoteSetValue(F23,AB23/100,Trigger)</f>
        <v>#NUM!</v>
      </c>
      <c r="AD23" s="169"/>
      <c r="AE23" s="13"/>
      <c r="AF23" s="13"/>
      <c r="AG23" s="13"/>
      <c r="AH23" s="13"/>
      <c r="AI23" s="13"/>
      <c r="AJ23" s="236" t="e">
        <f t="shared" si="1"/>
        <v>#VALUE!</v>
      </c>
    </row>
    <row r="24" spans="1:36" x14ac:dyDescent="0.2">
      <c r="A24" s="96"/>
      <c r="B24" s="163" t="s">
        <v>70</v>
      </c>
      <c r="C24" s="51" t="str">
        <v>AM</v>
      </c>
      <c r="D24" s="51" t="str">
        <v>6L</v>
      </c>
      <c r="E24" s="49" t="str">
        <f t="shared" si="2"/>
        <v>USDAM6L16Y_Quote</v>
      </c>
      <c r="F24" s="49" t="str">
        <f>_xll.qlSimpleQuote(Currency&amp;$C24&amp;$D24&amp;$B24&amp;QuoteSuffix,,RateTickValue,Permanent,Trigger,ObjectOverwrite)</f>
        <v>USDAM6L16Y_Quote#0000</v>
      </c>
      <c r="G24" s="48" t="str">
        <f>_xll.ohRangeRetrieveError(F24)</f>
        <v/>
      </c>
      <c r="H24" s="23"/>
      <c r="N24" s="96"/>
      <c r="O24" s="205" t="s">
        <v>70</v>
      </c>
      <c r="P24" s="254" t="str">
        <v>AM</v>
      </c>
      <c r="Q24" s="254" t="str">
        <v>6L</v>
      </c>
      <c r="R24" s="204" t="str">
        <f t="shared" si="0"/>
        <v>USDAM6L16Y</v>
      </c>
      <c r="S24" s="204" t="str">
        <v>USDAM6L16Y=ICAP</v>
      </c>
      <c r="T24" s="199" t="s">
        <v>213</v>
      </c>
      <c r="U24" s="199" t="s">
        <v>213</v>
      </c>
      <c r="V24" s="199" t="s">
        <v>213</v>
      </c>
      <c r="W24" s="199" t="s">
        <v>213</v>
      </c>
      <c r="X24" s="203" t="e">
        <f>_xll.qlMidEquivalent($T24,$U24,$V24,$W24)</f>
        <v>#NUM!</v>
      </c>
      <c r="Y24" s="201"/>
      <c r="Z24" s="202">
        <v>0</v>
      </c>
      <c r="AA24" s="201"/>
      <c r="AB24" s="274" t="e">
        <v>#NUM!</v>
      </c>
      <c r="AC24" s="198" t="e">
        <f>_xll.qlSimpleQuoteSetValue(F24,AB24/100,Trigger)</f>
        <v>#NUM!</v>
      </c>
      <c r="AD24" s="169"/>
      <c r="AE24" s="13"/>
      <c r="AF24" s="13"/>
      <c r="AG24" s="13"/>
      <c r="AH24" s="13"/>
      <c r="AI24" s="13"/>
      <c r="AJ24" s="236" t="e">
        <f t="shared" si="1"/>
        <v>#VALUE!</v>
      </c>
    </row>
    <row r="25" spans="1:36" x14ac:dyDescent="0.2">
      <c r="A25" s="96"/>
      <c r="B25" s="163" t="s">
        <v>69</v>
      </c>
      <c r="C25" s="51" t="str">
        <v>AM</v>
      </c>
      <c r="D25" s="51" t="str">
        <v>6L</v>
      </c>
      <c r="E25" s="49" t="str">
        <f t="shared" si="2"/>
        <v>USDAM6L17Y_Quote</v>
      </c>
      <c r="F25" s="49" t="str">
        <f>_xll.qlSimpleQuote(Currency&amp;$C25&amp;$D25&amp;$B25&amp;QuoteSuffix,,RateTickValue,Permanent,Trigger,ObjectOverwrite)</f>
        <v>USDAM6L17Y_Quote#0000</v>
      </c>
      <c r="G25" s="48" t="str">
        <f>_xll.ohRangeRetrieveError(F25)</f>
        <v/>
      </c>
      <c r="H25" s="23"/>
      <c r="N25" s="96"/>
      <c r="O25" s="205" t="s">
        <v>69</v>
      </c>
      <c r="P25" s="254" t="str">
        <v>AM</v>
      </c>
      <c r="Q25" s="254" t="str">
        <v>6L</v>
      </c>
      <c r="R25" s="204" t="str">
        <f t="shared" si="0"/>
        <v>USDAM6L17Y</v>
      </c>
      <c r="S25" s="204" t="str">
        <v>USDAM6L17Y=ICAP</v>
      </c>
      <c r="T25" s="199" t="s">
        <v>213</v>
      </c>
      <c r="U25" s="199" t="s">
        <v>213</v>
      </c>
      <c r="V25" s="199" t="s">
        <v>213</v>
      </c>
      <c r="W25" s="199" t="s">
        <v>213</v>
      </c>
      <c r="X25" s="203" t="e">
        <f>_xll.qlMidEquivalent($T25,$U25,$V25,$W25)</f>
        <v>#NUM!</v>
      </c>
      <c r="Y25" s="201"/>
      <c r="Z25" s="202">
        <v>0</v>
      </c>
      <c r="AA25" s="201"/>
      <c r="AB25" s="274" t="e">
        <v>#NUM!</v>
      </c>
      <c r="AC25" s="198" t="e">
        <f>_xll.qlSimpleQuoteSetValue(F25,AB25/100,Trigger)</f>
        <v>#NUM!</v>
      </c>
      <c r="AD25" s="169"/>
      <c r="AE25" s="13"/>
      <c r="AF25" s="13"/>
      <c r="AG25" s="13"/>
      <c r="AH25" s="13"/>
      <c r="AI25" s="13"/>
      <c r="AJ25" s="236" t="e">
        <f t="shared" si="1"/>
        <v>#VALUE!</v>
      </c>
    </row>
    <row r="26" spans="1:36" x14ac:dyDescent="0.2">
      <c r="A26" s="96"/>
      <c r="B26" s="163" t="s">
        <v>68</v>
      </c>
      <c r="C26" s="51" t="str">
        <v>AM</v>
      </c>
      <c r="D26" s="51" t="str">
        <v>6L</v>
      </c>
      <c r="E26" s="49" t="str">
        <f t="shared" si="2"/>
        <v>USDAM6L18Y_Quote</v>
      </c>
      <c r="F26" s="49" t="str">
        <f>_xll.qlSimpleQuote(Currency&amp;$C26&amp;$D26&amp;$B26&amp;QuoteSuffix,,RateTickValue,Permanent,Trigger,ObjectOverwrite)</f>
        <v>USDAM6L18Y_Quote#0000</v>
      </c>
      <c r="G26" s="48" t="str">
        <f>_xll.ohRangeRetrieveError(F26)</f>
        <v/>
      </c>
      <c r="H26" s="23"/>
      <c r="N26" s="96"/>
      <c r="O26" s="205" t="s">
        <v>68</v>
      </c>
      <c r="P26" s="254" t="str">
        <v>AM</v>
      </c>
      <c r="Q26" s="254" t="str">
        <v>6L</v>
      </c>
      <c r="R26" s="204" t="str">
        <f t="shared" si="0"/>
        <v>USDAM6L18Y</v>
      </c>
      <c r="S26" s="204" t="str">
        <v>USDAM6L18Y=ICAP</v>
      </c>
      <c r="T26" s="199" t="s">
        <v>213</v>
      </c>
      <c r="U26" s="199" t="s">
        <v>213</v>
      </c>
      <c r="V26" s="199" t="s">
        <v>213</v>
      </c>
      <c r="W26" s="199" t="s">
        <v>213</v>
      </c>
      <c r="X26" s="203" t="e">
        <f>_xll.qlMidEquivalent($T26,$U26,$V26,$W26)</f>
        <v>#NUM!</v>
      </c>
      <c r="Y26" s="201"/>
      <c r="Z26" s="202">
        <v>0</v>
      </c>
      <c r="AA26" s="201"/>
      <c r="AB26" s="274" t="e">
        <v>#NUM!</v>
      </c>
      <c r="AC26" s="198" t="e">
        <f>_xll.qlSimpleQuoteSetValue(F26,AB26/100,Trigger)</f>
        <v>#NUM!</v>
      </c>
      <c r="AD26" s="169"/>
      <c r="AE26" s="13"/>
      <c r="AF26" s="13"/>
      <c r="AG26" s="13"/>
      <c r="AH26" s="13"/>
      <c r="AI26" s="13"/>
      <c r="AJ26" s="236" t="e">
        <f t="shared" si="1"/>
        <v>#VALUE!</v>
      </c>
    </row>
    <row r="27" spans="1:36" x14ac:dyDescent="0.2">
      <c r="A27" s="96"/>
      <c r="B27" s="163" t="s">
        <v>67</v>
      </c>
      <c r="C27" s="51" t="str">
        <v>AM</v>
      </c>
      <c r="D27" s="51" t="str">
        <v>6L</v>
      </c>
      <c r="E27" s="49" t="str">
        <f t="shared" si="2"/>
        <v>USDAM6L19Y_Quote</v>
      </c>
      <c r="F27" s="49" t="str">
        <f>_xll.qlSimpleQuote(Currency&amp;$C27&amp;$D27&amp;$B27&amp;QuoteSuffix,,RateTickValue,Permanent,Trigger,ObjectOverwrite)</f>
        <v>USDAM6L19Y_Quote#0000</v>
      </c>
      <c r="G27" s="48" t="str">
        <f>_xll.ohRangeRetrieveError(F27)</f>
        <v/>
      </c>
      <c r="H27" s="23"/>
      <c r="N27" s="96"/>
      <c r="O27" s="205" t="s">
        <v>67</v>
      </c>
      <c r="P27" s="254" t="str">
        <v>AM</v>
      </c>
      <c r="Q27" s="254" t="str">
        <v>6L</v>
      </c>
      <c r="R27" s="204" t="str">
        <f t="shared" si="0"/>
        <v>USDAM6L19Y</v>
      </c>
      <c r="S27" s="204" t="str">
        <v>USDAM6L19Y=ICAP</v>
      </c>
      <c r="T27" s="199" t="s">
        <v>213</v>
      </c>
      <c r="U27" s="199" t="s">
        <v>213</v>
      </c>
      <c r="V27" s="199" t="s">
        <v>213</v>
      </c>
      <c r="W27" s="199" t="s">
        <v>213</v>
      </c>
      <c r="X27" s="203" t="e">
        <f>_xll.qlMidEquivalent($T27,$U27,$V27,$W27)</f>
        <v>#NUM!</v>
      </c>
      <c r="Y27" s="201"/>
      <c r="Z27" s="202">
        <v>0</v>
      </c>
      <c r="AA27" s="201"/>
      <c r="AB27" s="274" t="e">
        <v>#NUM!</v>
      </c>
      <c r="AC27" s="198" t="e">
        <f>_xll.qlSimpleQuoteSetValue(F27,AB27/100,Trigger)</f>
        <v>#NUM!</v>
      </c>
      <c r="AD27" s="169"/>
      <c r="AE27" s="13"/>
      <c r="AF27" s="13"/>
      <c r="AG27" s="13"/>
      <c r="AH27" s="13"/>
      <c r="AI27" s="13"/>
      <c r="AJ27" s="236" t="e">
        <f t="shared" si="1"/>
        <v>#VALUE!</v>
      </c>
    </row>
    <row r="28" spans="1:36" x14ac:dyDescent="0.2">
      <c r="A28" s="96"/>
      <c r="B28" s="163" t="s">
        <v>66</v>
      </c>
      <c r="C28" s="51" t="str">
        <v>AM</v>
      </c>
      <c r="D28" s="51" t="str">
        <v>6L</v>
      </c>
      <c r="E28" s="49" t="str">
        <f t="shared" si="2"/>
        <v>USDAM6L20Y_Quote</v>
      </c>
      <c r="F28" s="49" t="str">
        <f>_xll.qlSimpleQuote(Currency&amp;$C28&amp;$D28&amp;$B28&amp;QuoteSuffix,,RateTickValue,Permanent,Trigger,ObjectOverwrite)</f>
        <v>USDAM6L20Y_Quote#0000</v>
      </c>
      <c r="G28" s="48" t="str">
        <f>_xll.ohRangeRetrieveError(F28)</f>
        <v/>
      </c>
      <c r="H28" s="23"/>
      <c r="N28" s="96"/>
      <c r="O28" s="205" t="s">
        <v>66</v>
      </c>
      <c r="P28" s="254" t="str">
        <v>AM</v>
      </c>
      <c r="Q28" s="254" t="str">
        <v>6L</v>
      </c>
      <c r="R28" s="204" t="str">
        <f t="shared" si="0"/>
        <v>USDAM6L20Y</v>
      </c>
      <c r="S28" s="204" t="str">
        <v>USDAM6L20Y=ICAP</v>
      </c>
      <c r="T28" s="199" t="s">
        <v>213</v>
      </c>
      <c r="U28" s="199" t="s">
        <v>213</v>
      </c>
      <c r="V28" s="199" t="s">
        <v>213</v>
      </c>
      <c r="W28" s="199" t="s">
        <v>213</v>
      </c>
      <c r="X28" s="203" t="e">
        <f>_xll.qlMidEquivalent($T28,$U28,$V28,$W28)</f>
        <v>#NUM!</v>
      </c>
      <c r="Y28" s="201"/>
      <c r="Z28" s="202">
        <v>0</v>
      </c>
      <c r="AA28" s="201"/>
      <c r="AB28" s="274" t="e">
        <v>#NUM!</v>
      </c>
      <c r="AC28" s="198" t="e">
        <f>_xll.qlSimpleQuoteSetValue(F28,AB28/100,Trigger)</f>
        <v>#NUM!</v>
      </c>
      <c r="AD28" s="169"/>
      <c r="AE28" s="13"/>
      <c r="AF28" s="13"/>
      <c r="AG28" s="13"/>
      <c r="AH28" s="13"/>
      <c r="AI28" s="13"/>
      <c r="AJ28" s="236" t="e">
        <f t="shared" si="1"/>
        <v>#VALUE!</v>
      </c>
    </row>
    <row r="29" spans="1:36" x14ac:dyDescent="0.2">
      <c r="A29" s="96"/>
      <c r="B29" s="163" t="s">
        <v>65</v>
      </c>
      <c r="C29" s="51" t="str">
        <v>AM</v>
      </c>
      <c r="D29" s="51" t="str">
        <v>6L</v>
      </c>
      <c r="E29" s="49" t="str">
        <f t="shared" si="2"/>
        <v>USDAM6L21Y_Quote</v>
      </c>
      <c r="F29" s="49" t="str">
        <f>_xll.qlSimpleQuote(Currency&amp;$C29&amp;$D29&amp;$B29&amp;QuoteSuffix,,RateTickValue,Permanent,Trigger,ObjectOverwrite)</f>
        <v>USDAM6L21Y_Quote#0000</v>
      </c>
      <c r="G29" s="48" t="str">
        <f>_xll.ohRangeRetrieveError(F29)</f>
        <v/>
      </c>
      <c r="H29" s="23"/>
      <c r="N29" s="96"/>
      <c r="O29" s="205" t="s">
        <v>65</v>
      </c>
      <c r="P29" s="254" t="str">
        <v>AM</v>
      </c>
      <c r="Q29" s="254" t="str">
        <v>6L</v>
      </c>
      <c r="R29" s="204" t="str">
        <f t="shared" si="0"/>
        <v>USDAM6L21Y</v>
      </c>
      <c r="S29" s="204" t="str">
        <v>USDAM6L21Y=ICAP</v>
      </c>
      <c r="T29" s="199" t="s">
        <v>213</v>
      </c>
      <c r="U29" s="199" t="s">
        <v>213</v>
      </c>
      <c r="V29" s="199" t="s">
        <v>213</v>
      </c>
      <c r="W29" s="199" t="s">
        <v>213</v>
      </c>
      <c r="X29" s="203" t="e">
        <f>_xll.qlMidEquivalent($T29,$U29,$V29,$W29)</f>
        <v>#NUM!</v>
      </c>
      <c r="Y29" s="201"/>
      <c r="Z29" s="202">
        <v>0</v>
      </c>
      <c r="AA29" s="201"/>
      <c r="AB29" s="274" t="e">
        <v>#NUM!</v>
      </c>
      <c r="AC29" s="198" t="e">
        <f>_xll.qlSimpleQuoteSetValue(F29,AB29/100,Trigger)</f>
        <v>#NUM!</v>
      </c>
      <c r="AD29" s="169"/>
      <c r="AE29" s="13"/>
      <c r="AF29" s="13"/>
      <c r="AG29" s="13"/>
      <c r="AH29" s="13"/>
      <c r="AI29" s="13"/>
      <c r="AJ29" s="236" t="e">
        <f t="shared" si="1"/>
        <v>#VALUE!</v>
      </c>
    </row>
    <row r="30" spans="1:36" x14ac:dyDescent="0.2">
      <c r="A30" s="96"/>
      <c r="B30" s="163" t="s">
        <v>64</v>
      </c>
      <c r="C30" s="51" t="str">
        <v>AM</v>
      </c>
      <c r="D30" s="51" t="str">
        <v>6L</v>
      </c>
      <c r="E30" s="49" t="str">
        <f t="shared" si="2"/>
        <v>USDAM6L22Y_Quote</v>
      </c>
      <c r="F30" s="49" t="str">
        <f>_xll.qlSimpleQuote(Currency&amp;$C30&amp;$D30&amp;$B30&amp;QuoteSuffix,,RateTickValue,Permanent,Trigger,ObjectOverwrite)</f>
        <v>USDAM6L22Y_Quote#0000</v>
      </c>
      <c r="G30" s="48" t="str">
        <f>_xll.ohRangeRetrieveError(F30)</f>
        <v/>
      </c>
      <c r="H30" s="23"/>
      <c r="N30" s="96"/>
      <c r="O30" s="205" t="s">
        <v>64</v>
      </c>
      <c r="P30" s="254" t="str">
        <v>AM</v>
      </c>
      <c r="Q30" s="254" t="str">
        <v>6L</v>
      </c>
      <c r="R30" s="204" t="str">
        <f t="shared" si="0"/>
        <v>USDAM6L22Y</v>
      </c>
      <c r="S30" s="204" t="str">
        <v>USDAM6L22Y=ICAP</v>
      </c>
      <c r="T30" s="199" t="s">
        <v>213</v>
      </c>
      <c r="U30" s="199" t="s">
        <v>213</v>
      </c>
      <c r="V30" s="199" t="s">
        <v>213</v>
      </c>
      <c r="W30" s="199" t="s">
        <v>213</v>
      </c>
      <c r="X30" s="203" t="e">
        <f>_xll.qlMidEquivalent($T30,$U30,$V30,$W30)</f>
        <v>#NUM!</v>
      </c>
      <c r="Y30" s="201"/>
      <c r="Z30" s="202">
        <v>0</v>
      </c>
      <c r="AA30" s="201"/>
      <c r="AB30" s="274" t="e">
        <v>#NUM!</v>
      </c>
      <c r="AC30" s="198" t="e">
        <f>_xll.qlSimpleQuoteSetValue(F30,AB30/100,Trigger)</f>
        <v>#NUM!</v>
      </c>
      <c r="AD30" s="169"/>
      <c r="AE30" s="13"/>
      <c r="AF30" s="13"/>
      <c r="AG30" s="13"/>
      <c r="AH30" s="13"/>
      <c r="AI30" s="13"/>
      <c r="AJ30" s="236" t="e">
        <f t="shared" si="1"/>
        <v>#VALUE!</v>
      </c>
    </row>
    <row r="31" spans="1:36" x14ac:dyDescent="0.2">
      <c r="A31" s="96"/>
      <c r="B31" s="163" t="s">
        <v>63</v>
      </c>
      <c r="C31" s="51" t="str">
        <v>AM</v>
      </c>
      <c r="D31" s="51" t="str">
        <v>6L</v>
      </c>
      <c r="E31" s="49" t="str">
        <f t="shared" si="2"/>
        <v>USDAM6L23Y_Quote</v>
      </c>
      <c r="F31" s="49" t="str">
        <f>_xll.qlSimpleQuote(Currency&amp;$C31&amp;$D31&amp;$B31&amp;QuoteSuffix,,RateTickValue,Permanent,Trigger,ObjectOverwrite)</f>
        <v>USDAM6L23Y_Quote#0000</v>
      </c>
      <c r="G31" s="48" t="str">
        <f>_xll.ohRangeRetrieveError(F31)</f>
        <v/>
      </c>
      <c r="H31" s="23"/>
      <c r="N31" s="96"/>
      <c r="O31" s="205" t="s">
        <v>63</v>
      </c>
      <c r="P31" s="254" t="str">
        <v>AM</v>
      </c>
      <c r="Q31" s="254" t="str">
        <v>6L</v>
      </c>
      <c r="R31" s="204" t="str">
        <f t="shared" si="0"/>
        <v>USDAM6L23Y</v>
      </c>
      <c r="S31" s="204" t="str">
        <v>USDAM6L23Y=ICAP</v>
      </c>
      <c r="T31" s="199" t="s">
        <v>213</v>
      </c>
      <c r="U31" s="199" t="s">
        <v>213</v>
      </c>
      <c r="V31" s="199" t="s">
        <v>213</v>
      </c>
      <c r="W31" s="199" t="s">
        <v>213</v>
      </c>
      <c r="X31" s="203" t="e">
        <f>_xll.qlMidEquivalent($T31,$U31,$V31,$W31)</f>
        <v>#NUM!</v>
      </c>
      <c r="Y31" s="201"/>
      <c r="Z31" s="202">
        <v>0</v>
      </c>
      <c r="AA31" s="201"/>
      <c r="AB31" s="274" t="e">
        <v>#NUM!</v>
      </c>
      <c r="AC31" s="198" t="e">
        <f>_xll.qlSimpleQuoteSetValue(F31,AB31/100,Trigger)</f>
        <v>#NUM!</v>
      </c>
      <c r="AD31" s="169"/>
      <c r="AE31" s="13"/>
      <c r="AF31" s="13"/>
      <c r="AG31" s="13"/>
      <c r="AH31" s="13"/>
      <c r="AI31" s="13"/>
      <c r="AJ31" s="236" t="e">
        <f t="shared" si="1"/>
        <v>#VALUE!</v>
      </c>
    </row>
    <row r="32" spans="1:36" x14ac:dyDescent="0.2">
      <c r="A32" s="96"/>
      <c r="B32" s="163" t="s">
        <v>62</v>
      </c>
      <c r="C32" s="51" t="str">
        <v>AM</v>
      </c>
      <c r="D32" s="51" t="str">
        <v>6L</v>
      </c>
      <c r="E32" s="49" t="str">
        <f t="shared" si="2"/>
        <v>USDAM6L24Y_Quote</v>
      </c>
      <c r="F32" s="49" t="str">
        <f>_xll.qlSimpleQuote(Currency&amp;$C32&amp;$D32&amp;$B32&amp;QuoteSuffix,,RateTickValue,Permanent,Trigger,ObjectOverwrite)</f>
        <v>USDAM6L24Y_Quote#0000</v>
      </c>
      <c r="G32" s="48" t="str">
        <f>_xll.ohRangeRetrieveError(F32)</f>
        <v/>
      </c>
      <c r="H32" s="23"/>
      <c r="N32" s="96"/>
      <c r="O32" s="205" t="s">
        <v>62</v>
      </c>
      <c r="P32" s="254" t="str">
        <v>AM</v>
      </c>
      <c r="Q32" s="254" t="str">
        <v>6L</v>
      </c>
      <c r="R32" s="204" t="str">
        <f t="shared" si="0"/>
        <v>USDAM6L24Y</v>
      </c>
      <c r="S32" s="204" t="str">
        <v>USDAM6L24Y=ICAP</v>
      </c>
      <c r="T32" s="199" t="s">
        <v>213</v>
      </c>
      <c r="U32" s="199" t="s">
        <v>213</v>
      </c>
      <c r="V32" s="199" t="s">
        <v>213</v>
      </c>
      <c r="W32" s="199" t="s">
        <v>213</v>
      </c>
      <c r="X32" s="203" t="e">
        <f>_xll.qlMidEquivalent($T32,$U32,$V32,$W32)</f>
        <v>#NUM!</v>
      </c>
      <c r="Y32" s="201"/>
      <c r="Z32" s="202">
        <v>0</v>
      </c>
      <c r="AA32" s="201"/>
      <c r="AB32" s="274" t="e">
        <v>#NUM!</v>
      </c>
      <c r="AC32" s="198" t="e">
        <f>_xll.qlSimpleQuoteSetValue(F32,AB32/100,Trigger)</f>
        <v>#NUM!</v>
      </c>
      <c r="AD32" s="169"/>
      <c r="AE32" s="13"/>
      <c r="AF32" s="13"/>
      <c r="AG32" s="13"/>
      <c r="AH32" s="13"/>
      <c r="AI32" s="13"/>
      <c r="AJ32" s="236" t="e">
        <f t="shared" si="1"/>
        <v>#VALUE!</v>
      </c>
    </row>
    <row r="33" spans="1:36" x14ac:dyDescent="0.2">
      <c r="A33" s="96"/>
      <c r="B33" s="163" t="s">
        <v>61</v>
      </c>
      <c r="C33" s="51" t="str">
        <v>AM</v>
      </c>
      <c r="D33" s="51" t="str">
        <v>6L</v>
      </c>
      <c r="E33" s="49" t="str">
        <f t="shared" si="2"/>
        <v>USDAM6L25Y_Quote</v>
      </c>
      <c r="F33" s="49" t="str">
        <f>_xll.qlSimpleQuote(Currency&amp;$C33&amp;$D33&amp;$B33&amp;QuoteSuffix,,RateTickValue,Permanent,Trigger,ObjectOverwrite)</f>
        <v>USDAM6L25Y_Quote#0000</v>
      </c>
      <c r="G33" s="48" t="str">
        <f>_xll.ohRangeRetrieveError(F33)</f>
        <v/>
      </c>
      <c r="H33" s="23"/>
      <c r="N33" s="96"/>
      <c r="O33" s="205" t="s">
        <v>61</v>
      </c>
      <c r="P33" s="254" t="str">
        <v>AM</v>
      </c>
      <c r="Q33" s="254" t="str">
        <v>6L</v>
      </c>
      <c r="R33" s="204" t="str">
        <f t="shared" si="0"/>
        <v>USDAM6L25Y</v>
      </c>
      <c r="S33" s="204" t="str">
        <v>USDAM6L25Y=ICAP</v>
      </c>
      <c r="T33" s="199" t="s">
        <v>213</v>
      </c>
      <c r="U33" s="199" t="s">
        <v>213</v>
      </c>
      <c r="V33" s="199" t="s">
        <v>213</v>
      </c>
      <c r="W33" s="199" t="s">
        <v>213</v>
      </c>
      <c r="X33" s="203" t="e">
        <f>_xll.qlMidEquivalent($T33,$U33,$V33,$W33)</f>
        <v>#NUM!</v>
      </c>
      <c r="Y33" s="201"/>
      <c r="Z33" s="202">
        <v>0</v>
      </c>
      <c r="AA33" s="201"/>
      <c r="AB33" s="274" t="e">
        <v>#NUM!</v>
      </c>
      <c r="AC33" s="198" t="e">
        <f>_xll.qlSimpleQuoteSetValue(F33,AB33/100,Trigger)</f>
        <v>#NUM!</v>
      </c>
      <c r="AD33" s="169"/>
      <c r="AE33" s="13"/>
      <c r="AF33" s="13"/>
      <c r="AG33" s="13"/>
      <c r="AH33" s="13"/>
      <c r="AI33" s="13"/>
      <c r="AJ33" s="236" t="e">
        <f t="shared" si="1"/>
        <v>#VALUE!</v>
      </c>
    </row>
    <row r="34" spans="1:36" x14ac:dyDescent="0.2">
      <c r="A34" s="96"/>
      <c r="B34" s="163" t="s">
        <v>60</v>
      </c>
      <c r="C34" s="51" t="str">
        <v>AM</v>
      </c>
      <c r="D34" s="51" t="str">
        <v>6L</v>
      </c>
      <c r="E34" s="49" t="str">
        <f t="shared" si="2"/>
        <v>USDAM6L26Y_Quote</v>
      </c>
      <c r="F34" s="49" t="str">
        <f>_xll.qlSimpleQuote(Currency&amp;$C34&amp;$D34&amp;$B34&amp;QuoteSuffix,,RateTickValue,Permanent,Trigger,ObjectOverwrite)</f>
        <v>USDAM6L26Y_Quote#0000</v>
      </c>
      <c r="G34" s="48" t="str">
        <f>_xll.ohRangeRetrieveError(F34)</f>
        <v/>
      </c>
      <c r="H34" s="23"/>
      <c r="N34" s="96"/>
      <c r="O34" s="205" t="s">
        <v>60</v>
      </c>
      <c r="P34" s="254" t="str">
        <v>AM</v>
      </c>
      <c r="Q34" s="254" t="str">
        <v>6L</v>
      </c>
      <c r="R34" s="204" t="str">
        <f t="shared" si="0"/>
        <v>USDAM6L26Y</v>
      </c>
      <c r="S34" s="204" t="str">
        <v>USDAM6L26Y=ICAP</v>
      </c>
      <c r="T34" s="199" t="s">
        <v>213</v>
      </c>
      <c r="U34" s="199" t="s">
        <v>213</v>
      </c>
      <c r="V34" s="199" t="s">
        <v>213</v>
      </c>
      <c r="W34" s="199" t="s">
        <v>213</v>
      </c>
      <c r="X34" s="203" t="e">
        <f>_xll.qlMidEquivalent($T34,$U34,$V34,$W34)</f>
        <v>#NUM!</v>
      </c>
      <c r="Y34" s="201"/>
      <c r="Z34" s="202">
        <v>0</v>
      </c>
      <c r="AA34" s="201"/>
      <c r="AB34" s="274" t="e">
        <v>#NUM!</v>
      </c>
      <c r="AC34" s="198" t="e">
        <f>_xll.qlSimpleQuoteSetValue(F34,AB34/100,Trigger)</f>
        <v>#NUM!</v>
      </c>
      <c r="AD34" s="169"/>
      <c r="AE34" s="13"/>
      <c r="AF34" s="13"/>
      <c r="AG34" s="13"/>
      <c r="AH34" s="13"/>
      <c r="AI34" s="13"/>
      <c r="AJ34" s="236" t="e">
        <f t="shared" si="1"/>
        <v>#VALUE!</v>
      </c>
    </row>
    <row r="35" spans="1:36" x14ac:dyDescent="0.2">
      <c r="A35" s="96"/>
      <c r="B35" s="163" t="s">
        <v>59</v>
      </c>
      <c r="C35" s="51" t="str">
        <v>AM</v>
      </c>
      <c r="D35" s="51" t="str">
        <v>6L</v>
      </c>
      <c r="E35" s="49" t="str">
        <f t="shared" si="2"/>
        <v>USDAM6L27Y_Quote</v>
      </c>
      <c r="F35" s="49" t="str">
        <f>_xll.qlSimpleQuote(Currency&amp;$C35&amp;$D35&amp;$B35&amp;QuoteSuffix,,RateTickValue,Permanent,Trigger,ObjectOverwrite)</f>
        <v>USDAM6L27Y_Quote#0000</v>
      </c>
      <c r="G35" s="48" t="str">
        <f>_xll.ohRangeRetrieveError(F35)</f>
        <v/>
      </c>
      <c r="H35" s="23"/>
      <c r="N35" s="96"/>
      <c r="O35" s="205" t="s">
        <v>59</v>
      </c>
      <c r="P35" s="254" t="str">
        <v>AM</v>
      </c>
      <c r="Q35" s="254" t="str">
        <v>6L</v>
      </c>
      <c r="R35" s="204" t="str">
        <f t="shared" si="0"/>
        <v>USDAM6L27Y</v>
      </c>
      <c r="S35" s="204" t="str">
        <v>USDAM6L27Y=ICAP</v>
      </c>
      <c r="T35" s="199" t="s">
        <v>213</v>
      </c>
      <c r="U35" s="199" t="s">
        <v>213</v>
      </c>
      <c r="V35" s="199" t="s">
        <v>213</v>
      </c>
      <c r="W35" s="199" t="s">
        <v>213</v>
      </c>
      <c r="X35" s="203" t="e">
        <f>_xll.qlMidEquivalent($T35,$U35,$V35,$W35)</f>
        <v>#NUM!</v>
      </c>
      <c r="Y35" s="201"/>
      <c r="Z35" s="202">
        <v>0</v>
      </c>
      <c r="AA35" s="201"/>
      <c r="AB35" s="274" t="e">
        <v>#NUM!</v>
      </c>
      <c r="AC35" s="198" t="e">
        <f>_xll.qlSimpleQuoteSetValue(F35,AB35/100,Trigger)</f>
        <v>#NUM!</v>
      </c>
      <c r="AD35" s="169"/>
      <c r="AE35" s="13"/>
      <c r="AF35" s="13"/>
      <c r="AG35" s="13"/>
      <c r="AH35" s="13"/>
      <c r="AI35" s="13"/>
      <c r="AJ35" s="236" t="e">
        <f t="shared" si="1"/>
        <v>#VALUE!</v>
      </c>
    </row>
    <row r="36" spans="1:36" x14ac:dyDescent="0.2">
      <c r="A36" s="96"/>
      <c r="B36" s="163" t="s">
        <v>58</v>
      </c>
      <c r="C36" s="51" t="str">
        <v>AM</v>
      </c>
      <c r="D36" s="51" t="str">
        <v>6L</v>
      </c>
      <c r="E36" s="49" t="str">
        <f t="shared" si="2"/>
        <v>USDAM6L28Y_Quote</v>
      </c>
      <c r="F36" s="49" t="str">
        <f>_xll.qlSimpleQuote(Currency&amp;$C36&amp;$D36&amp;$B36&amp;QuoteSuffix,,RateTickValue,Permanent,Trigger,ObjectOverwrite)</f>
        <v>USDAM6L28Y_Quote#0000</v>
      </c>
      <c r="G36" s="48" t="str">
        <f>_xll.ohRangeRetrieveError(F36)</f>
        <v/>
      </c>
      <c r="H36" s="23"/>
      <c r="N36" s="96"/>
      <c r="O36" s="205" t="s">
        <v>58</v>
      </c>
      <c r="P36" s="254" t="str">
        <v>AM</v>
      </c>
      <c r="Q36" s="254" t="str">
        <v>6L</v>
      </c>
      <c r="R36" s="204" t="str">
        <f t="shared" si="0"/>
        <v>USDAM6L28Y</v>
      </c>
      <c r="S36" s="204" t="str">
        <v>USDAM6L28Y=ICAP</v>
      </c>
      <c r="T36" s="199" t="s">
        <v>213</v>
      </c>
      <c r="U36" s="199" t="s">
        <v>213</v>
      </c>
      <c r="V36" s="199" t="s">
        <v>213</v>
      </c>
      <c r="W36" s="199" t="s">
        <v>213</v>
      </c>
      <c r="X36" s="203" t="e">
        <f>_xll.qlMidEquivalent($T36,$U36,$V36,$W36)</f>
        <v>#NUM!</v>
      </c>
      <c r="Y36" s="201"/>
      <c r="Z36" s="202">
        <v>0</v>
      </c>
      <c r="AA36" s="201"/>
      <c r="AB36" s="274" t="e">
        <v>#NUM!</v>
      </c>
      <c r="AC36" s="198" t="e">
        <f>_xll.qlSimpleQuoteSetValue(F36,AB36/100,Trigger)</f>
        <v>#NUM!</v>
      </c>
      <c r="AD36" s="169"/>
      <c r="AE36" s="13"/>
      <c r="AF36" s="13"/>
      <c r="AG36" s="13"/>
      <c r="AH36" s="13"/>
      <c r="AI36" s="13"/>
      <c r="AJ36" s="236" t="e">
        <f t="shared" si="1"/>
        <v>#VALUE!</v>
      </c>
    </row>
    <row r="37" spans="1:36" x14ac:dyDescent="0.2">
      <c r="A37" s="96"/>
      <c r="B37" s="163" t="s">
        <v>57</v>
      </c>
      <c r="C37" s="51" t="str">
        <v>AM</v>
      </c>
      <c r="D37" s="51" t="str">
        <v>6L</v>
      </c>
      <c r="E37" s="49" t="str">
        <f t="shared" si="2"/>
        <v>USDAM6L29Y_Quote</v>
      </c>
      <c r="F37" s="49" t="str">
        <f>_xll.qlSimpleQuote(Currency&amp;$C37&amp;$D37&amp;$B37&amp;QuoteSuffix,,RateTickValue,Permanent,Trigger,ObjectOverwrite)</f>
        <v>USDAM6L29Y_Quote#0000</v>
      </c>
      <c r="G37" s="48" t="str">
        <f>_xll.ohRangeRetrieveError(F37)</f>
        <v/>
      </c>
      <c r="H37" s="23"/>
      <c r="N37" s="96"/>
      <c r="O37" s="205" t="s">
        <v>57</v>
      </c>
      <c r="P37" s="254" t="str">
        <v>AM</v>
      </c>
      <c r="Q37" s="254" t="str">
        <v>6L</v>
      </c>
      <c r="R37" s="204" t="str">
        <f t="shared" si="0"/>
        <v>USDAM6L29Y</v>
      </c>
      <c r="S37" s="204" t="str">
        <v>USDAM6L29Y=ICAP</v>
      </c>
      <c r="T37" s="199" t="s">
        <v>213</v>
      </c>
      <c r="U37" s="199" t="s">
        <v>213</v>
      </c>
      <c r="V37" s="199" t="s">
        <v>213</v>
      </c>
      <c r="W37" s="199" t="s">
        <v>213</v>
      </c>
      <c r="X37" s="203" t="e">
        <f>_xll.qlMidEquivalent($T37,$U37,$V37,$W37)</f>
        <v>#NUM!</v>
      </c>
      <c r="Y37" s="201"/>
      <c r="Z37" s="202">
        <v>0</v>
      </c>
      <c r="AA37" s="201"/>
      <c r="AB37" s="274" t="e">
        <v>#NUM!</v>
      </c>
      <c r="AC37" s="198" t="e">
        <f>_xll.qlSimpleQuoteSetValue(F37,AB37/100,Trigger)</f>
        <v>#NUM!</v>
      </c>
      <c r="AD37" s="169"/>
      <c r="AE37" s="13"/>
      <c r="AF37" s="13"/>
      <c r="AG37" s="13"/>
      <c r="AH37" s="13"/>
      <c r="AI37" s="13"/>
      <c r="AJ37" s="236" t="e">
        <f t="shared" si="1"/>
        <v>#VALUE!</v>
      </c>
    </row>
    <row r="38" spans="1:36" x14ac:dyDescent="0.2">
      <c r="A38" s="96"/>
      <c r="B38" s="163" t="s">
        <v>56</v>
      </c>
      <c r="C38" s="51" t="str">
        <v>AM</v>
      </c>
      <c r="D38" s="51" t="str">
        <v>6L</v>
      </c>
      <c r="E38" s="49" t="str">
        <f t="shared" si="2"/>
        <v>USDAM6L30Y_Quote</v>
      </c>
      <c r="F38" s="49" t="str">
        <f>_xll.qlSimpleQuote(Currency&amp;$C38&amp;$D38&amp;$B38&amp;QuoteSuffix,,RateTickValue,Permanent,Trigger,ObjectOverwrite)</f>
        <v>USDAM6L30Y_Quote#0000</v>
      </c>
      <c r="G38" s="48" t="str">
        <f>_xll.ohRangeRetrieveError(F38)</f>
        <v/>
      </c>
      <c r="H38" s="23"/>
      <c r="N38" s="96"/>
      <c r="O38" s="205" t="s">
        <v>56</v>
      </c>
      <c r="P38" s="254" t="str">
        <v>AM</v>
      </c>
      <c r="Q38" s="254" t="str">
        <v>6L</v>
      </c>
      <c r="R38" s="204" t="str">
        <f t="shared" si="0"/>
        <v>USDAM6L30Y</v>
      </c>
      <c r="S38" s="204" t="str">
        <v>USDAM6L30Y=ICAP</v>
      </c>
      <c r="T38" s="199" t="s">
        <v>213</v>
      </c>
      <c r="U38" s="199" t="s">
        <v>213</v>
      </c>
      <c r="V38" s="199" t="s">
        <v>213</v>
      </c>
      <c r="W38" s="199" t="s">
        <v>213</v>
      </c>
      <c r="X38" s="203" t="e">
        <f>_xll.qlMidEquivalent($T38,$U38,$V38,$W38)</f>
        <v>#NUM!</v>
      </c>
      <c r="Y38" s="201"/>
      <c r="Z38" s="202">
        <v>0</v>
      </c>
      <c r="AA38" s="201"/>
      <c r="AB38" s="274" t="e">
        <v>#NUM!</v>
      </c>
      <c r="AC38" s="198" t="e">
        <f>_xll.qlSimpleQuoteSetValue(F38,AB38/100,Trigger)</f>
        <v>#NUM!</v>
      </c>
      <c r="AD38" s="169"/>
      <c r="AE38" s="13"/>
      <c r="AF38" s="13"/>
      <c r="AG38" s="13"/>
      <c r="AH38" s="13"/>
      <c r="AI38" s="13"/>
      <c r="AJ38" s="236" t="e">
        <f t="shared" si="1"/>
        <v>#VALUE!</v>
      </c>
    </row>
    <row r="39" spans="1:36" x14ac:dyDescent="0.2">
      <c r="A39" s="96"/>
      <c r="B39" s="163" t="s">
        <v>51</v>
      </c>
      <c r="C39" s="51" t="str">
        <v>AM</v>
      </c>
      <c r="D39" s="51" t="str">
        <v>6L</v>
      </c>
      <c r="E39" s="49" t="str">
        <f t="shared" si="2"/>
        <v>USDAM6L35Y_Quote</v>
      </c>
      <c r="F39" s="49" t="str">
        <f>_xll.qlSimpleQuote(Currency&amp;$C39&amp;$D39&amp;$B39&amp;QuoteSuffix,,RateTickValue,Permanent,Trigger,ObjectOverwrite)</f>
        <v>USDAM6L35Y_Quote#0000</v>
      </c>
      <c r="G39" s="48" t="str">
        <f>_xll.ohRangeRetrieveError(F39)</f>
        <v/>
      </c>
      <c r="H39" s="23"/>
      <c r="N39" s="96"/>
      <c r="O39" s="205" t="s">
        <v>51</v>
      </c>
      <c r="P39" s="254" t="str">
        <v>AM</v>
      </c>
      <c r="Q39" s="254" t="str">
        <v>6L</v>
      </c>
      <c r="R39" s="204" t="str">
        <f t="shared" si="0"/>
        <v>USDAM6L35Y</v>
      </c>
      <c r="S39" s="204" t="str">
        <v>USDAM6L35Y=ICAP</v>
      </c>
      <c r="T39" s="199" t="s">
        <v>213</v>
      </c>
      <c r="U39" s="199" t="s">
        <v>213</v>
      </c>
      <c r="V39" s="199" t="s">
        <v>213</v>
      </c>
      <c r="W39" s="199" t="s">
        <v>213</v>
      </c>
      <c r="X39" s="203" t="e">
        <f>_xll.qlMidEquivalent($T39,$U39,$V39,$W39)</f>
        <v>#NUM!</v>
      </c>
      <c r="Y39" s="201"/>
      <c r="Z39" s="202">
        <v>0</v>
      </c>
      <c r="AA39" s="201"/>
      <c r="AB39" s="274" t="e">
        <v>#NUM!</v>
      </c>
      <c r="AC39" s="198" t="e">
        <f>_xll.qlSimpleQuoteSetValue(F39,AB39/100,Trigger)</f>
        <v>#NUM!</v>
      </c>
      <c r="AD39" s="169"/>
      <c r="AE39" s="13"/>
      <c r="AF39" s="13"/>
      <c r="AG39" s="13"/>
      <c r="AH39" s="13"/>
      <c r="AI39" s="13"/>
      <c r="AJ39" s="236" t="e">
        <f t="shared" si="1"/>
        <v>#VALUE!</v>
      </c>
    </row>
    <row r="40" spans="1:36" x14ac:dyDescent="0.2">
      <c r="A40" s="96"/>
      <c r="B40" s="163" t="s">
        <v>46</v>
      </c>
      <c r="C40" s="51" t="str">
        <v>AM</v>
      </c>
      <c r="D40" s="51" t="str">
        <v>6L</v>
      </c>
      <c r="E40" s="49" t="str">
        <f t="shared" si="2"/>
        <v>USDAM6L40Y_Quote</v>
      </c>
      <c r="F40" s="49" t="str">
        <f>_xll.qlSimpleQuote(Currency&amp;$C40&amp;$D40&amp;$B40&amp;QuoteSuffix,,RateTickValue,Permanent,Trigger,ObjectOverwrite)</f>
        <v>USDAM6L40Y_Quote#0000</v>
      </c>
      <c r="G40" s="48" t="str">
        <f>_xll.ohRangeRetrieveError(F40)</f>
        <v/>
      </c>
      <c r="H40" s="23"/>
      <c r="N40" s="96"/>
      <c r="O40" s="205" t="s">
        <v>46</v>
      </c>
      <c r="P40" s="254" t="str">
        <v>AM</v>
      </c>
      <c r="Q40" s="254" t="str">
        <v>6L</v>
      </c>
      <c r="R40" s="204" t="str">
        <f t="shared" si="0"/>
        <v>USDAM6L40Y</v>
      </c>
      <c r="S40" s="204" t="str">
        <v>USDAM6L40Y=ICAP</v>
      </c>
      <c r="T40" s="199" t="s">
        <v>213</v>
      </c>
      <c r="U40" s="199" t="s">
        <v>213</v>
      </c>
      <c r="V40" s="199" t="s">
        <v>213</v>
      </c>
      <c r="W40" s="199" t="s">
        <v>213</v>
      </c>
      <c r="X40" s="203" t="e">
        <f>_xll.qlMidEquivalent($T40,$U40,$V40,$W40)</f>
        <v>#NUM!</v>
      </c>
      <c r="Y40" s="201"/>
      <c r="Z40" s="202">
        <v>0</v>
      </c>
      <c r="AA40" s="201"/>
      <c r="AB40" s="274" t="e">
        <v>#NUM!</v>
      </c>
      <c r="AC40" s="198" t="e">
        <f>_xll.qlSimpleQuoteSetValue(F40,AB40/100,Trigger)</f>
        <v>#NUM!</v>
      </c>
      <c r="AD40" s="169"/>
      <c r="AE40" s="13"/>
      <c r="AF40" s="13"/>
      <c r="AG40" s="13"/>
      <c r="AH40" s="13"/>
      <c r="AI40" s="13"/>
      <c r="AJ40" s="236" t="e">
        <f t="shared" si="1"/>
        <v>#VALUE!</v>
      </c>
    </row>
    <row r="41" spans="1:36" x14ac:dyDescent="0.2">
      <c r="A41" s="96"/>
      <c r="B41" s="163" t="s">
        <v>36</v>
      </c>
      <c r="C41" s="51" t="str">
        <v>AM</v>
      </c>
      <c r="D41" s="51" t="str">
        <v>6L</v>
      </c>
      <c r="E41" s="49" t="str">
        <f t="shared" si="2"/>
        <v>USDAM6L50Y_Quote</v>
      </c>
      <c r="F41" s="49" t="str">
        <f>_xll.qlSimpleQuote(Currency&amp;$C41&amp;$D41&amp;$B41&amp;QuoteSuffix,,RateTickValue,Permanent,Trigger,ObjectOverwrite)</f>
        <v>USDAM6L50Y_Quote#0000</v>
      </c>
      <c r="G41" s="48" t="str">
        <f>_xll.ohRangeRetrieveError(F41)</f>
        <v/>
      </c>
      <c r="H41" s="23"/>
      <c r="N41" s="96"/>
      <c r="O41" s="205" t="s">
        <v>36</v>
      </c>
      <c r="P41" s="254" t="str">
        <v>AM</v>
      </c>
      <c r="Q41" s="254" t="str">
        <v>6L</v>
      </c>
      <c r="R41" s="204" t="str">
        <f t="shared" si="0"/>
        <v>USDAM6L50Y</v>
      </c>
      <c r="S41" s="204" t="str">
        <v>USDAM6L50Y=ICAP</v>
      </c>
      <c r="T41" s="199" t="s">
        <v>213</v>
      </c>
      <c r="U41" s="199" t="s">
        <v>213</v>
      </c>
      <c r="V41" s="199" t="s">
        <v>213</v>
      </c>
      <c r="W41" s="199" t="s">
        <v>213</v>
      </c>
      <c r="X41" s="203" t="e">
        <f>_xll.qlMidEquivalent($T41,$U41,$V41,$W41)</f>
        <v>#NUM!</v>
      </c>
      <c r="Y41" s="201"/>
      <c r="Z41" s="202">
        <v>0</v>
      </c>
      <c r="AA41" s="201"/>
      <c r="AB41" s="274" t="e">
        <v>#NUM!</v>
      </c>
      <c r="AC41" s="198" t="e">
        <f>_xll.qlSimpleQuoteSetValue(F41,AB41/100,Trigger)</f>
        <v>#NUM!</v>
      </c>
      <c r="AD41" s="169"/>
      <c r="AE41" s="13"/>
      <c r="AF41" s="13"/>
      <c r="AG41" s="13"/>
      <c r="AH41" s="13"/>
      <c r="AI41" s="13"/>
      <c r="AJ41" s="236" t="e">
        <f t="shared" si="1"/>
        <v>#VALUE!</v>
      </c>
    </row>
    <row r="42" spans="1:36" x14ac:dyDescent="0.2">
      <c r="A42" s="96"/>
      <c r="B42" s="163" t="s">
        <v>26</v>
      </c>
      <c r="C42" s="51" t="str">
        <v>AM</v>
      </c>
      <c r="D42" s="51" t="str">
        <v>6L</v>
      </c>
      <c r="E42" s="49" t="str">
        <f t="shared" si="2"/>
        <v>USDAM6L60Y_Quote</v>
      </c>
      <c r="F42" s="49" t="str">
        <f>_xll.qlSimpleQuote(Currency&amp;$C42&amp;$D42&amp;$B42&amp;QuoteSuffix,,RateTickValue,Permanent,Trigger,ObjectOverwrite)</f>
        <v>USDAM6L60Y_Quote#0000</v>
      </c>
      <c r="G42" s="48" t="str">
        <f>_xll.ohRangeRetrieveError(F42)</f>
        <v/>
      </c>
      <c r="H42" s="23"/>
      <c r="N42" s="96"/>
      <c r="O42" s="217" t="s">
        <v>26</v>
      </c>
      <c r="P42" s="249" t="str">
        <v>AM</v>
      </c>
      <c r="Q42" s="249" t="str">
        <v>6L</v>
      </c>
      <c r="R42" s="216" t="str">
        <f t="shared" si="0"/>
        <v>USDAM6L60Y</v>
      </c>
      <c r="S42" s="216" t="str">
        <v>USDAM6L60Y=ICAP</v>
      </c>
      <c r="T42" s="212" t="s">
        <v>213</v>
      </c>
      <c r="U42" s="212" t="s">
        <v>213</v>
      </c>
      <c r="V42" s="212" t="s">
        <v>213</v>
      </c>
      <c r="W42" s="212" t="s">
        <v>213</v>
      </c>
      <c r="X42" s="215" t="e">
        <f>_xll.qlMidEquivalent($T42,$U42,$V42,$W42)</f>
        <v>#NUM!</v>
      </c>
      <c r="Y42" s="201"/>
      <c r="Z42" s="214">
        <v>0</v>
      </c>
      <c r="AA42" s="201"/>
      <c r="AB42" s="267" t="e">
        <v>#NUM!</v>
      </c>
      <c r="AC42" s="211" t="e">
        <f>_xll.qlSimpleQuoteSetValue(F42,AB42/100,Trigger)</f>
        <v>#NUM!</v>
      </c>
      <c r="AD42" s="169"/>
      <c r="AE42" s="13"/>
      <c r="AF42" s="13"/>
      <c r="AG42" s="13"/>
      <c r="AH42" s="13"/>
      <c r="AI42" s="13"/>
      <c r="AJ42" s="236" t="e">
        <f t="shared" si="1"/>
        <v>#VALUE!</v>
      </c>
    </row>
    <row r="43" spans="1:36" ht="12" thickBot="1" x14ac:dyDescent="0.25">
      <c r="A43" s="162"/>
      <c r="B43" s="161"/>
      <c r="C43" s="161"/>
      <c r="D43" s="161"/>
      <c r="E43" s="161"/>
      <c r="F43" s="161"/>
      <c r="G43" s="161"/>
      <c r="H43" s="20"/>
      <c r="N43" s="22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7"/>
      <c r="AE43" s="13"/>
      <c r="AF43" s="13"/>
      <c r="AG43" s="13"/>
      <c r="AH43" s="13"/>
      <c r="AI43" s="13"/>
      <c r="AJ43" s="13"/>
    </row>
  </sheetData>
  <conditionalFormatting sqref="AC5:AC42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F5"/>
  <sheetViews>
    <sheetView workbookViewId="0">
      <selection activeCell="D4" sqref="D4"/>
    </sheetView>
  </sheetViews>
  <sheetFormatPr defaultRowHeight="11.25" x14ac:dyDescent="0.2"/>
  <cols>
    <col min="1" max="1" width="2.7109375" style="77" customWidth="1"/>
    <col min="2" max="2" width="6.140625" style="77" bestFit="1" customWidth="1"/>
    <col min="3" max="3" width="25.42578125" style="77" bestFit="1" customWidth="1"/>
    <col min="4" max="4" width="26.7109375" style="77" bestFit="1" customWidth="1"/>
    <col min="5" max="5" width="36.85546875" style="77" bestFit="1" customWidth="1"/>
    <col min="6" max="6" width="2.7109375" style="77" customWidth="1"/>
    <col min="7" max="16384" width="9.140625" style="77"/>
  </cols>
  <sheetData>
    <row r="1" spans="1:6" x14ac:dyDescent="0.2">
      <c r="A1" s="132" t="s">
        <v>190</v>
      </c>
      <c r="B1" s="177">
        <v>1</v>
      </c>
      <c r="C1" s="178" t="s">
        <v>189</v>
      </c>
      <c r="D1" s="177"/>
      <c r="E1" s="177"/>
      <c r="F1" s="176"/>
    </row>
    <row r="2" spans="1:6" x14ac:dyDescent="0.2">
      <c r="A2" s="96"/>
      <c r="B2" s="175"/>
      <c r="C2" s="174" t="str">
        <f>Currency&amp;"_015_SyntheticQuotes"&amp;Tenor&amp;".xml"</f>
        <v>USD_015_SyntheticQuotesON.xml</v>
      </c>
      <c r="D2" s="7" t="str">
        <f>IF(Serialize,_xll.ohObjectSave(D3:D4,SerializationPath&amp;C2,FileOverwrite,Serialize),"---")</f>
        <v>---</v>
      </c>
      <c r="E2" s="5" t="str">
        <f>_xll.ohRangeRetrieveError(D2)</f>
        <v/>
      </c>
      <c r="F2" s="169"/>
    </row>
    <row r="3" spans="1:6" x14ac:dyDescent="0.2">
      <c r="A3" s="96"/>
      <c r="B3" s="173" t="s">
        <v>188</v>
      </c>
      <c r="C3" s="99" t="str">
        <f>Currency&amp;$B3&amp;"_SYNTH"&amp;Tenor&amp;QuoteSuffix</f>
        <v>USDTOY_SYNTHON_Quote</v>
      </c>
      <c r="D3" s="101" t="str">
        <f>_xll.qlSimpleQuote(C3,1,RateTickValue,Permanent,Trigger,ObjectOverwrite)</f>
        <v>USDTOY_SYNTHON_Quote#0000</v>
      </c>
      <c r="E3" s="172" t="str">
        <f>_xll.ohRangeRetrieveError(D3)</f>
        <v/>
      </c>
      <c r="F3" s="169"/>
    </row>
    <row r="4" spans="1:6" x14ac:dyDescent="0.2">
      <c r="A4" s="96"/>
      <c r="B4" s="171" t="s">
        <v>187</v>
      </c>
      <c r="C4" s="92" t="str">
        <f>Currency&amp;$B4&amp;"_SYNTH"&amp;Tenor&amp;QuoteSuffix</f>
        <v>USDTOY2_SYNTHON_Quote</v>
      </c>
      <c r="D4" s="97" t="str">
        <f>_xll.qlSimpleQuote(C4,1,RateTickValue,Permanent,Trigger,ObjectOverwrite)</f>
        <v>USDTOY2_SYNTHON_Quote#0000</v>
      </c>
      <c r="E4" s="170" t="str">
        <f>_xll.ohRangeRetrieveError(D4)</f>
        <v/>
      </c>
      <c r="F4" s="169"/>
    </row>
    <row r="5" spans="1:6" ht="12" thickBot="1" x14ac:dyDescent="0.25">
      <c r="A5" s="22"/>
      <c r="B5" s="21"/>
      <c r="C5" s="21"/>
      <c r="D5" s="21"/>
      <c r="E5" s="21"/>
      <c r="F5" s="20"/>
    </row>
  </sheetData>
  <pageMargins left="0.75" right="0.75" top="1" bottom="1" header="0.5" footer="0.5"/>
  <pageSetup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37"/>
  <sheetViews>
    <sheetView workbookViewId="0">
      <selection activeCell="I3" sqref="I3"/>
    </sheetView>
  </sheetViews>
  <sheetFormatPr defaultRowHeight="11.25" x14ac:dyDescent="0.2"/>
  <cols>
    <col min="1" max="1" width="2.7109375" style="13" customWidth="1"/>
    <col min="2" max="2" width="3.85546875" style="13" bestFit="1" customWidth="1"/>
    <col min="3" max="3" width="3.28515625" style="13" bestFit="1" customWidth="1"/>
    <col min="4" max="4" width="2.7109375" style="13" bestFit="1" customWidth="1"/>
    <col min="5" max="5" width="4.7109375" style="13" bestFit="1" customWidth="1"/>
    <col min="6" max="7" width="1.85546875" style="13" bestFit="1" customWidth="1"/>
    <col min="8" max="8" width="7.140625" style="13" bestFit="1" customWidth="1"/>
    <col min="9" max="9" width="23.7109375" style="13" bestFit="1" customWidth="1"/>
    <col min="10" max="10" width="24" style="13" bestFit="1" customWidth="1"/>
    <col min="11" max="11" width="27" style="42" bestFit="1" customWidth="1"/>
    <col min="12" max="12" width="22" style="13" customWidth="1"/>
    <col min="13" max="14" width="2.7109375" style="13" customWidth="1"/>
    <col min="15" max="15" width="4" style="13" bestFit="1" customWidth="1"/>
    <col min="16" max="16" width="3.28515625" style="13" bestFit="1" customWidth="1"/>
    <col min="17" max="17" width="2.7109375" style="13" customWidth="1"/>
    <col min="18" max="18" width="3.28515625" style="13" bestFit="1" customWidth="1"/>
    <col min="19" max="20" width="2.7109375" style="13" bestFit="1" customWidth="1"/>
    <col min="21" max="16384" width="9.140625" style="13"/>
  </cols>
  <sheetData>
    <row r="1" spans="1:20" ht="12" thickBot="1" x14ac:dyDescent="0.25">
      <c r="A1" s="168" t="s">
        <v>195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88"/>
      <c r="M1" s="147"/>
    </row>
    <row r="2" spans="1:20" ht="22.5" x14ac:dyDescent="0.2">
      <c r="A2" s="96"/>
      <c r="B2" s="186"/>
      <c r="C2" s="187"/>
      <c r="D2" s="186"/>
      <c r="E2" s="186" t="s">
        <v>194</v>
      </c>
      <c r="F2" s="186"/>
      <c r="G2" s="186"/>
      <c r="H2" s="186" t="s">
        <v>193</v>
      </c>
      <c r="I2" s="186" t="s">
        <v>192</v>
      </c>
      <c r="J2" s="185" t="str">
        <f>Currency&amp;"_020_Sw"&amp;$C$3&amp;$D$3&amp;"_Fwd"&amp;$E$3&amp;IF(H3=0,,"_Spr"&amp;$F3&amp;$G3)&amp;".xml"</f>
        <v>USD_020_SwAM3L_Fwd1w.xml</v>
      </c>
      <c r="K2" s="184" t="str">
        <f>IF(Serialize,_xll.ohObjectSave(K3:K36,SerializationPath&amp;J2,FileOverwrite,Serialize),"---")</f>
        <v>---</v>
      </c>
      <c r="L2" s="182" t="str">
        <f>_xll.ohRangeRetrieveError(K2)</f>
        <v/>
      </c>
      <c r="M2" s="23"/>
      <c r="O2" s="159"/>
      <c r="P2" s="158"/>
      <c r="Q2" s="158"/>
      <c r="R2" s="158"/>
      <c r="S2" s="158"/>
      <c r="T2" s="157"/>
    </row>
    <row r="3" spans="1:20" x14ac:dyDescent="0.2">
      <c r="A3" s="96"/>
      <c r="B3" s="181" t="s">
        <v>8</v>
      </c>
      <c r="C3" s="141" t="str">
        <f t="shared" ref="C3:C36" si="0">VLOOKUP(Currency,$O$3:$T$7,2)</f>
        <v>AM</v>
      </c>
      <c r="D3" s="141" t="str">
        <f t="shared" ref="D3:D36" si="1">VLOOKUP(Currency,$O$3:$T$7,3)</f>
        <v>3L</v>
      </c>
      <c r="E3" s="141" t="str">
        <f t="shared" ref="E3:E36" si="2">VLOOKUP(Currency,$O$3:$T$7,4)</f>
        <v>1w</v>
      </c>
      <c r="F3" s="141">
        <f t="shared" ref="F3:F36" si="3">VLOOKUP(Currency,$O$3:$T$7,5)</f>
        <v>0</v>
      </c>
      <c r="G3" s="141">
        <f t="shared" ref="G3:G36" si="4">VLOOKUP(Currency,$O$3:$T$7,6)</f>
        <v>0</v>
      </c>
      <c r="H3" s="180">
        <f t="shared" ref="H3:H36" si="5">IF(F3=0,0,Currency&amp;$F3&amp;$G3&amp;$B3&amp;QuoteSuffix)</f>
        <v>0</v>
      </c>
      <c r="I3" s="183" t="str">
        <f t="shared" ref="I3:I36" si="6">PROPER(Currency)&amp;FamilyName&amp;"Swap"&amp;FixingType&amp;$B3</f>
        <v>UsdLiborSwapForBasisCalc1Y</v>
      </c>
      <c r="J3" s="179" t="str">
        <f t="shared" ref="J3:J36" si="7">Currency&amp;$C3&amp;$D3&amp;$B3&amp;"_"&amp;"Fwd"&amp;E3&amp;IF(H3=0,,"_Spr"&amp;$F3&amp;$G3)&amp;QuoteSuffix</f>
        <v>USDAM3L1Y_Fwd1w_Quote</v>
      </c>
      <c r="K3" s="179"/>
      <c r="L3" s="182" t="str">
        <f>_xll.ohRangeRetrieveError(K3)</f>
        <v/>
      </c>
      <c r="M3" s="23"/>
      <c r="O3" s="59" t="s">
        <v>105</v>
      </c>
      <c r="P3" s="58" t="s">
        <v>181</v>
      </c>
      <c r="Q3" s="58" t="s">
        <v>99</v>
      </c>
      <c r="R3" s="58" t="s">
        <v>191</v>
      </c>
      <c r="S3" s="58"/>
      <c r="T3" s="57"/>
    </row>
    <row r="4" spans="1:20" x14ac:dyDescent="0.2">
      <c r="A4" s="96"/>
      <c r="B4" s="181" t="s">
        <v>84</v>
      </c>
      <c r="C4" s="141" t="str">
        <f t="shared" si="0"/>
        <v>AM</v>
      </c>
      <c r="D4" s="141" t="str">
        <f t="shared" si="1"/>
        <v>3L</v>
      </c>
      <c r="E4" s="141" t="str">
        <f t="shared" si="2"/>
        <v>1w</v>
      </c>
      <c r="F4" s="141">
        <f t="shared" si="3"/>
        <v>0</v>
      </c>
      <c r="G4" s="141">
        <f t="shared" si="4"/>
        <v>0</v>
      </c>
      <c r="H4" s="180">
        <f t="shared" si="5"/>
        <v>0</v>
      </c>
      <c r="I4" s="80" t="str">
        <f t="shared" si="6"/>
        <v>UsdLiborSwapForBasisCalc2Y</v>
      </c>
      <c r="J4" s="179" t="str">
        <f t="shared" si="7"/>
        <v>USDAM3L2Y_Fwd1w_Quote</v>
      </c>
      <c r="K4" s="179"/>
      <c r="L4" s="182" t="str">
        <f>_xll.ohRangeRetrieveError(K4)</f>
        <v/>
      </c>
      <c r="M4" s="23"/>
      <c r="O4" s="59" t="s">
        <v>104</v>
      </c>
      <c r="P4" s="58" t="s">
        <v>181</v>
      </c>
      <c r="Q4" s="58" t="s">
        <v>102</v>
      </c>
      <c r="R4" s="58" t="s">
        <v>191</v>
      </c>
      <c r="S4" s="58"/>
      <c r="T4" s="57"/>
    </row>
    <row r="5" spans="1:20" x14ac:dyDescent="0.2">
      <c r="A5" s="96"/>
      <c r="B5" s="181" t="s">
        <v>83</v>
      </c>
      <c r="C5" s="141" t="str">
        <f t="shared" si="0"/>
        <v>AM</v>
      </c>
      <c r="D5" s="141" t="str">
        <f t="shared" si="1"/>
        <v>3L</v>
      </c>
      <c r="E5" s="141" t="str">
        <f t="shared" si="2"/>
        <v>1w</v>
      </c>
      <c r="F5" s="141">
        <f t="shared" si="3"/>
        <v>0</v>
      </c>
      <c r="G5" s="141">
        <f t="shared" si="4"/>
        <v>0</v>
      </c>
      <c r="H5" s="180">
        <f t="shared" si="5"/>
        <v>0</v>
      </c>
      <c r="I5" s="80" t="str">
        <f t="shared" si="6"/>
        <v>UsdLiborSwapForBasisCalc3Y</v>
      </c>
      <c r="J5" s="179" t="str">
        <f t="shared" si="7"/>
        <v>USDAM3L3Y_Fwd1w_Quote</v>
      </c>
      <c r="K5" s="179"/>
      <c r="L5" s="182" t="str">
        <f>_xll.ohRangeRetrieveError(K5)</f>
        <v/>
      </c>
      <c r="M5" s="23"/>
      <c r="O5" s="59" t="s">
        <v>101</v>
      </c>
      <c r="P5" s="58" t="s">
        <v>180</v>
      </c>
      <c r="Q5" s="58" t="s">
        <v>99</v>
      </c>
      <c r="R5" s="58" t="s">
        <v>191</v>
      </c>
      <c r="S5" s="58"/>
      <c r="T5" s="57"/>
    </row>
    <row r="6" spans="1:20" x14ac:dyDescent="0.2">
      <c r="A6" s="96"/>
      <c r="B6" s="181" t="s">
        <v>82</v>
      </c>
      <c r="C6" s="141" t="str">
        <f t="shared" si="0"/>
        <v>AM</v>
      </c>
      <c r="D6" s="141" t="str">
        <f t="shared" si="1"/>
        <v>3L</v>
      </c>
      <c r="E6" s="141" t="str">
        <f t="shared" si="2"/>
        <v>1w</v>
      </c>
      <c r="F6" s="141">
        <f t="shared" si="3"/>
        <v>0</v>
      </c>
      <c r="G6" s="141">
        <f t="shared" si="4"/>
        <v>0</v>
      </c>
      <c r="H6" s="180">
        <f t="shared" si="5"/>
        <v>0</v>
      </c>
      <c r="I6" s="80" t="str">
        <f t="shared" si="6"/>
        <v>UsdLiborSwapForBasisCalc4Y</v>
      </c>
      <c r="J6" s="179" t="str">
        <f t="shared" si="7"/>
        <v>USDAM3L4Y_Fwd1w_Quote</v>
      </c>
      <c r="K6" s="179"/>
      <c r="L6" s="182" t="str">
        <f>_xll.ohRangeRetrieveError(K6)</f>
        <v/>
      </c>
      <c r="M6" s="23"/>
      <c r="O6" s="59" t="s">
        <v>100</v>
      </c>
      <c r="P6" s="58" t="s">
        <v>180</v>
      </c>
      <c r="Q6" s="58" t="s">
        <v>99</v>
      </c>
      <c r="R6" s="58" t="s">
        <v>191</v>
      </c>
      <c r="S6" s="58"/>
      <c r="T6" s="57"/>
    </row>
    <row r="7" spans="1:20" ht="12" thickBot="1" x14ac:dyDescent="0.25">
      <c r="A7" s="96"/>
      <c r="B7" s="181" t="s">
        <v>81</v>
      </c>
      <c r="C7" s="141" t="str">
        <f t="shared" si="0"/>
        <v>AM</v>
      </c>
      <c r="D7" s="141" t="str">
        <f t="shared" si="1"/>
        <v>3L</v>
      </c>
      <c r="E7" s="141" t="str">
        <f t="shared" si="2"/>
        <v>1w</v>
      </c>
      <c r="F7" s="141">
        <f t="shared" si="3"/>
        <v>0</v>
      </c>
      <c r="G7" s="141">
        <f t="shared" si="4"/>
        <v>0</v>
      </c>
      <c r="H7" s="180">
        <f t="shared" si="5"/>
        <v>0</v>
      </c>
      <c r="I7" s="80" t="str">
        <f t="shared" si="6"/>
        <v>UsdLiborSwapForBasisCalc5Y</v>
      </c>
      <c r="J7" s="179" t="str">
        <f t="shared" si="7"/>
        <v>USDAM3L5Y_Fwd1w_Quote</v>
      </c>
      <c r="K7" s="179"/>
      <c r="L7" s="182" t="str">
        <f>_xll.ohRangeRetrieveError(K7)</f>
        <v/>
      </c>
      <c r="M7" s="23"/>
      <c r="O7" s="56" t="s">
        <v>95</v>
      </c>
      <c r="P7" s="55" t="s">
        <v>179</v>
      </c>
      <c r="Q7" s="55" t="s">
        <v>98</v>
      </c>
      <c r="R7" s="55" t="s">
        <v>191</v>
      </c>
      <c r="S7" s="55"/>
      <c r="T7" s="54"/>
    </row>
    <row r="8" spans="1:20" x14ac:dyDescent="0.2">
      <c r="A8" s="96"/>
      <c r="B8" s="181" t="s">
        <v>80</v>
      </c>
      <c r="C8" s="141" t="str">
        <f t="shared" si="0"/>
        <v>AM</v>
      </c>
      <c r="D8" s="141" t="str">
        <f t="shared" si="1"/>
        <v>3L</v>
      </c>
      <c r="E8" s="141" t="str">
        <f t="shared" si="2"/>
        <v>1w</v>
      </c>
      <c r="F8" s="141">
        <f t="shared" si="3"/>
        <v>0</v>
      </c>
      <c r="G8" s="141">
        <f t="shared" si="4"/>
        <v>0</v>
      </c>
      <c r="H8" s="180">
        <f t="shared" si="5"/>
        <v>0</v>
      </c>
      <c r="I8" s="80" t="str">
        <f t="shared" si="6"/>
        <v>UsdLiborSwapForBasisCalc6Y</v>
      </c>
      <c r="J8" s="179" t="str">
        <f t="shared" si="7"/>
        <v>USDAM3L6Y_Fwd1w_Quote</v>
      </c>
      <c r="K8" s="179"/>
      <c r="L8" s="182" t="str">
        <f>_xll.ohRangeRetrieveError(K8)</f>
        <v/>
      </c>
      <c r="M8" s="23"/>
    </row>
    <row r="9" spans="1:20" x14ac:dyDescent="0.2">
      <c r="A9" s="96"/>
      <c r="B9" s="181" t="s">
        <v>79</v>
      </c>
      <c r="C9" s="141" t="str">
        <f t="shared" si="0"/>
        <v>AM</v>
      </c>
      <c r="D9" s="141" t="str">
        <f t="shared" si="1"/>
        <v>3L</v>
      </c>
      <c r="E9" s="141" t="str">
        <f t="shared" si="2"/>
        <v>1w</v>
      </c>
      <c r="F9" s="141">
        <f t="shared" si="3"/>
        <v>0</v>
      </c>
      <c r="G9" s="141">
        <f t="shared" si="4"/>
        <v>0</v>
      </c>
      <c r="H9" s="180">
        <f t="shared" si="5"/>
        <v>0</v>
      </c>
      <c r="I9" s="80" t="str">
        <f t="shared" si="6"/>
        <v>UsdLiborSwapForBasisCalc7Y</v>
      </c>
      <c r="J9" s="179" t="str">
        <f t="shared" si="7"/>
        <v>USDAM3L7Y_Fwd1w_Quote</v>
      </c>
      <c r="K9" s="179"/>
      <c r="L9" s="182" t="str">
        <f>_xll.ohRangeRetrieveError(K9)</f>
        <v/>
      </c>
      <c r="M9" s="23"/>
    </row>
    <row r="10" spans="1:20" x14ac:dyDescent="0.2">
      <c r="A10" s="96"/>
      <c r="B10" s="181" t="s">
        <v>78</v>
      </c>
      <c r="C10" s="141" t="str">
        <f t="shared" si="0"/>
        <v>AM</v>
      </c>
      <c r="D10" s="141" t="str">
        <f t="shared" si="1"/>
        <v>3L</v>
      </c>
      <c r="E10" s="141" t="str">
        <f t="shared" si="2"/>
        <v>1w</v>
      </c>
      <c r="F10" s="141">
        <f t="shared" si="3"/>
        <v>0</v>
      </c>
      <c r="G10" s="141">
        <f t="shared" si="4"/>
        <v>0</v>
      </c>
      <c r="H10" s="180">
        <f t="shared" si="5"/>
        <v>0</v>
      </c>
      <c r="I10" s="80" t="str">
        <f t="shared" si="6"/>
        <v>UsdLiborSwapForBasisCalc8Y</v>
      </c>
      <c r="J10" s="179" t="str">
        <f t="shared" si="7"/>
        <v>USDAM3L8Y_Fwd1w_Quote</v>
      </c>
      <c r="K10" s="179"/>
      <c r="L10" s="182" t="str">
        <f>_xll.ohRangeRetrieveError(K10)</f>
        <v/>
      </c>
      <c r="M10" s="23"/>
    </row>
    <row r="11" spans="1:20" x14ac:dyDescent="0.2">
      <c r="A11" s="96"/>
      <c r="B11" s="181" t="s">
        <v>77</v>
      </c>
      <c r="C11" s="141" t="str">
        <f t="shared" si="0"/>
        <v>AM</v>
      </c>
      <c r="D11" s="141" t="str">
        <f t="shared" si="1"/>
        <v>3L</v>
      </c>
      <c r="E11" s="141" t="str">
        <f t="shared" si="2"/>
        <v>1w</v>
      </c>
      <c r="F11" s="141">
        <f t="shared" si="3"/>
        <v>0</v>
      </c>
      <c r="G11" s="141">
        <f t="shared" si="4"/>
        <v>0</v>
      </c>
      <c r="H11" s="180">
        <f t="shared" si="5"/>
        <v>0</v>
      </c>
      <c r="I11" s="80" t="str">
        <f t="shared" si="6"/>
        <v>UsdLiborSwapForBasisCalc9Y</v>
      </c>
      <c r="J11" s="179" t="str">
        <f t="shared" si="7"/>
        <v>USDAM3L9Y_Fwd1w_Quote</v>
      </c>
      <c r="K11" s="179"/>
      <c r="L11" s="182" t="str">
        <f>_xll.ohRangeRetrieveError(K11)</f>
        <v/>
      </c>
      <c r="M11" s="23"/>
    </row>
    <row r="12" spans="1:20" x14ac:dyDescent="0.2">
      <c r="A12" s="96"/>
      <c r="B12" s="181" t="s">
        <v>76</v>
      </c>
      <c r="C12" s="141" t="str">
        <f t="shared" si="0"/>
        <v>AM</v>
      </c>
      <c r="D12" s="141" t="str">
        <f t="shared" si="1"/>
        <v>3L</v>
      </c>
      <c r="E12" s="141" t="str">
        <f t="shared" si="2"/>
        <v>1w</v>
      </c>
      <c r="F12" s="141">
        <f t="shared" si="3"/>
        <v>0</v>
      </c>
      <c r="G12" s="141">
        <f t="shared" si="4"/>
        <v>0</v>
      </c>
      <c r="H12" s="180">
        <f t="shared" si="5"/>
        <v>0</v>
      </c>
      <c r="I12" s="80" t="str">
        <f t="shared" si="6"/>
        <v>UsdLiborSwapForBasisCalc10Y</v>
      </c>
      <c r="J12" s="179" t="str">
        <f t="shared" si="7"/>
        <v>USDAM3L10Y_Fwd1w_Quote</v>
      </c>
      <c r="K12" s="179"/>
      <c r="L12" s="182" t="str">
        <f>_xll.ohRangeRetrieveError(K12)</f>
        <v/>
      </c>
      <c r="M12" s="23"/>
    </row>
    <row r="13" spans="1:20" x14ac:dyDescent="0.2">
      <c r="A13" s="96"/>
      <c r="B13" s="181" t="s">
        <v>75</v>
      </c>
      <c r="C13" s="141" t="str">
        <f t="shared" si="0"/>
        <v>AM</v>
      </c>
      <c r="D13" s="141" t="str">
        <f t="shared" si="1"/>
        <v>3L</v>
      </c>
      <c r="E13" s="141" t="str">
        <f t="shared" si="2"/>
        <v>1w</v>
      </c>
      <c r="F13" s="141">
        <f t="shared" si="3"/>
        <v>0</v>
      </c>
      <c r="G13" s="141">
        <f t="shared" si="4"/>
        <v>0</v>
      </c>
      <c r="H13" s="180">
        <f t="shared" si="5"/>
        <v>0</v>
      </c>
      <c r="I13" s="80" t="str">
        <f t="shared" si="6"/>
        <v>UsdLiborSwapForBasisCalc11Y</v>
      </c>
      <c r="J13" s="179" t="str">
        <f t="shared" si="7"/>
        <v>USDAM3L11Y_Fwd1w_Quote</v>
      </c>
      <c r="K13" s="179"/>
      <c r="L13" s="182" t="str">
        <f>_xll.ohRangeRetrieveError(K13)</f>
        <v/>
      </c>
      <c r="M13" s="23"/>
    </row>
    <row r="14" spans="1:20" x14ac:dyDescent="0.2">
      <c r="A14" s="96"/>
      <c r="B14" s="181" t="s">
        <v>74</v>
      </c>
      <c r="C14" s="141" t="str">
        <f t="shared" si="0"/>
        <v>AM</v>
      </c>
      <c r="D14" s="141" t="str">
        <f t="shared" si="1"/>
        <v>3L</v>
      </c>
      <c r="E14" s="141" t="str">
        <f t="shared" si="2"/>
        <v>1w</v>
      </c>
      <c r="F14" s="141">
        <f t="shared" si="3"/>
        <v>0</v>
      </c>
      <c r="G14" s="141">
        <f t="shared" si="4"/>
        <v>0</v>
      </c>
      <c r="H14" s="180">
        <f t="shared" si="5"/>
        <v>0</v>
      </c>
      <c r="I14" s="80" t="str">
        <f t="shared" si="6"/>
        <v>UsdLiborSwapForBasisCalc12Y</v>
      </c>
      <c r="J14" s="179" t="str">
        <f t="shared" si="7"/>
        <v>USDAM3L12Y_Fwd1w_Quote</v>
      </c>
      <c r="K14" s="179"/>
      <c r="L14" s="182" t="str">
        <f>_xll.ohRangeRetrieveError(K14)</f>
        <v/>
      </c>
      <c r="M14" s="23"/>
    </row>
    <row r="15" spans="1:20" x14ac:dyDescent="0.2">
      <c r="A15" s="96"/>
      <c r="B15" s="181" t="s">
        <v>73</v>
      </c>
      <c r="C15" s="141" t="str">
        <f t="shared" si="0"/>
        <v>AM</v>
      </c>
      <c r="D15" s="141" t="str">
        <f t="shared" si="1"/>
        <v>3L</v>
      </c>
      <c r="E15" s="141" t="str">
        <f t="shared" si="2"/>
        <v>1w</v>
      </c>
      <c r="F15" s="141">
        <f t="shared" si="3"/>
        <v>0</v>
      </c>
      <c r="G15" s="141">
        <f t="shared" si="4"/>
        <v>0</v>
      </c>
      <c r="H15" s="180">
        <f t="shared" si="5"/>
        <v>0</v>
      </c>
      <c r="I15" s="80" t="str">
        <f t="shared" si="6"/>
        <v>UsdLiborSwapForBasisCalc13Y</v>
      </c>
      <c r="J15" s="179" t="str">
        <f t="shared" si="7"/>
        <v>USDAM3L13Y_Fwd1w_Quote</v>
      </c>
      <c r="K15" s="179"/>
      <c r="L15" s="182" t="str">
        <f>_xll.ohRangeRetrieveError(K15)</f>
        <v/>
      </c>
      <c r="M15" s="23"/>
    </row>
    <row r="16" spans="1:20" x14ac:dyDescent="0.2">
      <c r="A16" s="96"/>
      <c r="B16" s="181" t="s">
        <v>72</v>
      </c>
      <c r="C16" s="141" t="str">
        <f t="shared" si="0"/>
        <v>AM</v>
      </c>
      <c r="D16" s="141" t="str">
        <f t="shared" si="1"/>
        <v>3L</v>
      </c>
      <c r="E16" s="141" t="str">
        <f t="shared" si="2"/>
        <v>1w</v>
      </c>
      <c r="F16" s="141">
        <f t="shared" si="3"/>
        <v>0</v>
      </c>
      <c r="G16" s="141">
        <f t="shared" si="4"/>
        <v>0</v>
      </c>
      <c r="H16" s="180">
        <f t="shared" si="5"/>
        <v>0</v>
      </c>
      <c r="I16" s="80" t="str">
        <f t="shared" si="6"/>
        <v>UsdLiborSwapForBasisCalc14Y</v>
      </c>
      <c r="J16" s="179" t="str">
        <f t="shared" si="7"/>
        <v>USDAM3L14Y_Fwd1w_Quote</v>
      </c>
      <c r="K16" s="179"/>
      <c r="L16" s="182" t="str">
        <f>_xll.ohRangeRetrieveError(K16)</f>
        <v/>
      </c>
      <c r="M16" s="23"/>
    </row>
    <row r="17" spans="1:13" x14ac:dyDescent="0.2">
      <c r="A17" s="96"/>
      <c r="B17" s="181" t="s">
        <v>71</v>
      </c>
      <c r="C17" s="141" t="str">
        <f t="shared" si="0"/>
        <v>AM</v>
      </c>
      <c r="D17" s="141" t="str">
        <f t="shared" si="1"/>
        <v>3L</v>
      </c>
      <c r="E17" s="141" t="str">
        <f t="shared" si="2"/>
        <v>1w</v>
      </c>
      <c r="F17" s="141">
        <f t="shared" si="3"/>
        <v>0</v>
      </c>
      <c r="G17" s="141">
        <f t="shared" si="4"/>
        <v>0</v>
      </c>
      <c r="H17" s="180">
        <f t="shared" si="5"/>
        <v>0</v>
      </c>
      <c r="I17" s="80" t="str">
        <f t="shared" si="6"/>
        <v>UsdLiborSwapForBasisCalc15Y</v>
      </c>
      <c r="J17" s="179" t="str">
        <f t="shared" si="7"/>
        <v>USDAM3L15Y_Fwd1w_Quote</v>
      </c>
      <c r="K17" s="179"/>
      <c r="L17" s="182" t="str">
        <f>_xll.ohRangeRetrieveError(K17)</f>
        <v/>
      </c>
      <c r="M17" s="23"/>
    </row>
    <row r="18" spans="1:13" x14ac:dyDescent="0.2">
      <c r="A18" s="96"/>
      <c r="B18" s="181" t="s">
        <v>70</v>
      </c>
      <c r="C18" s="141" t="str">
        <f t="shared" si="0"/>
        <v>AM</v>
      </c>
      <c r="D18" s="141" t="str">
        <f t="shared" si="1"/>
        <v>3L</v>
      </c>
      <c r="E18" s="141" t="str">
        <f t="shared" si="2"/>
        <v>1w</v>
      </c>
      <c r="F18" s="141">
        <f t="shared" si="3"/>
        <v>0</v>
      </c>
      <c r="G18" s="141">
        <f t="shared" si="4"/>
        <v>0</v>
      </c>
      <c r="H18" s="180">
        <f t="shared" si="5"/>
        <v>0</v>
      </c>
      <c r="I18" s="80" t="str">
        <f t="shared" si="6"/>
        <v>UsdLiborSwapForBasisCalc16Y</v>
      </c>
      <c r="J18" s="179" t="str">
        <f t="shared" si="7"/>
        <v>USDAM3L16Y_Fwd1w_Quote</v>
      </c>
      <c r="K18" s="179"/>
      <c r="L18" s="182" t="str">
        <f>_xll.ohRangeRetrieveError(K18)</f>
        <v/>
      </c>
      <c r="M18" s="23"/>
    </row>
    <row r="19" spans="1:13" x14ac:dyDescent="0.2">
      <c r="A19" s="96"/>
      <c r="B19" s="181" t="s">
        <v>69</v>
      </c>
      <c r="C19" s="141" t="str">
        <f t="shared" si="0"/>
        <v>AM</v>
      </c>
      <c r="D19" s="141" t="str">
        <f t="shared" si="1"/>
        <v>3L</v>
      </c>
      <c r="E19" s="141" t="str">
        <f t="shared" si="2"/>
        <v>1w</v>
      </c>
      <c r="F19" s="141">
        <f t="shared" si="3"/>
        <v>0</v>
      </c>
      <c r="G19" s="141">
        <f t="shared" si="4"/>
        <v>0</v>
      </c>
      <c r="H19" s="180">
        <f t="shared" si="5"/>
        <v>0</v>
      </c>
      <c r="I19" s="80" t="str">
        <f t="shared" si="6"/>
        <v>UsdLiborSwapForBasisCalc17Y</v>
      </c>
      <c r="J19" s="179" t="str">
        <f t="shared" si="7"/>
        <v>USDAM3L17Y_Fwd1w_Quote</v>
      </c>
      <c r="K19" s="179"/>
      <c r="L19" s="182" t="str">
        <f>_xll.ohRangeRetrieveError(K19)</f>
        <v/>
      </c>
      <c r="M19" s="23"/>
    </row>
    <row r="20" spans="1:13" x14ac:dyDescent="0.2">
      <c r="A20" s="96"/>
      <c r="B20" s="181" t="s">
        <v>68</v>
      </c>
      <c r="C20" s="141" t="str">
        <f t="shared" si="0"/>
        <v>AM</v>
      </c>
      <c r="D20" s="141" t="str">
        <f t="shared" si="1"/>
        <v>3L</v>
      </c>
      <c r="E20" s="141" t="str">
        <f t="shared" si="2"/>
        <v>1w</v>
      </c>
      <c r="F20" s="141">
        <f t="shared" si="3"/>
        <v>0</v>
      </c>
      <c r="G20" s="141">
        <f t="shared" si="4"/>
        <v>0</v>
      </c>
      <c r="H20" s="180">
        <f t="shared" si="5"/>
        <v>0</v>
      </c>
      <c r="I20" s="80" t="str">
        <f t="shared" si="6"/>
        <v>UsdLiborSwapForBasisCalc18Y</v>
      </c>
      <c r="J20" s="179" t="str">
        <f t="shared" si="7"/>
        <v>USDAM3L18Y_Fwd1w_Quote</v>
      </c>
      <c r="K20" s="179"/>
      <c r="L20" s="182" t="str">
        <f>_xll.ohRangeRetrieveError(K20)</f>
        <v/>
      </c>
      <c r="M20" s="23"/>
    </row>
    <row r="21" spans="1:13" x14ac:dyDescent="0.2">
      <c r="A21" s="96"/>
      <c r="B21" s="181" t="s">
        <v>67</v>
      </c>
      <c r="C21" s="141" t="str">
        <f t="shared" si="0"/>
        <v>AM</v>
      </c>
      <c r="D21" s="141" t="str">
        <f t="shared" si="1"/>
        <v>3L</v>
      </c>
      <c r="E21" s="141" t="str">
        <f t="shared" si="2"/>
        <v>1w</v>
      </c>
      <c r="F21" s="141">
        <f t="shared" si="3"/>
        <v>0</v>
      </c>
      <c r="G21" s="141">
        <f t="shared" si="4"/>
        <v>0</v>
      </c>
      <c r="H21" s="180">
        <f t="shared" si="5"/>
        <v>0</v>
      </c>
      <c r="I21" s="80" t="str">
        <f t="shared" si="6"/>
        <v>UsdLiborSwapForBasisCalc19Y</v>
      </c>
      <c r="J21" s="179" t="str">
        <f t="shared" si="7"/>
        <v>USDAM3L19Y_Fwd1w_Quote</v>
      </c>
      <c r="K21" s="179"/>
      <c r="L21" s="182" t="str">
        <f>_xll.ohRangeRetrieveError(K21)</f>
        <v/>
      </c>
      <c r="M21" s="23"/>
    </row>
    <row r="22" spans="1:13" x14ac:dyDescent="0.2">
      <c r="A22" s="96"/>
      <c r="B22" s="181" t="s">
        <v>66</v>
      </c>
      <c r="C22" s="141" t="str">
        <f t="shared" si="0"/>
        <v>AM</v>
      </c>
      <c r="D22" s="141" t="str">
        <f t="shared" si="1"/>
        <v>3L</v>
      </c>
      <c r="E22" s="141" t="str">
        <f t="shared" si="2"/>
        <v>1w</v>
      </c>
      <c r="F22" s="141">
        <f t="shared" si="3"/>
        <v>0</v>
      </c>
      <c r="G22" s="141">
        <f t="shared" si="4"/>
        <v>0</v>
      </c>
      <c r="H22" s="180">
        <f t="shared" si="5"/>
        <v>0</v>
      </c>
      <c r="I22" s="80" t="str">
        <f t="shared" si="6"/>
        <v>UsdLiborSwapForBasisCalc20Y</v>
      </c>
      <c r="J22" s="179" t="str">
        <f t="shared" si="7"/>
        <v>USDAM3L20Y_Fwd1w_Quote</v>
      </c>
      <c r="K22" s="179"/>
      <c r="L22" s="182" t="str">
        <f>_xll.ohRangeRetrieveError(K22)</f>
        <v/>
      </c>
      <c r="M22" s="23"/>
    </row>
    <row r="23" spans="1:13" x14ac:dyDescent="0.2">
      <c r="A23" s="96"/>
      <c r="B23" s="181" t="s">
        <v>65</v>
      </c>
      <c r="C23" s="141" t="str">
        <f t="shared" si="0"/>
        <v>AM</v>
      </c>
      <c r="D23" s="141" t="str">
        <f t="shared" si="1"/>
        <v>3L</v>
      </c>
      <c r="E23" s="141" t="str">
        <f t="shared" si="2"/>
        <v>1w</v>
      </c>
      <c r="F23" s="141">
        <f t="shared" si="3"/>
        <v>0</v>
      </c>
      <c r="G23" s="141">
        <f t="shared" si="4"/>
        <v>0</v>
      </c>
      <c r="H23" s="180">
        <f t="shared" si="5"/>
        <v>0</v>
      </c>
      <c r="I23" s="80" t="str">
        <f t="shared" si="6"/>
        <v>UsdLiborSwapForBasisCalc21Y</v>
      </c>
      <c r="J23" s="179" t="str">
        <f t="shared" si="7"/>
        <v>USDAM3L21Y_Fwd1w_Quote</v>
      </c>
      <c r="K23" s="179"/>
      <c r="L23" s="182" t="str">
        <f>_xll.ohRangeRetrieveError(K23)</f>
        <v/>
      </c>
      <c r="M23" s="23"/>
    </row>
    <row r="24" spans="1:13" x14ac:dyDescent="0.2">
      <c r="A24" s="96"/>
      <c r="B24" s="181" t="s">
        <v>64</v>
      </c>
      <c r="C24" s="141" t="str">
        <f t="shared" si="0"/>
        <v>AM</v>
      </c>
      <c r="D24" s="141" t="str">
        <f t="shared" si="1"/>
        <v>3L</v>
      </c>
      <c r="E24" s="141" t="str">
        <f t="shared" si="2"/>
        <v>1w</v>
      </c>
      <c r="F24" s="141">
        <f t="shared" si="3"/>
        <v>0</v>
      </c>
      <c r="G24" s="141">
        <f t="shared" si="4"/>
        <v>0</v>
      </c>
      <c r="H24" s="180">
        <f t="shared" si="5"/>
        <v>0</v>
      </c>
      <c r="I24" s="80" t="str">
        <f t="shared" si="6"/>
        <v>UsdLiborSwapForBasisCalc22Y</v>
      </c>
      <c r="J24" s="179" t="str">
        <f t="shared" si="7"/>
        <v>USDAM3L22Y_Fwd1w_Quote</v>
      </c>
      <c r="K24" s="179"/>
      <c r="L24" s="182" t="str">
        <f>_xll.ohRangeRetrieveError(K24)</f>
        <v/>
      </c>
      <c r="M24" s="23"/>
    </row>
    <row r="25" spans="1:13" x14ac:dyDescent="0.2">
      <c r="A25" s="96"/>
      <c r="B25" s="181" t="s">
        <v>63</v>
      </c>
      <c r="C25" s="141" t="str">
        <f t="shared" si="0"/>
        <v>AM</v>
      </c>
      <c r="D25" s="141" t="str">
        <f t="shared" si="1"/>
        <v>3L</v>
      </c>
      <c r="E25" s="141" t="str">
        <f t="shared" si="2"/>
        <v>1w</v>
      </c>
      <c r="F25" s="141">
        <f t="shared" si="3"/>
        <v>0</v>
      </c>
      <c r="G25" s="141">
        <f t="shared" si="4"/>
        <v>0</v>
      </c>
      <c r="H25" s="180">
        <f t="shared" si="5"/>
        <v>0</v>
      </c>
      <c r="I25" s="80" t="str">
        <f t="shared" si="6"/>
        <v>UsdLiborSwapForBasisCalc23Y</v>
      </c>
      <c r="J25" s="179" t="str">
        <f t="shared" si="7"/>
        <v>USDAM3L23Y_Fwd1w_Quote</v>
      </c>
      <c r="K25" s="179"/>
      <c r="L25" s="182" t="str">
        <f>_xll.ohRangeRetrieveError(K25)</f>
        <v/>
      </c>
      <c r="M25" s="23"/>
    </row>
    <row r="26" spans="1:13" x14ac:dyDescent="0.2">
      <c r="A26" s="96"/>
      <c r="B26" s="181" t="s">
        <v>62</v>
      </c>
      <c r="C26" s="141" t="str">
        <f t="shared" si="0"/>
        <v>AM</v>
      </c>
      <c r="D26" s="141" t="str">
        <f t="shared" si="1"/>
        <v>3L</v>
      </c>
      <c r="E26" s="141" t="str">
        <f t="shared" si="2"/>
        <v>1w</v>
      </c>
      <c r="F26" s="141">
        <f t="shared" si="3"/>
        <v>0</v>
      </c>
      <c r="G26" s="141">
        <f t="shared" si="4"/>
        <v>0</v>
      </c>
      <c r="H26" s="180">
        <f t="shared" si="5"/>
        <v>0</v>
      </c>
      <c r="I26" s="80" t="str">
        <f t="shared" si="6"/>
        <v>UsdLiborSwapForBasisCalc24Y</v>
      </c>
      <c r="J26" s="179" t="str">
        <f t="shared" si="7"/>
        <v>USDAM3L24Y_Fwd1w_Quote</v>
      </c>
      <c r="K26" s="179"/>
      <c r="L26" s="182" t="str">
        <f>_xll.ohRangeRetrieveError(K26)</f>
        <v/>
      </c>
      <c r="M26" s="23"/>
    </row>
    <row r="27" spans="1:13" x14ac:dyDescent="0.2">
      <c r="A27" s="96"/>
      <c r="B27" s="181" t="s">
        <v>61</v>
      </c>
      <c r="C27" s="141" t="str">
        <f t="shared" si="0"/>
        <v>AM</v>
      </c>
      <c r="D27" s="141" t="str">
        <f t="shared" si="1"/>
        <v>3L</v>
      </c>
      <c r="E27" s="141" t="str">
        <f t="shared" si="2"/>
        <v>1w</v>
      </c>
      <c r="F27" s="141">
        <f t="shared" si="3"/>
        <v>0</v>
      </c>
      <c r="G27" s="141">
        <f t="shared" si="4"/>
        <v>0</v>
      </c>
      <c r="H27" s="180">
        <f t="shared" si="5"/>
        <v>0</v>
      </c>
      <c r="I27" s="80" t="str">
        <f t="shared" si="6"/>
        <v>UsdLiborSwapForBasisCalc25Y</v>
      </c>
      <c r="J27" s="179" t="str">
        <f t="shared" si="7"/>
        <v>USDAM3L25Y_Fwd1w_Quote</v>
      </c>
      <c r="K27" s="179"/>
      <c r="L27" s="182" t="str">
        <f>_xll.ohRangeRetrieveError(K27)</f>
        <v/>
      </c>
      <c r="M27" s="23"/>
    </row>
    <row r="28" spans="1:13" x14ac:dyDescent="0.2">
      <c r="A28" s="96"/>
      <c r="B28" s="181" t="s">
        <v>60</v>
      </c>
      <c r="C28" s="141" t="str">
        <f t="shared" si="0"/>
        <v>AM</v>
      </c>
      <c r="D28" s="141" t="str">
        <f t="shared" si="1"/>
        <v>3L</v>
      </c>
      <c r="E28" s="141" t="str">
        <f t="shared" si="2"/>
        <v>1w</v>
      </c>
      <c r="F28" s="141">
        <f t="shared" si="3"/>
        <v>0</v>
      </c>
      <c r="G28" s="141">
        <f t="shared" si="4"/>
        <v>0</v>
      </c>
      <c r="H28" s="180">
        <f t="shared" si="5"/>
        <v>0</v>
      </c>
      <c r="I28" s="80" t="str">
        <f t="shared" si="6"/>
        <v>UsdLiborSwapForBasisCalc26Y</v>
      </c>
      <c r="J28" s="179" t="str">
        <f t="shared" si="7"/>
        <v>USDAM3L26Y_Fwd1w_Quote</v>
      </c>
      <c r="K28" s="179"/>
      <c r="L28" s="182" t="str">
        <f>_xll.ohRangeRetrieveError(K28)</f>
        <v/>
      </c>
      <c r="M28" s="23"/>
    </row>
    <row r="29" spans="1:13" x14ac:dyDescent="0.2">
      <c r="A29" s="96"/>
      <c r="B29" s="181" t="s">
        <v>59</v>
      </c>
      <c r="C29" s="141" t="str">
        <f t="shared" si="0"/>
        <v>AM</v>
      </c>
      <c r="D29" s="141" t="str">
        <f t="shared" si="1"/>
        <v>3L</v>
      </c>
      <c r="E29" s="141" t="str">
        <f t="shared" si="2"/>
        <v>1w</v>
      </c>
      <c r="F29" s="141">
        <f t="shared" si="3"/>
        <v>0</v>
      </c>
      <c r="G29" s="141">
        <f t="shared" si="4"/>
        <v>0</v>
      </c>
      <c r="H29" s="180">
        <f t="shared" si="5"/>
        <v>0</v>
      </c>
      <c r="I29" s="80" t="str">
        <f t="shared" si="6"/>
        <v>UsdLiborSwapForBasisCalc27Y</v>
      </c>
      <c r="J29" s="179" t="str">
        <f t="shared" si="7"/>
        <v>USDAM3L27Y_Fwd1w_Quote</v>
      </c>
      <c r="K29" s="179"/>
      <c r="L29" s="182" t="str">
        <f>_xll.ohRangeRetrieveError(K29)</f>
        <v/>
      </c>
      <c r="M29" s="23"/>
    </row>
    <row r="30" spans="1:13" x14ac:dyDescent="0.2">
      <c r="A30" s="96"/>
      <c r="B30" s="181" t="s">
        <v>58</v>
      </c>
      <c r="C30" s="141" t="str">
        <f t="shared" si="0"/>
        <v>AM</v>
      </c>
      <c r="D30" s="141" t="str">
        <f t="shared" si="1"/>
        <v>3L</v>
      </c>
      <c r="E30" s="141" t="str">
        <f t="shared" si="2"/>
        <v>1w</v>
      </c>
      <c r="F30" s="141">
        <f t="shared" si="3"/>
        <v>0</v>
      </c>
      <c r="G30" s="141">
        <f t="shared" si="4"/>
        <v>0</v>
      </c>
      <c r="H30" s="180">
        <f t="shared" si="5"/>
        <v>0</v>
      </c>
      <c r="I30" s="80" t="str">
        <f t="shared" si="6"/>
        <v>UsdLiborSwapForBasisCalc28Y</v>
      </c>
      <c r="J30" s="179" t="str">
        <f t="shared" si="7"/>
        <v>USDAM3L28Y_Fwd1w_Quote</v>
      </c>
      <c r="K30" s="179"/>
      <c r="L30" s="182" t="str">
        <f>_xll.ohRangeRetrieveError(K30)</f>
        <v/>
      </c>
      <c r="M30" s="23"/>
    </row>
    <row r="31" spans="1:13" x14ac:dyDescent="0.2">
      <c r="A31" s="96"/>
      <c r="B31" s="181" t="s">
        <v>57</v>
      </c>
      <c r="C31" s="141" t="str">
        <f t="shared" si="0"/>
        <v>AM</v>
      </c>
      <c r="D31" s="141" t="str">
        <f t="shared" si="1"/>
        <v>3L</v>
      </c>
      <c r="E31" s="141" t="str">
        <f t="shared" si="2"/>
        <v>1w</v>
      </c>
      <c r="F31" s="141">
        <f t="shared" si="3"/>
        <v>0</v>
      </c>
      <c r="G31" s="141">
        <f t="shared" si="4"/>
        <v>0</v>
      </c>
      <c r="H31" s="180">
        <f t="shared" si="5"/>
        <v>0</v>
      </c>
      <c r="I31" s="80" t="str">
        <f t="shared" si="6"/>
        <v>UsdLiborSwapForBasisCalc29Y</v>
      </c>
      <c r="J31" s="179" t="str">
        <f t="shared" si="7"/>
        <v>USDAM3L29Y_Fwd1w_Quote</v>
      </c>
      <c r="K31" s="179"/>
      <c r="L31" s="182" t="str">
        <f>_xll.ohRangeRetrieveError(K31)</f>
        <v/>
      </c>
      <c r="M31" s="23"/>
    </row>
    <row r="32" spans="1:13" x14ac:dyDescent="0.2">
      <c r="A32" s="96"/>
      <c r="B32" s="181" t="s">
        <v>56</v>
      </c>
      <c r="C32" s="141" t="str">
        <f t="shared" si="0"/>
        <v>AM</v>
      </c>
      <c r="D32" s="141" t="str">
        <f t="shared" si="1"/>
        <v>3L</v>
      </c>
      <c r="E32" s="141" t="str">
        <f t="shared" si="2"/>
        <v>1w</v>
      </c>
      <c r="F32" s="141">
        <f t="shared" si="3"/>
        <v>0</v>
      </c>
      <c r="G32" s="141">
        <f t="shared" si="4"/>
        <v>0</v>
      </c>
      <c r="H32" s="180">
        <f t="shared" si="5"/>
        <v>0</v>
      </c>
      <c r="I32" s="80" t="str">
        <f t="shared" si="6"/>
        <v>UsdLiborSwapForBasisCalc30Y</v>
      </c>
      <c r="J32" s="179" t="str">
        <f t="shared" si="7"/>
        <v>USDAM3L30Y_Fwd1w_Quote</v>
      </c>
      <c r="K32" s="179"/>
      <c r="L32" s="182" t="str">
        <f>_xll.ohRangeRetrieveError(K32)</f>
        <v/>
      </c>
      <c r="M32" s="23"/>
    </row>
    <row r="33" spans="1:13" x14ac:dyDescent="0.2">
      <c r="A33" s="96"/>
      <c r="B33" s="181" t="s">
        <v>51</v>
      </c>
      <c r="C33" s="141" t="str">
        <f t="shared" si="0"/>
        <v>AM</v>
      </c>
      <c r="D33" s="141" t="str">
        <f t="shared" si="1"/>
        <v>3L</v>
      </c>
      <c r="E33" s="141" t="str">
        <f t="shared" si="2"/>
        <v>1w</v>
      </c>
      <c r="F33" s="141">
        <f t="shared" si="3"/>
        <v>0</v>
      </c>
      <c r="G33" s="141">
        <f t="shared" si="4"/>
        <v>0</v>
      </c>
      <c r="H33" s="180">
        <f t="shared" si="5"/>
        <v>0</v>
      </c>
      <c r="I33" s="80" t="str">
        <f t="shared" si="6"/>
        <v>UsdLiborSwapForBasisCalc35Y</v>
      </c>
      <c r="J33" s="179" t="str">
        <f t="shared" si="7"/>
        <v>USDAM3L35Y_Fwd1w_Quote</v>
      </c>
      <c r="K33" s="179"/>
      <c r="L33" s="182" t="str">
        <f>_xll.ohRangeRetrieveError(K33)</f>
        <v/>
      </c>
      <c r="M33" s="23"/>
    </row>
    <row r="34" spans="1:13" x14ac:dyDescent="0.2">
      <c r="A34" s="96"/>
      <c r="B34" s="181" t="s">
        <v>46</v>
      </c>
      <c r="C34" s="141" t="str">
        <f t="shared" si="0"/>
        <v>AM</v>
      </c>
      <c r="D34" s="141" t="str">
        <f t="shared" si="1"/>
        <v>3L</v>
      </c>
      <c r="E34" s="141" t="str">
        <f t="shared" si="2"/>
        <v>1w</v>
      </c>
      <c r="F34" s="141">
        <f t="shared" si="3"/>
        <v>0</v>
      </c>
      <c r="G34" s="141">
        <f t="shared" si="4"/>
        <v>0</v>
      </c>
      <c r="H34" s="180">
        <f t="shared" si="5"/>
        <v>0</v>
      </c>
      <c r="I34" s="80" t="str">
        <f t="shared" si="6"/>
        <v>UsdLiborSwapForBasisCalc40Y</v>
      </c>
      <c r="J34" s="179" t="str">
        <f t="shared" si="7"/>
        <v>USDAM3L40Y_Fwd1w_Quote</v>
      </c>
      <c r="K34" s="179"/>
      <c r="L34" s="182" t="str">
        <f>_xll.ohRangeRetrieveError(K34)</f>
        <v/>
      </c>
      <c r="M34" s="23"/>
    </row>
    <row r="35" spans="1:13" x14ac:dyDescent="0.2">
      <c r="A35" s="96"/>
      <c r="B35" s="181" t="s">
        <v>36</v>
      </c>
      <c r="C35" s="141" t="str">
        <f t="shared" si="0"/>
        <v>AM</v>
      </c>
      <c r="D35" s="141" t="str">
        <f t="shared" si="1"/>
        <v>3L</v>
      </c>
      <c r="E35" s="141" t="str">
        <f t="shared" si="2"/>
        <v>1w</v>
      </c>
      <c r="F35" s="141">
        <f t="shared" si="3"/>
        <v>0</v>
      </c>
      <c r="G35" s="141">
        <f t="shared" si="4"/>
        <v>0</v>
      </c>
      <c r="H35" s="180">
        <f t="shared" si="5"/>
        <v>0</v>
      </c>
      <c r="I35" s="80" t="str">
        <f t="shared" si="6"/>
        <v>UsdLiborSwapForBasisCalc50Y</v>
      </c>
      <c r="J35" s="179" t="str">
        <f t="shared" si="7"/>
        <v>USDAM3L50Y_Fwd1w_Quote</v>
      </c>
      <c r="K35" s="179"/>
      <c r="L35" s="182" t="str">
        <f>_xll.ohRangeRetrieveError(K35)</f>
        <v/>
      </c>
      <c r="M35" s="23"/>
    </row>
    <row r="36" spans="1:13" x14ac:dyDescent="0.2">
      <c r="A36" s="96"/>
      <c r="B36" s="181" t="s">
        <v>26</v>
      </c>
      <c r="C36" s="141" t="str">
        <f t="shared" si="0"/>
        <v>AM</v>
      </c>
      <c r="D36" s="141" t="str">
        <f t="shared" si="1"/>
        <v>3L</v>
      </c>
      <c r="E36" s="141" t="str">
        <f t="shared" si="2"/>
        <v>1w</v>
      </c>
      <c r="F36" s="141">
        <f t="shared" si="3"/>
        <v>0</v>
      </c>
      <c r="G36" s="141">
        <f t="shared" si="4"/>
        <v>0</v>
      </c>
      <c r="H36" s="180">
        <f t="shared" si="5"/>
        <v>0</v>
      </c>
      <c r="I36" s="80" t="str">
        <f t="shared" si="6"/>
        <v>UsdLiborSwapForBasisCalc60Y</v>
      </c>
      <c r="J36" s="179" t="str">
        <f t="shared" si="7"/>
        <v>USDAM3L60Y_Fwd1w_Quote</v>
      </c>
      <c r="K36" s="179"/>
      <c r="L36" s="48" t="str">
        <f>_xll.ohRangeRetrieveError(K36)</f>
        <v/>
      </c>
      <c r="M36" s="23"/>
    </row>
    <row r="37" spans="1:13" ht="12" thickBot="1" x14ac:dyDescent="0.25">
      <c r="A37" s="22"/>
      <c r="B37" s="21"/>
      <c r="C37" s="21"/>
      <c r="D37" s="21"/>
      <c r="E37" s="21"/>
      <c r="F37" s="21"/>
      <c r="G37" s="21"/>
      <c r="H37" s="21"/>
      <c r="I37" s="21"/>
      <c r="J37" s="21"/>
      <c r="K37" s="90"/>
      <c r="L37" s="90"/>
      <c r="M37" s="20"/>
    </row>
  </sheetData>
  <pageMargins left="0.75" right="0.75" top="1" bottom="1" header="0.5" footer="0.5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T37"/>
  <sheetViews>
    <sheetView workbookViewId="0">
      <selection activeCell="K9" sqref="K9"/>
    </sheetView>
  </sheetViews>
  <sheetFormatPr defaultRowHeight="11.25" x14ac:dyDescent="0.2"/>
  <cols>
    <col min="1" max="1" width="2.7109375" style="13" customWidth="1"/>
    <col min="2" max="2" width="3.85546875" style="13" bestFit="1" customWidth="1"/>
    <col min="3" max="3" width="3.28515625" style="13" bestFit="1" customWidth="1"/>
    <col min="4" max="4" width="2.7109375" style="13" bestFit="1" customWidth="1"/>
    <col min="5" max="5" width="4.7109375" style="13" bestFit="1" customWidth="1"/>
    <col min="6" max="7" width="1.85546875" style="13" bestFit="1" customWidth="1"/>
    <col min="8" max="8" width="7.140625" style="13" bestFit="1" customWidth="1"/>
    <col min="9" max="9" width="22.5703125" style="13" customWidth="1"/>
    <col min="10" max="10" width="24" style="13" bestFit="1" customWidth="1"/>
    <col min="11" max="11" width="32.42578125" style="13" bestFit="1" customWidth="1"/>
    <col min="12" max="12" width="30.5703125" style="13" customWidth="1"/>
    <col min="13" max="14" width="2.7109375" style="13" customWidth="1"/>
    <col min="15" max="15" width="4" style="13" bestFit="1" customWidth="1"/>
    <col min="16" max="16" width="3.140625" style="13" bestFit="1" customWidth="1"/>
    <col min="17" max="17" width="2.7109375" style="13" bestFit="1" customWidth="1"/>
    <col min="18" max="18" width="3.28515625" style="13" bestFit="1" customWidth="1"/>
    <col min="19" max="20" width="2.7109375" style="13" bestFit="1" customWidth="1"/>
    <col min="21" max="16384" width="9.140625" style="13"/>
  </cols>
  <sheetData>
    <row r="1" spans="1:20" ht="12" thickBot="1" x14ac:dyDescent="0.25">
      <c r="A1" s="168" t="s">
        <v>195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88"/>
      <c r="M1" s="147"/>
    </row>
    <row r="2" spans="1:20" ht="22.5" x14ac:dyDescent="0.2">
      <c r="A2" s="96"/>
      <c r="B2" s="66"/>
      <c r="C2" s="66"/>
      <c r="D2" s="66"/>
      <c r="E2" s="66" t="s">
        <v>194</v>
      </c>
      <c r="F2" s="66"/>
      <c r="G2" s="66"/>
      <c r="H2" s="66" t="s">
        <v>193</v>
      </c>
      <c r="I2" s="66" t="s">
        <v>192</v>
      </c>
      <c r="J2" s="185" t="str">
        <f>Currency&amp;"_020_Sw"&amp;$C$3&amp;$D$3&amp;"_"&amp;"Fwd"&amp;$E$3&amp;IF(H3=0,,"_Spr"&amp;$F3&amp;$G3)&amp;".xml"</f>
        <v>USD_020_SwAM6L_Fwd1w.xml</v>
      </c>
      <c r="K2" s="83" t="str">
        <f>IF(Serialize,_xll.ohObjectSave(K3:K36,SerializationPath&amp;J2,FileOverwrite,Serialize),"---")</f>
        <v>---</v>
      </c>
      <c r="L2" s="48" t="str">
        <f>_xll.ohRangeRetrieveError(K2)</f>
        <v/>
      </c>
      <c r="M2" s="23"/>
      <c r="O2" s="159"/>
      <c r="P2" s="158"/>
      <c r="Q2" s="158"/>
      <c r="R2" s="158"/>
      <c r="S2" s="158"/>
      <c r="T2" s="157"/>
    </row>
    <row r="3" spans="1:20" x14ac:dyDescent="0.2">
      <c r="A3" s="96"/>
      <c r="B3" s="52" t="s">
        <v>8</v>
      </c>
      <c r="C3" s="141" t="str">
        <f t="shared" ref="C3:C36" si="0">VLOOKUP(Currency,$O$3:$T$7,2)</f>
        <v>AM</v>
      </c>
      <c r="D3" s="141" t="str">
        <f t="shared" ref="D3:D36" si="1">VLOOKUP(Currency,$O$3:$T$7,3)</f>
        <v>6L</v>
      </c>
      <c r="E3" s="141" t="str">
        <f t="shared" ref="E3:E36" si="2">VLOOKUP(Currency,$O$3:$T$7,4)</f>
        <v>1w</v>
      </c>
      <c r="F3" s="141">
        <f t="shared" ref="F3:F36" si="3">VLOOKUP(Currency,$O$3:$T$7,5)</f>
        <v>0</v>
      </c>
      <c r="G3" s="141">
        <f t="shared" ref="G3:G36" si="4">VLOOKUP(Currency,$O$3:$T$7,6)</f>
        <v>0</v>
      </c>
      <c r="H3" s="180">
        <f t="shared" ref="H3:H36" si="5">IF(F3=0,0,Currency&amp;$F3&amp;$G3&amp;$B3&amp;QuoteSuffix)</f>
        <v>0</v>
      </c>
      <c r="I3" s="183" t="str">
        <f t="shared" ref="I3:I36" si="6">PROPER(Currency)&amp;FamilyName&amp;"Swap"&amp;FixingType&amp;$B3</f>
        <v>UsdLiborSwapForBasisCalc1Y</v>
      </c>
      <c r="J3" s="179" t="str">
        <f t="shared" ref="J3:J36" si="7">Currency&amp;$C3&amp;$D3&amp;$B3&amp;"_"&amp;"Fwd"&amp;E3&amp;IF(H3=0,,"_S"&amp;$F3&amp;$G3)&amp;QuoteSuffix</f>
        <v>USDAM6L1Y_Fwd1w_Quote</v>
      </c>
      <c r="K3" s="179"/>
      <c r="L3" s="189" t="str">
        <f>_xll.ohRangeRetrieveError(K3)</f>
        <v/>
      </c>
      <c r="M3" s="23"/>
      <c r="O3" s="59" t="s">
        <v>105</v>
      </c>
      <c r="P3" s="58" t="s">
        <v>181</v>
      </c>
      <c r="Q3" s="58" t="s">
        <v>99</v>
      </c>
      <c r="R3" s="58" t="s">
        <v>191</v>
      </c>
      <c r="S3" s="58"/>
      <c r="T3" s="57"/>
    </row>
    <row r="4" spans="1:20" x14ac:dyDescent="0.2">
      <c r="A4" s="96"/>
      <c r="B4" s="52" t="s">
        <v>84</v>
      </c>
      <c r="C4" s="141" t="str">
        <f t="shared" si="0"/>
        <v>AM</v>
      </c>
      <c r="D4" s="141" t="str">
        <f t="shared" si="1"/>
        <v>6L</v>
      </c>
      <c r="E4" s="141" t="str">
        <f t="shared" si="2"/>
        <v>1w</v>
      </c>
      <c r="F4" s="141">
        <f t="shared" si="3"/>
        <v>0</v>
      </c>
      <c r="G4" s="141">
        <f t="shared" si="4"/>
        <v>0</v>
      </c>
      <c r="H4" s="180">
        <f t="shared" si="5"/>
        <v>0</v>
      </c>
      <c r="I4" s="80" t="str">
        <f t="shared" si="6"/>
        <v>UsdLiborSwapForBasisCalc2Y</v>
      </c>
      <c r="J4" s="179" t="str">
        <f t="shared" si="7"/>
        <v>USDAM6L2Y_Fwd1w_Quote</v>
      </c>
      <c r="K4" s="179"/>
      <c r="L4" s="189" t="str">
        <f>_xll.ohRangeRetrieveError(K4)</f>
        <v/>
      </c>
      <c r="M4" s="23"/>
      <c r="O4" s="59" t="s">
        <v>104</v>
      </c>
      <c r="P4" s="58" t="s">
        <v>181</v>
      </c>
      <c r="Q4" s="58" t="s">
        <v>102</v>
      </c>
      <c r="R4" s="58" t="s">
        <v>191</v>
      </c>
      <c r="S4" s="58"/>
      <c r="T4" s="57"/>
    </row>
    <row r="5" spans="1:20" x14ac:dyDescent="0.2">
      <c r="A5" s="96"/>
      <c r="B5" s="52" t="s">
        <v>83</v>
      </c>
      <c r="C5" s="141" t="str">
        <f t="shared" si="0"/>
        <v>AM</v>
      </c>
      <c r="D5" s="141" t="str">
        <f t="shared" si="1"/>
        <v>6L</v>
      </c>
      <c r="E5" s="141" t="str">
        <f t="shared" si="2"/>
        <v>1w</v>
      </c>
      <c r="F5" s="141">
        <f t="shared" si="3"/>
        <v>0</v>
      </c>
      <c r="G5" s="141">
        <f t="shared" si="4"/>
        <v>0</v>
      </c>
      <c r="H5" s="180">
        <f t="shared" si="5"/>
        <v>0</v>
      </c>
      <c r="I5" s="80" t="str">
        <f t="shared" si="6"/>
        <v>UsdLiborSwapForBasisCalc3Y</v>
      </c>
      <c r="J5" s="179" t="str">
        <f t="shared" si="7"/>
        <v>USDAM6L3Y_Fwd1w_Quote</v>
      </c>
      <c r="K5" s="179"/>
      <c r="L5" s="189" t="str">
        <f>_xll.ohRangeRetrieveError(K5)</f>
        <v/>
      </c>
      <c r="M5" s="23"/>
      <c r="O5" s="59" t="s">
        <v>101</v>
      </c>
      <c r="P5" s="58" t="s">
        <v>180</v>
      </c>
      <c r="Q5" s="58" t="s">
        <v>99</v>
      </c>
      <c r="R5" s="58" t="s">
        <v>191</v>
      </c>
      <c r="S5" s="58"/>
      <c r="T5" s="57"/>
    </row>
    <row r="6" spans="1:20" x14ac:dyDescent="0.2">
      <c r="A6" s="96"/>
      <c r="B6" s="52" t="s">
        <v>82</v>
      </c>
      <c r="C6" s="141" t="str">
        <f t="shared" si="0"/>
        <v>AM</v>
      </c>
      <c r="D6" s="141" t="str">
        <f t="shared" si="1"/>
        <v>6L</v>
      </c>
      <c r="E6" s="141" t="str">
        <f t="shared" si="2"/>
        <v>1w</v>
      </c>
      <c r="F6" s="141">
        <f t="shared" si="3"/>
        <v>0</v>
      </c>
      <c r="G6" s="141">
        <f t="shared" si="4"/>
        <v>0</v>
      </c>
      <c r="H6" s="180">
        <f t="shared" si="5"/>
        <v>0</v>
      </c>
      <c r="I6" s="80" t="str">
        <f t="shared" si="6"/>
        <v>UsdLiborSwapForBasisCalc4Y</v>
      </c>
      <c r="J6" s="179" t="str">
        <f t="shared" si="7"/>
        <v>USDAM6L4Y_Fwd1w_Quote</v>
      </c>
      <c r="K6" s="179"/>
      <c r="L6" s="189" t="str">
        <f>_xll.ohRangeRetrieveError(K6)</f>
        <v/>
      </c>
      <c r="M6" s="23"/>
      <c r="O6" s="59" t="s">
        <v>100</v>
      </c>
      <c r="P6" s="58" t="s">
        <v>180</v>
      </c>
      <c r="Q6" s="58" t="s">
        <v>99</v>
      </c>
      <c r="R6" s="58" t="s">
        <v>191</v>
      </c>
      <c r="S6" s="58"/>
      <c r="T6" s="57"/>
    </row>
    <row r="7" spans="1:20" ht="12" thickBot="1" x14ac:dyDescent="0.25">
      <c r="A7" s="96"/>
      <c r="B7" s="52" t="s">
        <v>81</v>
      </c>
      <c r="C7" s="141" t="str">
        <f t="shared" si="0"/>
        <v>AM</v>
      </c>
      <c r="D7" s="141" t="str">
        <f t="shared" si="1"/>
        <v>6L</v>
      </c>
      <c r="E7" s="141" t="str">
        <f t="shared" si="2"/>
        <v>1w</v>
      </c>
      <c r="F7" s="141">
        <f t="shared" si="3"/>
        <v>0</v>
      </c>
      <c r="G7" s="141">
        <f t="shared" si="4"/>
        <v>0</v>
      </c>
      <c r="H7" s="180">
        <f t="shared" si="5"/>
        <v>0</v>
      </c>
      <c r="I7" s="80" t="str">
        <f t="shared" si="6"/>
        <v>UsdLiborSwapForBasisCalc5Y</v>
      </c>
      <c r="J7" s="179" t="str">
        <f t="shared" si="7"/>
        <v>USDAM6L5Y_Fwd1w_Quote</v>
      </c>
      <c r="K7" s="179"/>
      <c r="L7" s="189" t="str">
        <f>_xll.ohRangeRetrieveError(K7)</f>
        <v/>
      </c>
      <c r="M7" s="23"/>
      <c r="O7" s="56" t="s">
        <v>95</v>
      </c>
      <c r="P7" s="55" t="s">
        <v>179</v>
      </c>
      <c r="Q7" s="190" t="s">
        <v>99</v>
      </c>
      <c r="R7" s="55" t="s">
        <v>191</v>
      </c>
      <c r="S7" s="55"/>
      <c r="T7" s="54"/>
    </row>
    <row r="8" spans="1:20" x14ac:dyDescent="0.2">
      <c r="A8" s="96"/>
      <c r="B8" s="52" t="s">
        <v>80</v>
      </c>
      <c r="C8" s="141" t="str">
        <f t="shared" si="0"/>
        <v>AM</v>
      </c>
      <c r="D8" s="141" t="str">
        <f t="shared" si="1"/>
        <v>6L</v>
      </c>
      <c r="E8" s="141" t="str">
        <f t="shared" si="2"/>
        <v>1w</v>
      </c>
      <c r="F8" s="141">
        <f t="shared" si="3"/>
        <v>0</v>
      </c>
      <c r="G8" s="141">
        <f t="shared" si="4"/>
        <v>0</v>
      </c>
      <c r="H8" s="180">
        <f t="shared" si="5"/>
        <v>0</v>
      </c>
      <c r="I8" s="80" t="str">
        <f t="shared" si="6"/>
        <v>UsdLiborSwapForBasisCalc6Y</v>
      </c>
      <c r="J8" s="179" t="str">
        <f t="shared" si="7"/>
        <v>USDAM6L6Y_Fwd1w_Quote</v>
      </c>
      <c r="K8" s="179"/>
      <c r="L8" s="189" t="str">
        <f>_xll.ohRangeRetrieveError(K8)</f>
        <v/>
      </c>
      <c r="M8" s="23"/>
    </row>
    <row r="9" spans="1:20" x14ac:dyDescent="0.2">
      <c r="A9" s="96"/>
      <c r="B9" s="52" t="s">
        <v>79</v>
      </c>
      <c r="C9" s="141" t="str">
        <f t="shared" si="0"/>
        <v>AM</v>
      </c>
      <c r="D9" s="141" t="str">
        <f t="shared" si="1"/>
        <v>6L</v>
      </c>
      <c r="E9" s="141" t="str">
        <f t="shared" si="2"/>
        <v>1w</v>
      </c>
      <c r="F9" s="141">
        <f t="shared" si="3"/>
        <v>0</v>
      </c>
      <c r="G9" s="141">
        <f t="shared" si="4"/>
        <v>0</v>
      </c>
      <c r="H9" s="180">
        <f t="shared" si="5"/>
        <v>0</v>
      </c>
      <c r="I9" s="80" t="str">
        <f t="shared" si="6"/>
        <v>UsdLiborSwapForBasisCalc7Y</v>
      </c>
      <c r="J9" s="179" t="str">
        <f t="shared" si="7"/>
        <v>USDAM6L7Y_Fwd1w_Quote</v>
      </c>
      <c r="K9" s="179"/>
      <c r="L9" s="189" t="str">
        <f>_xll.ohRangeRetrieveError(K9)</f>
        <v/>
      </c>
      <c r="M9" s="23"/>
    </row>
    <row r="10" spans="1:20" x14ac:dyDescent="0.2">
      <c r="A10" s="96"/>
      <c r="B10" s="52" t="s">
        <v>78</v>
      </c>
      <c r="C10" s="141" t="str">
        <f t="shared" si="0"/>
        <v>AM</v>
      </c>
      <c r="D10" s="141" t="str">
        <f t="shared" si="1"/>
        <v>6L</v>
      </c>
      <c r="E10" s="141" t="str">
        <f t="shared" si="2"/>
        <v>1w</v>
      </c>
      <c r="F10" s="141">
        <f t="shared" si="3"/>
        <v>0</v>
      </c>
      <c r="G10" s="141">
        <f t="shared" si="4"/>
        <v>0</v>
      </c>
      <c r="H10" s="180">
        <f t="shared" si="5"/>
        <v>0</v>
      </c>
      <c r="I10" s="80" t="str">
        <f t="shared" si="6"/>
        <v>UsdLiborSwapForBasisCalc8Y</v>
      </c>
      <c r="J10" s="179" t="str">
        <f t="shared" si="7"/>
        <v>USDAM6L8Y_Fwd1w_Quote</v>
      </c>
      <c r="K10" s="179"/>
      <c r="L10" s="189" t="str">
        <f>_xll.ohRangeRetrieveError(K10)</f>
        <v/>
      </c>
      <c r="M10" s="23"/>
    </row>
    <row r="11" spans="1:20" x14ac:dyDescent="0.2">
      <c r="A11" s="96"/>
      <c r="B11" s="52" t="s">
        <v>77</v>
      </c>
      <c r="C11" s="141" t="str">
        <f t="shared" si="0"/>
        <v>AM</v>
      </c>
      <c r="D11" s="141" t="str">
        <f t="shared" si="1"/>
        <v>6L</v>
      </c>
      <c r="E11" s="141" t="str">
        <f t="shared" si="2"/>
        <v>1w</v>
      </c>
      <c r="F11" s="141">
        <f t="shared" si="3"/>
        <v>0</v>
      </c>
      <c r="G11" s="141">
        <f t="shared" si="4"/>
        <v>0</v>
      </c>
      <c r="H11" s="180">
        <f t="shared" si="5"/>
        <v>0</v>
      </c>
      <c r="I11" s="80" t="str">
        <f t="shared" si="6"/>
        <v>UsdLiborSwapForBasisCalc9Y</v>
      </c>
      <c r="J11" s="179" t="str">
        <f t="shared" si="7"/>
        <v>USDAM6L9Y_Fwd1w_Quote</v>
      </c>
      <c r="K11" s="179"/>
      <c r="L11" s="189" t="str">
        <f>_xll.ohRangeRetrieveError(K11)</f>
        <v/>
      </c>
      <c r="M11" s="23"/>
    </row>
    <row r="12" spans="1:20" x14ac:dyDescent="0.2">
      <c r="A12" s="96"/>
      <c r="B12" s="52" t="s">
        <v>76</v>
      </c>
      <c r="C12" s="141" t="str">
        <f t="shared" si="0"/>
        <v>AM</v>
      </c>
      <c r="D12" s="141" t="str">
        <f t="shared" si="1"/>
        <v>6L</v>
      </c>
      <c r="E12" s="141" t="str">
        <f t="shared" si="2"/>
        <v>1w</v>
      </c>
      <c r="F12" s="141">
        <f t="shared" si="3"/>
        <v>0</v>
      </c>
      <c r="G12" s="141">
        <f t="shared" si="4"/>
        <v>0</v>
      </c>
      <c r="H12" s="180">
        <f t="shared" si="5"/>
        <v>0</v>
      </c>
      <c r="I12" s="80" t="str">
        <f t="shared" si="6"/>
        <v>UsdLiborSwapForBasisCalc10Y</v>
      </c>
      <c r="J12" s="179" t="str">
        <f t="shared" si="7"/>
        <v>USDAM6L10Y_Fwd1w_Quote</v>
      </c>
      <c r="K12" s="179"/>
      <c r="L12" s="189" t="str">
        <f>_xll.ohRangeRetrieveError(K12)</f>
        <v/>
      </c>
      <c r="M12" s="23"/>
    </row>
    <row r="13" spans="1:20" x14ac:dyDescent="0.2">
      <c r="A13" s="96"/>
      <c r="B13" s="52" t="s">
        <v>75</v>
      </c>
      <c r="C13" s="141" t="str">
        <f t="shared" si="0"/>
        <v>AM</v>
      </c>
      <c r="D13" s="141" t="str">
        <f t="shared" si="1"/>
        <v>6L</v>
      </c>
      <c r="E13" s="141" t="str">
        <f t="shared" si="2"/>
        <v>1w</v>
      </c>
      <c r="F13" s="141">
        <f t="shared" si="3"/>
        <v>0</v>
      </c>
      <c r="G13" s="141">
        <f t="shared" si="4"/>
        <v>0</v>
      </c>
      <c r="H13" s="180">
        <f t="shared" si="5"/>
        <v>0</v>
      </c>
      <c r="I13" s="80" t="str">
        <f t="shared" si="6"/>
        <v>UsdLiborSwapForBasisCalc11Y</v>
      </c>
      <c r="J13" s="179" t="str">
        <f t="shared" si="7"/>
        <v>USDAM6L11Y_Fwd1w_Quote</v>
      </c>
      <c r="K13" s="179"/>
      <c r="L13" s="189" t="str">
        <f>_xll.ohRangeRetrieveError(K13)</f>
        <v/>
      </c>
      <c r="M13" s="23"/>
    </row>
    <row r="14" spans="1:20" x14ac:dyDescent="0.2">
      <c r="A14" s="96"/>
      <c r="B14" s="52" t="s">
        <v>74</v>
      </c>
      <c r="C14" s="141" t="str">
        <f t="shared" si="0"/>
        <v>AM</v>
      </c>
      <c r="D14" s="141" t="str">
        <f t="shared" si="1"/>
        <v>6L</v>
      </c>
      <c r="E14" s="141" t="str">
        <f t="shared" si="2"/>
        <v>1w</v>
      </c>
      <c r="F14" s="141">
        <f t="shared" si="3"/>
        <v>0</v>
      </c>
      <c r="G14" s="141">
        <f t="shared" si="4"/>
        <v>0</v>
      </c>
      <c r="H14" s="180">
        <f t="shared" si="5"/>
        <v>0</v>
      </c>
      <c r="I14" s="80" t="str">
        <f t="shared" si="6"/>
        <v>UsdLiborSwapForBasisCalc12Y</v>
      </c>
      <c r="J14" s="179" t="str">
        <f t="shared" si="7"/>
        <v>USDAM6L12Y_Fwd1w_Quote</v>
      </c>
      <c r="K14" s="179"/>
      <c r="L14" s="189" t="str">
        <f>_xll.ohRangeRetrieveError(K14)</f>
        <v/>
      </c>
      <c r="M14" s="23"/>
    </row>
    <row r="15" spans="1:20" x14ac:dyDescent="0.2">
      <c r="A15" s="96"/>
      <c r="B15" s="52" t="s">
        <v>73</v>
      </c>
      <c r="C15" s="141" t="str">
        <f t="shared" si="0"/>
        <v>AM</v>
      </c>
      <c r="D15" s="141" t="str">
        <f t="shared" si="1"/>
        <v>6L</v>
      </c>
      <c r="E15" s="141" t="str">
        <f t="shared" si="2"/>
        <v>1w</v>
      </c>
      <c r="F15" s="141">
        <f t="shared" si="3"/>
        <v>0</v>
      </c>
      <c r="G15" s="141">
        <f t="shared" si="4"/>
        <v>0</v>
      </c>
      <c r="H15" s="180">
        <f t="shared" si="5"/>
        <v>0</v>
      </c>
      <c r="I15" s="80" t="str">
        <f t="shared" si="6"/>
        <v>UsdLiborSwapForBasisCalc13Y</v>
      </c>
      <c r="J15" s="179" t="str">
        <f t="shared" si="7"/>
        <v>USDAM6L13Y_Fwd1w_Quote</v>
      </c>
      <c r="K15" s="179"/>
      <c r="L15" s="189" t="str">
        <f>_xll.ohRangeRetrieveError(K15)</f>
        <v/>
      </c>
      <c r="M15" s="23"/>
    </row>
    <row r="16" spans="1:20" x14ac:dyDescent="0.2">
      <c r="A16" s="96"/>
      <c r="B16" s="52" t="s">
        <v>72</v>
      </c>
      <c r="C16" s="141" t="str">
        <f t="shared" si="0"/>
        <v>AM</v>
      </c>
      <c r="D16" s="141" t="str">
        <f t="shared" si="1"/>
        <v>6L</v>
      </c>
      <c r="E16" s="141" t="str">
        <f t="shared" si="2"/>
        <v>1w</v>
      </c>
      <c r="F16" s="141">
        <f t="shared" si="3"/>
        <v>0</v>
      </c>
      <c r="G16" s="141">
        <f t="shared" si="4"/>
        <v>0</v>
      </c>
      <c r="H16" s="180">
        <f t="shared" si="5"/>
        <v>0</v>
      </c>
      <c r="I16" s="80" t="str">
        <f t="shared" si="6"/>
        <v>UsdLiborSwapForBasisCalc14Y</v>
      </c>
      <c r="J16" s="179" t="str">
        <f t="shared" si="7"/>
        <v>USDAM6L14Y_Fwd1w_Quote</v>
      </c>
      <c r="K16" s="179"/>
      <c r="L16" s="189" t="str">
        <f>_xll.ohRangeRetrieveError(K16)</f>
        <v/>
      </c>
      <c r="M16" s="23"/>
    </row>
    <row r="17" spans="1:13" x14ac:dyDescent="0.2">
      <c r="A17" s="96"/>
      <c r="B17" s="52" t="s">
        <v>71</v>
      </c>
      <c r="C17" s="141" t="str">
        <f t="shared" si="0"/>
        <v>AM</v>
      </c>
      <c r="D17" s="141" t="str">
        <f t="shared" si="1"/>
        <v>6L</v>
      </c>
      <c r="E17" s="141" t="str">
        <f t="shared" si="2"/>
        <v>1w</v>
      </c>
      <c r="F17" s="141">
        <f t="shared" si="3"/>
        <v>0</v>
      </c>
      <c r="G17" s="141">
        <f t="shared" si="4"/>
        <v>0</v>
      </c>
      <c r="H17" s="180">
        <f t="shared" si="5"/>
        <v>0</v>
      </c>
      <c r="I17" s="80" t="str">
        <f t="shared" si="6"/>
        <v>UsdLiborSwapForBasisCalc15Y</v>
      </c>
      <c r="J17" s="179" t="str">
        <f t="shared" si="7"/>
        <v>USDAM6L15Y_Fwd1w_Quote</v>
      </c>
      <c r="K17" s="179"/>
      <c r="L17" s="189" t="str">
        <f>_xll.ohRangeRetrieveError(K17)</f>
        <v/>
      </c>
      <c r="M17" s="23"/>
    </row>
    <row r="18" spans="1:13" x14ac:dyDescent="0.2">
      <c r="A18" s="96"/>
      <c r="B18" s="52" t="s">
        <v>70</v>
      </c>
      <c r="C18" s="141" t="str">
        <f t="shared" si="0"/>
        <v>AM</v>
      </c>
      <c r="D18" s="141" t="str">
        <f t="shared" si="1"/>
        <v>6L</v>
      </c>
      <c r="E18" s="141" t="str">
        <f t="shared" si="2"/>
        <v>1w</v>
      </c>
      <c r="F18" s="141">
        <f t="shared" si="3"/>
        <v>0</v>
      </c>
      <c r="G18" s="141">
        <f t="shared" si="4"/>
        <v>0</v>
      </c>
      <c r="H18" s="180">
        <f t="shared" si="5"/>
        <v>0</v>
      </c>
      <c r="I18" s="80" t="str">
        <f t="shared" si="6"/>
        <v>UsdLiborSwapForBasisCalc16Y</v>
      </c>
      <c r="J18" s="179" t="str">
        <f t="shared" si="7"/>
        <v>USDAM6L16Y_Fwd1w_Quote</v>
      </c>
      <c r="K18" s="179"/>
      <c r="L18" s="189" t="str">
        <f>_xll.ohRangeRetrieveError(K18)</f>
        <v/>
      </c>
      <c r="M18" s="23"/>
    </row>
    <row r="19" spans="1:13" x14ac:dyDescent="0.2">
      <c r="A19" s="96"/>
      <c r="B19" s="52" t="s">
        <v>69</v>
      </c>
      <c r="C19" s="141" t="str">
        <f t="shared" si="0"/>
        <v>AM</v>
      </c>
      <c r="D19" s="141" t="str">
        <f t="shared" si="1"/>
        <v>6L</v>
      </c>
      <c r="E19" s="141" t="str">
        <f t="shared" si="2"/>
        <v>1w</v>
      </c>
      <c r="F19" s="141">
        <f t="shared" si="3"/>
        <v>0</v>
      </c>
      <c r="G19" s="141">
        <f t="shared" si="4"/>
        <v>0</v>
      </c>
      <c r="H19" s="180">
        <f t="shared" si="5"/>
        <v>0</v>
      </c>
      <c r="I19" s="80" t="str">
        <f t="shared" si="6"/>
        <v>UsdLiborSwapForBasisCalc17Y</v>
      </c>
      <c r="J19" s="179" t="str">
        <f t="shared" si="7"/>
        <v>USDAM6L17Y_Fwd1w_Quote</v>
      </c>
      <c r="K19" s="179"/>
      <c r="L19" s="189" t="str">
        <f>_xll.ohRangeRetrieveError(K19)</f>
        <v/>
      </c>
      <c r="M19" s="23"/>
    </row>
    <row r="20" spans="1:13" x14ac:dyDescent="0.2">
      <c r="A20" s="96"/>
      <c r="B20" s="52" t="s">
        <v>68</v>
      </c>
      <c r="C20" s="141" t="str">
        <f t="shared" si="0"/>
        <v>AM</v>
      </c>
      <c r="D20" s="141" t="str">
        <f t="shared" si="1"/>
        <v>6L</v>
      </c>
      <c r="E20" s="141" t="str">
        <f t="shared" si="2"/>
        <v>1w</v>
      </c>
      <c r="F20" s="141">
        <f t="shared" si="3"/>
        <v>0</v>
      </c>
      <c r="G20" s="141">
        <f t="shared" si="4"/>
        <v>0</v>
      </c>
      <c r="H20" s="180">
        <f t="shared" si="5"/>
        <v>0</v>
      </c>
      <c r="I20" s="80" t="str">
        <f t="shared" si="6"/>
        <v>UsdLiborSwapForBasisCalc18Y</v>
      </c>
      <c r="J20" s="179" t="str">
        <f t="shared" si="7"/>
        <v>USDAM6L18Y_Fwd1w_Quote</v>
      </c>
      <c r="K20" s="179"/>
      <c r="L20" s="189" t="str">
        <f>_xll.ohRangeRetrieveError(K20)</f>
        <v/>
      </c>
      <c r="M20" s="23"/>
    </row>
    <row r="21" spans="1:13" x14ac:dyDescent="0.2">
      <c r="A21" s="96"/>
      <c r="B21" s="52" t="s">
        <v>67</v>
      </c>
      <c r="C21" s="141" t="str">
        <f t="shared" si="0"/>
        <v>AM</v>
      </c>
      <c r="D21" s="141" t="str">
        <f t="shared" si="1"/>
        <v>6L</v>
      </c>
      <c r="E21" s="141" t="str">
        <f t="shared" si="2"/>
        <v>1w</v>
      </c>
      <c r="F21" s="141">
        <f t="shared" si="3"/>
        <v>0</v>
      </c>
      <c r="G21" s="141">
        <f t="shared" si="4"/>
        <v>0</v>
      </c>
      <c r="H21" s="180">
        <f t="shared" si="5"/>
        <v>0</v>
      </c>
      <c r="I21" s="80" t="str">
        <f t="shared" si="6"/>
        <v>UsdLiborSwapForBasisCalc19Y</v>
      </c>
      <c r="J21" s="179" t="str">
        <f t="shared" si="7"/>
        <v>USDAM6L19Y_Fwd1w_Quote</v>
      </c>
      <c r="K21" s="179"/>
      <c r="L21" s="189" t="str">
        <f>_xll.ohRangeRetrieveError(K21)</f>
        <v/>
      </c>
      <c r="M21" s="23"/>
    </row>
    <row r="22" spans="1:13" x14ac:dyDescent="0.2">
      <c r="A22" s="96"/>
      <c r="B22" s="52" t="s">
        <v>66</v>
      </c>
      <c r="C22" s="141" t="str">
        <f t="shared" si="0"/>
        <v>AM</v>
      </c>
      <c r="D22" s="141" t="str">
        <f t="shared" si="1"/>
        <v>6L</v>
      </c>
      <c r="E22" s="141" t="str">
        <f t="shared" si="2"/>
        <v>1w</v>
      </c>
      <c r="F22" s="141">
        <f t="shared" si="3"/>
        <v>0</v>
      </c>
      <c r="G22" s="141">
        <f t="shared" si="4"/>
        <v>0</v>
      </c>
      <c r="H22" s="180">
        <f t="shared" si="5"/>
        <v>0</v>
      </c>
      <c r="I22" s="80" t="str">
        <f t="shared" si="6"/>
        <v>UsdLiborSwapForBasisCalc20Y</v>
      </c>
      <c r="J22" s="179" t="str">
        <f t="shared" si="7"/>
        <v>USDAM6L20Y_Fwd1w_Quote</v>
      </c>
      <c r="K22" s="179"/>
      <c r="L22" s="189" t="str">
        <f>_xll.ohRangeRetrieveError(K22)</f>
        <v/>
      </c>
      <c r="M22" s="23"/>
    </row>
    <row r="23" spans="1:13" x14ac:dyDescent="0.2">
      <c r="A23" s="96"/>
      <c r="B23" s="52" t="s">
        <v>65</v>
      </c>
      <c r="C23" s="141" t="str">
        <f t="shared" si="0"/>
        <v>AM</v>
      </c>
      <c r="D23" s="141" t="str">
        <f t="shared" si="1"/>
        <v>6L</v>
      </c>
      <c r="E23" s="141" t="str">
        <f t="shared" si="2"/>
        <v>1w</v>
      </c>
      <c r="F23" s="141">
        <f t="shared" si="3"/>
        <v>0</v>
      </c>
      <c r="G23" s="141">
        <f t="shared" si="4"/>
        <v>0</v>
      </c>
      <c r="H23" s="180">
        <f t="shared" si="5"/>
        <v>0</v>
      </c>
      <c r="I23" s="80" t="str">
        <f t="shared" si="6"/>
        <v>UsdLiborSwapForBasisCalc21Y</v>
      </c>
      <c r="J23" s="179" t="str">
        <f t="shared" si="7"/>
        <v>USDAM6L21Y_Fwd1w_Quote</v>
      </c>
      <c r="K23" s="179"/>
      <c r="L23" s="189" t="str">
        <f>_xll.ohRangeRetrieveError(K23)</f>
        <v/>
      </c>
      <c r="M23" s="23"/>
    </row>
    <row r="24" spans="1:13" x14ac:dyDescent="0.2">
      <c r="A24" s="96"/>
      <c r="B24" s="52" t="s">
        <v>64</v>
      </c>
      <c r="C24" s="141" t="str">
        <f t="shared" si="0"/>
        <v>AM</v>
      </c>
      <c r="D24" s="141" t="str">
        <f t="shared" si="1"/>
        <v>6L</v>
      </c>
      <c r="E24" s="141" t="str">
        <f t="shared" si="2"/>
        <v>1w</v>
      </c>
      <c r="F24" s="141">
        <f t="shared" si="3"/>
        <v>0</v>
      </c>
      <c r="G24" s="141">
        <f t="shared" si="4"/>
        <v>0</v>
      </c>
      <c r="H24" s="180">
        <f t="shared" si="5"/>
        <v>0</v>
      </c>
      <c r="I24" s="80" t="str">
        <f t="shared" si="6"/>
        <v>UsdLiborSwapForBasisCalc22Y</v>
      </c>
      <c r="J24" s="179" t="str">
        <f t="shared" si="7"/>
        <v>USDAM6L22Y_Fwd1w_Quote</v>
      </c>
      <c r="K24" s="179"/>
      <c r="L24" s="189" t="str">
        <f>_xll.ohRangeRetrieveError(K24)</f>
        <v/>
      </c>
      <c r="M24" s="23"/>
    </row>
    <row r="25" spans="1:13" x14ac:dyDescent="0.2">
      <c r="A25" s="96"/>
      <c r="B25" s="52" t="s">
        <v>63</v>
      </c>
      <c r="C25" s="141" t="str">
        <f t="shared" si="0"/>
        <v>AM</v>
      </c>
      <c r="D25" s="141" t="str">
        <f t="shared" si="1"/>
        <v>6L</v>
      </c>
      <c r="E25" s="141" t="str">
        <f t="shared" si="2"/>
        <v>1w</v>
      </c>
      <c r="F25" s="141">
        <f t="shared" si="3"/>
        <v>0</v>
      </c>
      <c r="G25" s="141">
        <f t="shared" si="4"/>
        <v>0</v>
      </c>
      <c r="H25" s="180">
        <f t="shared" si="5"/>
        <v>0</v>
      </c>
      <c r="I25" s="80" t="str">
        <f t="shared" si="6"/>
        <v>UsdLiborSwapForBasisCalc23Y</v>
      </c>
      <c r="J25" s="179" t="str">
        <f t="shared" si="7"/>
        <v>USDAM6L23Y_Fwd1w_Quote</v>
      </c>
      <c r="K25" s="179"/>
      <c r="L25" s="189" t="str">
        <f>_xll.ohRangeRetrieveError(K25)</f>
        <v/>
      </c>
      <c r="M25" s="23"/>
    </row>
    <row r="26" spans="1:13" x14ac:dyDescent="0.2">
      <c r="A26" s="96"/>
      <c r="B26" s="52" t="s">
        <v>62</v>
      </c>
      <c r="C26" s="141" t="str">
        <f t="shared" si="0"/>
        <v>AM</v>
      </c>
      <c r="D26" s="141" t="str">
        <f t="shared" si="1"/>
        <v>6L</v>
      </c>
      <c r="E26" s="141" t="str">
        <f t="shared" si="2"/>
        <v>1w</v>
      </c>
      <c r="F26" s="141">
        <f t="shared" si="3"/>
        <v>0</v>
      </c>
      <c r="G26" s="141">
        <f t="shared" si="4"/>
        <v>0</v>
      </c>
      <c r="H26" s="180">
        <f t="shared" si="5"/>
        <v>0</v>
      </c>
      <c r="I26" s="80" t="str">
        <f t="shared" si="6"/>
        <v>UsdLiborSwapForBasisCalc24Y</v>
      </c>
      <c r="J26" s="179" t="str">
        <f t="shared" si="7"/>
        <v>USDAM6L24Y_Fwd1w_Quote</v>
      </c>
      <c r="K26" s="179"/>
      <c r="L26" s="189" t="str">
        <f>_xll.ohRangeRetrieveError(K26)</f>
        <v/>
      </c>
      <c r="M26" s="23"/>
    </row>
    <row r="27" spans="1:13" x14ac:dyDescent="0.2">
      <c r="A27" s="96"/>
      <c r="B27" s="52" t="s">
        <v>61</v>
      </c>
      <c r="C27" s="141" t="str">
        <f t="shared" si="0"/>
        <v>AM</v>
      </c>
      <c r="D27" s="141" t="str">
        <f t="shared" si="1"/>
        <v>6L</v>
      </c>
      <c r="E27" s="141" t="str">
        <f t="shared" si="2"/>
        <v>1w</v>
      </c>
      <c r="F27" s="141">
        <f t="shared" si="3"/>
        <v>0</v>
      </c>
      <c r="G27" s="141">
        <f t="shared" si="4"/>
        <v>0</v>
      </c>
      <c r="H27" s="180">
        <f t="shared" si="5"/>
        <v>0</v>
      </c>
      <c r="I27" s="80" t="str">
        <f t="shared" si="6"/>
        <v>UsdLiborSwapForBasisCalc25Y</v>
      </c>
      <c r="J27" s="179" t="str">
        <f t="shared" si="7"/>
        <v>USDAM6L25Y_Fwd1w_Quote</v>
      </c>
      <c r="K27" s="179"/>
      <c r="L27" s="189" t="str">
        <f>_xll.ohRangeRetrieveError(K27)</f>
        <v/>
      </c>
      <c r="M27" s="23"/>
    </row>
    <row r="28" spans="1:13" x14ac:dyDescent="0.2">
      <c r="A28" s="96"/>
      <c r="B28" s="52" t="s">
        <v>60</v>
      </c>
      <c r="C28" s="141" t="str">
        <f t="shared" si="0"/>
        <v>AM</v>
      </c>
      <c r="D28" s="141" t="str">
        <f t="shared" si="1"/>
        <v>6L</v>
      </c>
      <c r="E28" s="141" t="str">
        <f t="shared" si="2"/>
        <v>1w</v>
      </c>
      <c r="F28" s="141">
        <f t="shared" si="3"/>
        <v>0</v>
      </c>
      <c r="G28" s="141">
        <f t="shared" si="4"/>
        <v>0</v>
      </c>
      <c r="H28" s="180">
        <f t="shared" si="5"/>
        <v>0</v>
      </c>
      <c r="I28" s="80" t="str">
        <f t="shared" si="6"/>
        <v>UsdLiborSwapForBasisCalc26Y</v>
      </c>
      <c r="J28" s="179" t="str">
        <f t="shared" si="7"/>
        <v>USDAM6L26Y_Fwd1w_Quote</v>
      </c>
      <c r="K28" s="179"/>
      <c r="L28" s="189" t="str">
        <f>_xll.ohRangeRetrieveError(K28)</f>
        <v/>
      </c>
      <c r="M28" s="23"/>
    </row>
    <row r="29" spans="1:13" x14ac:dyDescent="0.2">
      <c r="A29" s="96"/>
      <c r="B29" s="52" t="s">
        <v>59</v>
      </c>
      <c r="C29" s="141" t="str">
        <f t="shared" si="0"/>
        <v>AM</v>
      </c>
      <c r="D29" s="141" t="str">
        <f t="shared" si="1"/>
        <v>6L</v>
      </c>
      <c r="E29" s="141" t="str">
        <f t="shared" si="2"/>
        <v>1w</v>
      </c>
      <c r="F29" s="141">
        <f t="shared" si="3"/>
        <v>0</v>
      </c>
      <c r="G29" s="141">
        <f t="shared" si="4"/>
        <v>0</v>
      </c>
      <c r="H29" s="180">
        <f t="shared" si="5"/>
        <v>0</v>
      </c>
      <c r="I29" s="80" t="str">
        <f t="shared" si="6"/>
        <v>UsdLiborSwapForBasisCalc27Y</v>
      </c>
      <c r="J29" s="179" t="str">
        <f t="shared" si="7"/>
        <v>USDAM6L27Y_Fwd1w_Quote</v>
      </c>
      <c r="K29" s="179"/>
      <c r="L29" s="189" t="str">
        <f>_xll.ohRangeRetrieveError(K29)</f>
        <v/>
      </c>
      <c r="M29" s="23"/>
    </row>
    <row r="30" spans="1:13" x14ac:dyDescent="0.2">
      <c r="A30" s="96"/>
      <c r="B30" s="52" t="s">
        <v>58</v>
      </c>
      <c r="C30" s="141" t="str">
        <f t="shared" si="0"/>
        <v>AM</v>
      </c>
      <c r="D30" s="141" t="str">
        <f t="shared" si="1"/>
        <v>6L</v>
      </c>
      <c r="E30" s="141" t="str">
        <f t="shared" si="2"/>
        <v>1w</v>
      </c>
      <c r="F30" s="141">
        <f t="shared" si="3"/>
        <v>0</v>
      </c>
      <c r="G30" s="141">
        <f t="shared" si="4"/>
        <v>0</v>
      </c>
      <c r="H30" s="180">
        <f t="shared" si="5"/>
        <v>0</v>
      </c>
      <c r="I30" s="80" t="str">
        <f t="shared" si="6"/>
        <v>UsdLiborSwapForBasisCalc28Y</v>
      </c>
      <c r="J30" s="179" t="str">
        <f t="shared" si="7"/>
        <v>USDAM6L28Y_Fwd1w_Quote</v>
      </c>
      <c r="K30" s="179"/>
      <c r="L30" s="189" t="str">
        <f>_xll.ohRangeRetrieveError(K30)</f>
        <v/>
      </c>
      <c r="M30" s="23"/>
    </row>
    <row r="31" spans="1:13" x14ac:dyDescent="0.2">
      <c r="A31" s="96"/>
      <c r="B31" s="52" t="s">
        <v>57</v>
      </c>
      <c r="C31" s="141" t="str">
        <f t="shared" si="0"/>
        <v>AM</v>
      </c>
      <c r="D31" s="141" t="str">
        <f t="shared" si="1"/>
        <v>6L</v>
      </c>
      <c r="E31" s="141" t="str">
        <f t="shared" si="2"/>
        <v>1w</v>
      </c>
      <c r="F31" s="141">
        <f t="shared" si="3"/>
        <v>0</v>
      </c>
      <c r="G31" s="141">
        <f t="shared" si="4"/>
        <v>0</v>
      </c>
      <c r="H31" s="180">
        <f t="shared" si="5"/>
        <v>0</v>
      </c>
      <c r="I31" s="80" t="str">
        <f t="shared" si="6"/>
        <v>UsdLiborSwapForBasisCalc29Y</v>
      </c>
      <c r="J31" s="179" t="str">
        <f t="shared" si="7"/>
        <v>USDAM6L29Y_Fwd1w_Quote</v>
      </c>
      <c r="K31" s="179"/>
      <c r="L31" s="189" t="str">
        <f>_xll.ohRangeRetrieveError(K31)</f>
        <v/>
      </c>
      <c r="M31" s="23"/>
    </row>
    <row r="32" spans="1:13" x14ac:dyDescent="0.2">
      <c r="A32" s="96"/>
      <c r="B32" s="52" t="s">
        <v>56</v>
      </c>
      <c r="C32" s="141" t="str">
        <f t="shared" si="0"/>
        <v>AM</v>
      </c>
      <c r="D32" s="141" t="str">
        <f t="shared" si="1"/>
        <v>6L</v>
      </c>
      <c r="E32" s="141" t="str">
        <f t="shared" si="2"/>
        <v>1w</v>
      </c>
      <c r="F32" s="141">
        <f t="shared" si="3"/>
        <v>0</v>
      </c>
      <c r="G32" s="141">
        <f t="shared" si="4"/>
        <v>0</v>
      </c>
      <c r="H32" s="180">
        <f t="shared" si="5"/>
        <v>0</v>
      </c>
      <c r="I32" s="80" t="str">
        <f t="shared" si="6"/>
        <v>UsdLiborSwapForBasisCalc30Y</v>
      </c>
      <c r="J32" s="179" t="str">
        <f t="shared" si="7"/>
        <v>USDAM6L30Y_Fwd1w_Quote</v>
      </c>
      <c r="K32" s="179"/>
      <c r="L32" s="189" t="str">
        <f>_xll.ohRangeRetrieveError(K32)</f>
        <v/>
      </c>
      <c r="M32" s="23"/>
    </row>
    <row r="33" spans="1:13" x14ac:dyDescent="0.2">
      <c r="A33" s="96"/>
      <c r="B33" s="52" t="s">
        <v>51</v>
      </c>
      <c r="C33" s="141" t="str">
        <f t="shared" si="0"/>
        <v>AM</v>
      </c>
      <c r="D33" s="141" t="str">
        <f t="shared" si="1"/>
        <v>6L</v>
      </c>
      <c r="E33" s="141" t="str">
        <f t="shared" si="2"/>
        <v>1w</v>
      </c>
      <c r="F33" s="141">
        <f t="shared" si="3"/>
        <v>0</v>
      </c>
      <c r="G33" s="141">
        <f t="shared" si="4"/>
        <v>0</v>
      </c>
      <c r="H33" s="180">
        <f t="shared" si="5"/>
        <v>0</v>
      </c>
      <c r="I33" s="80" t="str">
        <f t="shared" si="6"/>
        <v>UsdLiborSwapForBasisCalc35Y</v>
      </c>
      <c r="J33" s="179" t="str">
        <f t="shared" si="7"/>
        <v>USDAM6L35Y_Fwd1w_Quote</v>
      </c>
      <c r="K33" s="179"/>
      <c r="L33" s="189" t="str">
        <f>_xll.ohRangeRetrieveError(K33)</f>
        <v/>
      </c>
      <c r="M33" s="23"/>
    </row>
    <row r="34" spans="1:13" x14ac:dyDescent="0.2">
      <c r="A34" s="96"/>
      <c r="B34" s="52" t="s">
        <v>46</v>
      </c>
      <c r="C34" s="141" t="str">
        <f t="shared" si="0"/>
        <v>AM</v>
      </c>
      <c r="D34" s="141" t="str">
        <f t="shared" si="1"/>
        <v>6L</v>
      </c>
      <c r="E34" s="141" t="str">
        <f t="shared" si="2"/>
        <v>1w</v>
      </c>
      <c r="F34" s="141">
        <f t="shared" si="3"/>
        <v>0</v>
      </c>
      <c r="G34" s="141">
        <f t="shared" si="4"/>
        <v>0</v>
      </c>
      <c r="H34" s="180">
        <f t="shared" si="5"/>
        <v>0</v>
      </c>
      <c r="I34" s="80" t="str">
        <f t="shared" si="6"/>
        <v>UsdLiborSwapForBasisCalc40Y</v>
      </c>
      <c r="J34" s="179" t="str">
        <f t="shared" si="7"/>
        <v>USDAM6L40Y_Fwd1w_Quote</v>
      </c>
      <c r="K34" s="179"/>
      <c r="L34" s="189" t="str">
        <f>_xll.ohRangeRetrieveError(K34)</f>
        <v/>
      </c>
      <c r="M34" s="23"/>
    </row>
    <row r="35" spans="1:13" x14ac:dyDescent="0.2">
      <c r="A35" s="96"/>
      <c r="B35" s="52" t="s">
        <v>36</v>
      </c>
      <c r="C35" s="141" t="str">
        <f t="shared" si="0"/>
        <v>AM</v>
      </c>
      <c r="D35" s="141" t="str">
        <f t="shared" si="1"/>
        <v>6L</v>
      </c>
      <c r="E35" s="141" t="str">
        <f t="shared" si="2"/>
        <v>1w</v>
      </c>
      <c r="F35" s="141">
        <f t="shared" si="3"/>
        <v>0</v>
      </c>
      <c r="G35" s="141">
        <f t="shared" si="4"/>
        <v>0</v>
      </c>
      <c r="H35" s="180">
        <f t="shared" si="5"/>
        <v>0</v>
      </c>
      <c r="I35" s="80" t="str">
        <f t="shared" si="6"/>
        <v>UsdLiborSwapForBasisCalc50Y</v>
      </c>
      <c r="J35" s="179" t="str">
        <f t="shared" si="7"/>
        <v>USDAM6L50Y_Fwd1w_Quote</v>
      </c>
      <c r="K35" s="179"/>
      <c r="L35" s="189" t="str">
        <f>_xll.ohRangeRetrieveError(K35)</f>
        <v/>
      </c>
      <c r="M35" s="23"/>
    </row>
    <row r="36" spans="1:13" x14ac:dyDescent="0.2">
      <c r="A36" s="96"/>
      <c r="B36" s="52" t="s">
        <v>26</v>
      </c>
      <c r="C36" s="141" t="str">
        <f t="shared" si="0"/>
        <v>AM</v>
      </c>
      <c r="D36" s="141" t="str">
        <f t="shared" si="1"/>
        <v>6L</v>
      </c>
      <c r="E36" s="141" t="str">
        <f t="shared" si="2"/>
        <v>1w</v>
      </c>
      <c r="F36" s="141">
        <f t="shared" si="3"/>
        <v>0</v>
      </c>
      <c r="G36" s="141">
        <f t="shared" si="4"/>
        <v>0</v>
      </c>
      <c r="H36" s="180">
        <f t="shared" si="5"/>
        <v>0</v>
      </c>
      <c r="I36" s="80" t="str">
        <f t="shared" si="6"/>
        <v>UsdLiborSwapForBasisCalc60Y</v>
      </c>
      <c r="J36" s="179" t="str">
        <f t="shared" si="7"/>
        <v>USDAM6L60Y_Fwd1w_Quote</v>
      </c>
      <c r="K36" s="179"/>
      <c r="L36" s="189" t="str">
        <f>_xll.ohRangeRetrieveError(K36)</f>
        <v/>
      </c>
      <c r="M36" s="23"/>
    </row>
    <row r="37" spans="1:13" ht="12" thickBot="1" x14ac:dyDescent="0.25">
      <c r="A37" s="22"/>
      <c r="B37" s="21"/>
      <c r="C37" s="21"/>
      <c r="D37" s="21"/>
      <c r="E37" s="21"/>
      <c r="F37" s="21"/>
      <c r="G37" s="21"/>
      <c r="H37" s="21"/>
      <c r="I37" s="21"/>
      <c r="J37" s="21"/>
      <c r="K37" s="90"/>
      <c r="L37" s="90"/>
      <c r="M37" s="20"/>
    </row>
  </sheetData>
  <pageMargins left="0.75" right="0.75" top="1" bottom="1" header="0.5" footer="0.5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R11"/>
  <sheetViews>
    <sheetView workbookViewId="0"/>
  </sheetViews>
  <sheetFormatPr defaultRowHeight="12.75" x14ac:dyDescent="0.2"/>
  <cols>
    <col min="1" max="1" width="2.7109375" style="12" customWidth="1"/>
    <col min="2" max="2" width="3.7109375" style="12" bestFit="1" customWidth="1"/>
    <col min="3" max="3" width="1.85546875" style="12" bestFit="1" customWidth="1"/>
    <col min="4" max="4" width="2.85546875" style="12" bestFit="1" customWidth="1"/>
    <col min="5" max="5" width="9.42578125" style="12" bestFit="1" customWidth="1"/>
    <col min="6" max="6" width="13.7109375" style="12" bestFit="1" customWidth="1"/>
    <col min="7" max="9" width="5.7109375" style="12" bestFit="1" customWidth="1"/>
    <col min="10" max="10" width="10" style="12" bestFit="1" customWidth="1"/>
    <col min="11" max="11" width="9" style="12" customWidth="1"/>
    <col min="12" max="12" width="2.7109375" style="12" customWidth="1"/>
    <col min="13" max="13" width="5.7109375" style="12" bestFit="1" customWidth="1"/>
    <col min="14" max="14" width="2.7109375" style="12" customWidth="1"/>
    <col min="15" max="15" width="14.5703125" style="12" bestFit="1" customWidth="1"/>
    <col min="16" max="16" width="7.7109375" style="12" bestFit="1" customWidth="1"/>
    <col min="17" max="17" width="7" style="12" bestFit="1" customWidth="1"/>
    <col min="18" max="18" width="2.7109375" style="12" customWidth="1"/>
    <col min="19" max="19" width="5.140625" style="12" customWidth="1"/>
    <col min="20" max="16384" width="9.140625" style="12"/>
  </cols>
  <sheetData>
    <row r="1" spans="1:18" x14ac:dyDescent="0.2">
      <c r="A1" s="265" t="s">
        <v>280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47"/>
    </row>
    <row r="2" spans="1:18" x14ac:dyDescent="0.2">
      <c r="A2" s="234"/>
      <c r="B2" s="111"/>
      <c r="C2" s="111"/>
      <c r="D2" s="111"/>
      <c r="E2" s="111"/>
      <c r="F2" s="118" t="s">
        <v>214</v>
      </c>
      <c r="G2" s="111"/>
      <c r="H2" s="111"/>
      <c r="I2" s="111"/>
      <c r="J2" s="111"/>
      <c r="K2" s="111"/>
      <c r="L2" s="201"/>
      <c r="M2" s="201"/>
      <c r="N2" s="201"/>
      <c r="O2" s="264" t="s">
        <v>232</v>
      </c>
      <c r="P2" s="118" t="s">
        <v>115</v>
      </c>
      <c r="Q2" s="111"/>
      <c r="R2" s="23"/>
    </row>
    <row r="3" spans="1:18" x14ac:dyDescent="0.2">
      <c r="A3" s="96"/>
      <c r="B3" s="201"/>
      <c r="C3" s="111"/>
      <c r="D3" s="111"/>
      <c r="E3" s="111"/>
      <c r="F3" s="111"/>
      <c r="G3" s="111"/>
      <c r="H3" s="111"/>
      <c r="I3" s="111"/>
      <c r="J3" s="111"/>
      <c r="K3" s="111"/>
      <c r="L3" s="201"/>
      <c r="M3" s="201"/>
      <c r="N3" s="201"/>
      <c r="O3" s="111"/>
      <c r="P3" s="111"/>
      <c r="Q3" s="231">
        <f>_xll.ohTrigger(Q5:Q10)</f>
        <v>0</v>
      </c>
      <c r="R3" s="169"/>
    </row>
    <row r="4" spans="1:18" ht="22.5" x14ac:dyDescent="0.2">
      <c r="A4" s="96"/>
      <c r="B4" s="263"/>
      <c r="C4" s="145"/>
      <c r="D4" s="145"/>
      <c r="E4" s="145"/>
      <c r="F4" s="196" t="str">
        <f>_xll.RData(F5:F10,G4:J4,"RTFEED:IDN",ReutersRtMode,,G5)</f>
        <v>Updated at 16:43:51</v>
      </c>
      <c r="G4" s="262" t="s">
        <v>201</v>
      </c>
      <c r="H4" s="262" t="s">
        <v>200</v>
      </c>
      <c r="I4" s="262" t="s">
        <v>218</v>
      </c>
      <c r="J4" s="262" t="s">
        <v>236</v>
      </c>
      <c r="K4" s="227" t="s">
        <v>257</v>
      </c>
      <c r="L4" s="201"/>
      <c r="M4" s="229" t="s">
        <v>231</v>
      </c>
      <c r="N4" s="201"/>
      <c r="O4" s="228" t="s">
        <v>230</v>
      </c>
      <c r="P4" s="261" t="s">
        <v>229</v>
      </c>
      <c r="Q4" s="67" t="s">
        <v>228</v>
      </c>
      <c r="R4" s="169"/>
    </row>
    <row r="5" spans="1:18" x14ac:dyDescent="0.2">
      <c r="A5" s="96"/>
      <c r="B5" s="223" t="s">
        <v>176</v>
      </c>
      <c r="C5" s="259" t="s">
        <v>261</v>
      </c>
      <c r="D5" s="259" t="s">
        <v>267</v>
      </c>
      <c r="E5" s="257" t="str">
        <f t="shared" ref="E5:E10" si="0">Currency&amp;$C5&amp;$D5&amp;$B5</f>
        <v>USDE1X2S</v>
      </c>
      <c r="F5" s="257" t="str">
        <f t="array" ref="F5:F10">Instruments&amp;"="&amp;VLOOKUP(Contributor,ContributorTable,2,FALSE)</f>
        <v>USDE1X2S=ICAP</v>
      </c>
      <c r="G5" s="219" t="s">
        <v>213</v>
      </c>
      <c r="H5" s="219" t="s">
        <v>213</v>
      </c>
      <c r="I5" s="219" t="s">
        <v>213</v>
      </c>
      <c r="J5" s="219" t="s">
        <v>213</v>
      </c>
      <c r="K5" s="221" t="e">
        <f>_xll.qlMidEquivalent($G5,$H5,$I5,$J5)</f>
        <v>#NUM!</v>
      </c>
      <c r="L5" s="201"/>
      <c r="M5" s="220" t="e">
        <v>#NUM!</v>
      </c>
      <c r="N5" s="201"/>
      <c r="O5" s="255" t="str">
        <f t="shared" ref="O5:O10" si="1">$E5&amp;$P$2</f>
        <v>USDE1X2S_Quote</v>
      </c>
      <c r="P5" s="219" t="e">
        <f t="array" ref="P5:P10">QuoteLive</f>
        <v>#NUM!</v>
      </c>
      <c r="Q5" s="218"/>
      <c r="R5" s="169"/>
    </row>
    <row r="6" spans="1:18" x14ac:dyDescent="0.2">
      <c r="A6" s="96"/>
      <c r="B6" s="205" t="s">
        <v>177</v>
      </c>
      <c r="C6" s="254" t="s">
        <v>261</v>
      </c>
      <c r="D6" s="254" t="s">
        <v>267</v>
      </c>
      <c r="E6" s="252" t="str">
        <f t="shared" si="0"/>
        <v>USDE1X4S</v>
      </c>
      <c r="F6" s="252" t="str">
        <v>USDE1X4S=ICAP</v>
      </c>
      <c r="G6" s="199" t="s">
        <v>213</v>
      </c>
      <c r="H6" s="199" t="s">
        <v>213</v>
      </c>
      <c r="I6" s="199" t="s">
        <v>213</v>
      </c>
      <c r="J6" s="199" t="s">
        <v>213</v>
      </c>
      <c r="K6" s="203" t="e">
        <f>_xll.qlMidEquivalent($G6,$H6,$I6,$J6)</f>
        <v>#NUM!</v>
      </c>
      <c r="L6" s="201"/>
      <c r="M6" s="202" t="e">
        <v>#NUM!</v>
      </c>
      <c r="N6" s="201"/>
      <c r="O6" s="250" t="str">
        <f t="shared" si="1"/>
        <v>USDE1X4S_Quote</v>
      </c>
      <c r="P6" s="199" t="e">
        <v>#NUM!</v>
      </c>
      <c r="Q6" s="198"/>
      <c r="R6" s="169"/>
    </row>
    <row r="7" spans="1:18" x14ac:dyDescent="0.2">
      <c r="A7" s="96"/>
      <c r="B7" s="205" t="s">
        <v>178</v>
      </c>
      <c r="C7" s="254" t="s">
        <v>261</v>
      </c>
      <c r="D7" s="254" t="s">
        <v>265</v>
      </c>
      <c r="E7" s="252" t="str">
        <f t="shared" si="0"/>
        <v>USDE2X3S</v>
      </c>
      <c r="F7" s="252" t="str">
        <v>USDE2X3S=ICAP</v>
      </c>
      <c r="G7" s="199" t="s">
        <v>213</v>
      </c>
      <c r="H7" s="199" t="s">
        <v>213</v>
      </c>
      <c r="I7" s="199" t="s">
        <v>213</v>
      </c>
      <c r="J7" s="199" t="s">
        <v>213</v>
      </c>
      <c r="K7" s="203" t="e">
        <f>_xll.qlMidEquivalent($G7,$H7,$I7,$J7)</f>
        <v>#NUM!</v>
      </c>
      <c r="L7" s="201"/>
      <c r="M7" s="202" t="e">
        <v>#NUM!</v>
      </c>
      <c r="N7" s="201"/>
      <c r="O7" s="250" t="str">
        <f t="shared" si="1"/>
        <v>USDE2X3S_Quote</v>
      </c>
      <c r="P7" s="199" t="e">
        <v>#NUM!</v>
      </c>
      <c r="Q7" s="198"/>
      <c r="R7" s="169"/>
    </row>
    <row r="8" spans="1:18" x14ac:dyDescent="0.2">
      <c r="A8" s="96"/>
      <c r="B8" s="205" t="s">
        <v>266</v>
      </c>
      <c r="C8" s="254" t="s">
        <v>261</v>
      </c>
      <c r="D8" s="254" t="s">
        <v>265</v>
      </c>
      <c r="E8" s="252" t="str">
        <f t="shared" si="0"/>
        <v>USDE2X5S</v>
      </c>
      <c r="F8" s="252" t="str">
        <v>USDE2X5S=ICAP</v>
      </c>
      <c r="G8" s="199" t="s">
        <v>213</v>
      </c>
      <c r="H8" s="199" t="s">
        <v>213</v>
      </c>
      <c r="I8" s="199" t="s">
        <v>213</v>
      </c>
      <c r="J8" s="199" t="s">
        <v>213</v>
      </c>
      <c r="K8" s="203" t="e">
        <f>_xll.qlMidEquivalent($G8,$H8,$I8,$J8)</f>
        <v>#NUM!</v>
      </c>
      <c r="L8" s="201"/>
      <c r="M8" s="202" t="e">
        <v>#NUM!</v>
      </c>
      <c r="N8" s="201"/>
      <c r="O8" s="250" t="str">
        <f t="shared" si="1"/>
        <v>USDE2X5S_Quote</v>
      </c>
      <c r="P8" s="199" t="e">
        <v>#NUM!</v>
      </c>
      <c r="Q8" s="198"/>
      <c r="R8" s="169"/>
    </row>
    <row r="9" spans="1:18" x14ac:dyDescent="0.2">
      <c r="A9" s="96"/>
      <c r="B9" s="205" t="s">
        <v>264</v>
      </c>
      <c r="C9" s="254" t="s">
        <v>261</v>
      </c>
      <c r="D9" s="254" t="s">
        <v>263</v>
      </c>
      <c r="E9" s="252" t="str">
        <f t="shared" si="0"/>
        <v>USDE3X6S</v>
      </c>
      <c r="F9" s="252" t="str">
        <v>USDE3X6S=ICAP</v>
      </c>
      <c r="G9" s="199" t="s">
        <v>213</v>
      </c>
      <c r="H9" s="199" t="s">
        <v>213</v>
      </c>
      <c r="I9" s="199" t="s">
        <v>213</v>
      </c>
      <c r="J9" s="199" t="s">
        <v>213</v>
      </c>
      <c r="K9" s="203" t="e">
        <f>_xll.qlMidEquivalent($G9,$H9,$I9,$J9)</f>
        <v>#NUM!</v>
      </c>
      <c r="L9" s="201"/>
      <c r="M9" s="202" t="e">
        <v>#NUM!</v>
      </c>
      <c r="N9" s="201"/>
      <c r="O9" s="250" t="str">
        <f t="shared" si="1"/>
        <v>USDE3X6S_Quote</v>
      </c>
      <c r="P9" s="199" t="e">
        <v>#NUM!</v>
      </c>
      <c r="Q9" s="198"/>
      <c r="R9" s="169"/>
    </row>
    <row r="10" spans="1:18" x14ac:dyDescent="0.2">
      <c r="A10" s="96"/>
      <c r="B10" s="217" t="s">
        <v>262</v>
      </c>
      <c r="C10" s="249" t="s">
        <v>261</v>
      </c>
      <c r="D10" s="249" t="s">
        <v>260</v>
      </c>
      <c r="E10" s="247" t="str">
        <f t="shared" si="0"/>
        <v>USDE6X12S</v>
      </c>
      <c r="F10" s="247" t="str">
        <v>USDE6X12S=ICAP</v>
      </c>
      <c r="G10" s="212" t="s">
        <v>213</v>
      </c>
      <c r="H10" s="212" t="s">
        <v>213</v>
      </c>
      <c r="I10" s="212" t="s">
        <v>213</v>
      </c>
      <c r="J10" s="212" t="s">
        <v>213</v>
      </c>
      <c r="K10" s="215" t="e">
        <f>_xll.qlMidEquivalent($G10,$H10,$I10,$J10)</f>
        <v>#NUM!</v>
      </c>
      <c r="L10" s="201"/>
      <c r="M10" s="214" t="e">
        <v>#NUM!</v>
      </c>
      <c r="N10" s="201"/>
      <c r="O10" s="245" t="str">
        <f t="shared" si="1"/>
        <v>USDE6X12S_Quote</v>
      </c>
      <c r="P10" s="212" t="e">
        <v>#NUM!</v>
      </c>
      <c r="Q10" s="211"/>
      <c r="R10" s="169"/>
    </row>
    <row r="11" spans="1:18" ht="13.5" thickBot="1" x14ac:dyDescent="0.25">
      <c r="A11" s="22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37"/>
    </row>
  </sheetData>
  <conditionalFormatting sqref="Q5:Q10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disablePrompts="1" count="1">
    <dataValidation type="list" showInputMessage="1" showErrorMessage="1" sqref="F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AD38"/>
  <sheetViews>
    <sheetView workbookViewId="0"/>
  </sheetViews>
  <sheetFormatPr defaultRowHeight="11.25" x14ac:dyDescent="0.2"/>
  <cols>
    <col min="1" max="2" width="2.7109375" style="350" customWidth="1"/>
    <col min="3" max="3" width="5.7109375" style="350" bestFit="1" customWidth="1"/>
    <col min="4" max="4" width="9.28515625" style="350" bestFit="1" customWidth="1"/>
    <col min="5" max="5" width="26.42578125" style="350" bestFit="1" customWidth="1"/>
    <col min="6" max="6" width="9.85546875" style="350" customWidth="1"/>
    <col min="7" max="7" width="6" style="350" bestFit="1" customWidth="1"/>
    <col min="8" max="8" width="5.5703125" style="350" bestFit="1" customWidth="1"/>
    <col min="9" max="9" width="2.7109375" style="350" customWidth="1"/>
    <col min="10" max="10" width="7.85546875" style="350" bestFit="1" customWidth="1"/>
    <col min="11" max="11" width="11.42578125" style="350" bestFit="1" customWidth="1"/>
    <col min="12" max="12" width="8.7109375" style="350" bestFit="1" customWidth="1"/>
    <col min="13" max="13" width="7.140625" style="350" bestFit="1" customWidth="1"/>
    <col min="14" max="14" width="10" style="350" bestFit="1" customWidth="1"/>
    <col min="15" max="15" width="7.140625" style="350" bestFit="1" customWidth="1"/>
    <col min="16" max="16" width="2.7109375" style="350" customWidth="1"/>
    <col min="17" max="17" width="3.5703125" style="350" customWidth="1"/>
    <col min="18" max="18" width="4" style="350" bestFit="1" customWidth="1"/>
    <col min="19" max="19" width="5.28515625" style="350" bestFit="1" customWidth="1"/>
    <col min="20" max="20" width="16" style="350" bestFit="1" customWidth="1"/>
    <col min="21" max="16384" width="9.140625" style="350"/>
  </cols>
  <sheetData>
    <row r="1" spans="1:30" ht="12" thickBot="1" x14ac:dyDescent="0.25">
      <c r="A1" s="425" t="s">
        <v>307</v>
      </c>
      <c r="B1" s="351"/>
      <c r="C1" s="351"/>
      <c r="D1" s="356"/>
      <c r="E1" s="364"/>
      <c r="F1" s="410"/>
      <c r="G1" s="410"/>
      <c r="H1" s="351"/>
      <c r="I1" s="356"/>
      <c r="J1" s="351"/>
      <c r="K1" s="351"/>
      <c r="L1" s="351"/>
      <c r="M1" s="351"/>
      <c r="N1" s="351"/>
      <c r="O1" s="351"/>
      <c r="P1" s="351"/>
      <c r="Q1" s="351"/>
      <c r="R1" s="351"/>
      <c r="S1" s="351"/>
      <c r="T1" s="351"/>
      <c r="U1" s="351"/>
      <c r="V1" s="351"/>
      <c r="W1" s="351"/>
      <c r="X1" s="351"/>
      <c r="Y1" s="351"/>
      <c r="Z1" s="351"/>
      <c r="AA1" s="351"/>
      <c r="AB1" s="351"/>
      <c r="AC1" s="351"/>
      <c r="AD1" s="351"/>
    </row>
    <row r="2" spans="1:30" ht="19.5" x14ac:dyDescent="0.4">
      <c r="A2" s="351"/>
      <c r="B2" s="409"/>
      <c r="C2" s="403"/>
      <c r="D2" s="408" t="str">
        <f>VLOOKUP(Currency,Traits,2,FALSE)</f>
        <v>-</v>
      </c>
      <c r="E2" s="407"/>
      <c r="F2" s="406"/>
      <c r="G2" s="406"/>
      <c r="H2" s="403"/>
      <c r="I2" s="403"/>
      <c r="J2" s="405" t="str">
        <f>VLOOKUP(Currency,Traits,3,FALSE)</f>
        <v>-</v>
      </c>
      <c r="K2" s="403"/>
      <c r="L2" s="403"/>
      <c r="M2" s="404">
        <f>MAX(O4:O19)</f>
        <v>0</v>
      </c>
      <c r="N2" s="403"/>
      <c r="O2" s="403"/>
      <c r="P2" s="402"/>
      <c r="Q2" s="351"/>
      <c r="R2" s="351"/>
      <c r="S2" s="351"/>
      <c r="T2" s="351"/>
      <c r="U2" s="351"/>
      <c r="V2" s="351"/>
      <c r="W2" s="351"/>
      <c r="X2" s="351"/>
      <c r="Y2" s="351"/>
      <c r="Z2" s="351"/>
      <c r="AA2" s="351"/>
      <c r="AB2" s="351"/>
      <c r="AC2" s="351"/>
      <c r="AD2" s="351"/>
    </row>
    <row r="3" spans="1:30" ht="22.5" x14ac:dyDescent="0.2">
      <c r="A3" s="351"/>
      <c r="B3" s="380"/>
      <c r="C3" s="400" t="s">
        <v>23</v>
      </c>
      <c r="D3" s="399" t="str">
        <f>_xll.RData(D4:D18,E3:F3,"RTFEED:IDN",,,E4)</f>
        <v>Updated at 16:43:51</v>
      </c>
      <c r="E3" s="399" t="s">
        <v>289</v>
      </c>
      <c r="F3" s="399" t="s">
        <v>295</v>
      </c>
      <c r="G3" s="399" t="s">
        <v>288</v>
      </c>
      <c r="H3" s="398" t="s">
        <v>287</v>
      </c>
      <c r="I3" s="401"/>
      <c r="J3" s="400" t="s">
        <v>230</v>
      </c>
      <c r="K3" s="399" t="s">
        <v>286</v>
      </c>
      <c r="L3" s="399" t="s">
        <v>285</v>
      </c>
      <c r="M3" s="399" t="s">
        <v>284</v>
      </c>
      <c r="N3" s="398" t="s">
        <v>283</v>
      </c>
      <c r="O3" s="397" t="s">
        <v>303</v>
      </c>
      <c r="P3" s="370"/>
      <c r="Q3" s="351"/>
      <c r="R3" s="351"/>
      <c r="S3" s="351"/>
      <c r="T3" s="351"/>
      <c r="U3" s="351"/>
      <c r="V3" s="351"/>
      <c r="W3" s="351"/>
      <c r="X3" s="351"/>
      <c r="Y3" s="351"/>
      <c r="Z3" s="351"/>
      <c r="AA3" s="351"/>
      <c r="AB3" s="351"/>
      <c r="AC3" s="351"/>
      <c r="AD3" s="351"/>
    </row>
    <row r="4" spans="1:30" x14ac:dyDescent="0.2">
      <c r="A4" s="351"/>
      <c r="B4" s="380"/>
      <c r="C4" s="396" t="s">
        <v>8</v>
      </c>
      <c r="D4" s="391" t="str">
        <f t="shared" ref="D4:D18" si="0">Currency&amp;$D$2&amp;$C4&amp;"="</f>
        <v>USD-1Y=</v>
      </c>
      <c r="E4" s="395" t="s">
        <v>213</v>
      </c>
      <c r="F4" s="394" t="s">
        <v>213</v>
      </c>
      <c r="G4" s="394" t="b">
        <f t="shared" ref="G4:G18" si="1">IF(AND(ISNUMBER($F4),$F4&lt;&gt;0%),TRUE,FALSE)</f>
        <v>0</v>
      </c>
      <c r="H4" s="393" t="e">
        <f>IF($G4,_xll.qlIndexAddFixings($J4,$E4,$F4/100,TRUE,ISERROR($K4)),NA())</f>
        <v>#N/A</v>
      </c>
      <c r="I4" s="375"/>
      <c r="J4" s="392" t="str">
        <f t="shared" ref="J4:J18" si="2">PROPER(Currency)&amp;$J$2&amp;$C4</f>
        <v>Usd-1Y</v>
      </c>
      <c r="K4" s="391" t="e">
        <f>_xll.qlIndexFixing($J4,$E4,TRUE,$G4)</f>
        <v>#NUM!</v>
      </c>
      <c r="L4" s="391" t="e">
        <f>IF($H4,_xll.qlIndexFixing($J4,$E4,FALSE,$G4),"-")</f>
        <v>#N/A</v>
      </c>
      <c r="M4" s="391" t="e">
        <f t="shared" ref="M4:M18" si="3">K4-L4</f>
        <v>#NUM!</v>
      </c>
      <c r="N4" s="390" t="e">
        <f>_xll.qlIndexFixing($J4,$E4,TRUE,$L4)</f>
        <v>#NUM!</v>
      </c>
      <c r="O4" s="414">
        <f t="shared" ref="O4:O18" si="4">IF(ISERROR(M4),0,ABS(M4))</f>
        <v>0</v>
      </c>
      <c r="P4" s="370"/>
      <c r="Q4" s="351"/>
      <c r="R4" s="351"/>
      <c r="S4" s="351"/>
      <c r="T4" s="351"/>
      <c r="U4" s="351"/>
      <c r="V4" s="351"/>
      <c r="W4" s="351"/>
      <c r="X4" s="351"/>
      <c r="Y4" s="351"/>
      <c r="Z4" s="351"/>
      <c r="AA4" s="351"/>
      <c r="AB4" s="351"/>
      <c r="AC4" s="351"/>
      <c r="AD4" s="351"/>
    </row>
    <row r="5" spans="1:30" x14ac:dyDescent="0.2">
      <c r="A5" s="351"/>
      <c r="B5" s="380"/>
      <c r="C5" s="388" t="s">
        <v>84</v>
      </c>
      <c r="D5" s="383" t="str">
        <f t="shared" si="0"/>
        <v>USD-2Y=</v>
      </c>
      <c r="E5" s="387" t="s">
        <v>213</v>
      </c>
      <c r="F5" s="386" t="s">
        <v>213</v>
      </c>
      <c r="G5" s="386" t="b">
        <f t="shared" si="1"/>
        <v>0</v>
      </c>
      <c r="H5" s="385" t="e">
        <f>IF($G5,_xll.qlIndexAddFixings($J5,$E5,$F5/100,TRUE,ISERROR($K5)),NA())</f>
        <v>#N/A</v>
      </c>
      <c r="I5" s="375"/>
      <c r="J5" s="384" t="str">
        <f t="shared" si="2"/>
        <v>Usd-2Y</v>
      </c>
      <c r="K5" s="383" t="e">
        <f>_xll.qlIndexFixing($J5,$E5,TRUE,$G5)</f>
        <v>#NUM!</v>
      </c>
      <c r="L5" s="383" t="e">
        <f>IF($H5,_xll.qlIndexFixing($J5,$E5,FALSE,$G5),"-")</f>
        <v>#N/A</v>
      </c>
      <c r="M5" s="383" t="e">
        <f t="shared" si="3"/>
        <v>#NUM!</v>
      </c>
      <c r="N5" s="382" t="e">
        <f>_xll.qlIndexFixing($J5,$E5,TRUE,$L5)</f>
        <v>#NUM!</v>
      </c>
      <c r="O5" s="414">
        <f t="shared" si="4"/>
        <v>0</v>
      </c>
      <c r="P5" s="370"/>
      <c r="Q5" s="351"/>
      <c r="R5" s="351"/>
      <c r="S5" s="351"/>
      <c r="T5" s="351"/>
      <c r="U5" s="351"/>
      <c r="V5" s="351"/>
      <c r="W5" s="351"/>
      <c r="X5" s="351"/>
      <c r="Y5" s="351"/>
      <c r="Z5" s="351"/>
      <c r="AA5" s="351"/>
      <c r="AB5" s="351"/>
      <c r="AC5" s="351"/>
      <c r="AD5" s="351"/>
    </row>
    <row r="6" spans="1:30" x14ac:dyDescent="0.2">
      <c r="A6" s="351"/>
      <c r="B6" s="380"/>
      <c r="C6" s="388" t="s">
        <v>83</v>
      </c>
      <c r="D6" s="383" t="str">
        <f t="shared" si="0"/>
        <v>USD-3Y=</v>
      </c>
      <c r="E6" s="387" t="s">
        <v>213</v>
      </c>
      <c r="F6" s="386" t="s">
        <v>213</v>
      </c>
      <c r="G6" s="386" t="b">
        <f t="shared" si="1"/>
        <v>0</v>
      </c>
      <c r="H6" s="385" t="e">
        <f>IF($G6,_xll.qlIndexAddFixings($J6,$E6,$F6/100,TRUE,ISERROR($K6)),NA())</f>
        <v>#N/A</v>
      </c>
      <c r="I6" s="375"/>
      <c r="J6" s="384" t="str">
        <f t="shared" si="2"/>
        <v>Usd-3Y</v>
      </c>
      <c r="K6" s="383" t="e">
        <f>_xll.qlIndexFixing($J6,$E6,TRUE,$G6)</f>
        <v>#NUM!</v>
      </c>
      <c r="L6" s="383" t="e">
        <f>IF($H6,_xll.qlIndexFixing($J6,$E6,FALSE,$G6),"-")</f>
        <v>#N/A</v>
      </c>
      <c r="M6" s="383" t="e">
        <f t="shared" si="3"/>
        <v>#NUM!</v>
      </c>
      <c r="N6" s="382" t="e">
        <f>_xll.qlIndexFixing($J6,$E6,TRUE,$L6)</f>
        <v>#NUM!</v>
      </c>
      <c r="O6" s="414">
        <f t="shared" si="4"/>
        <v>0</v>
      </c>
      <c r="P6" s="370"/>
      <c r="Q6" s="351"/>
      <c r="R6" s="351"/>
      <c r="S6" s="351"/>
      <c r="T6" s="351"/>
      <c r="U6" s="351"/>
      <c r="V6" s="351"/>
      <c r="W6" s="351"/>
      <c r="X6" s="351"/>
      <c r="Y6" s="351"/>
      <c r="Z6" s="351"/>
      <c r="AA6" s="351"/>
      <c r="AB6" s="351"/>
      <c r="AC6" s="351"/>
      <c r="AD6" s="351"/>
    </row>
    <row r="7" spans="1:30" x14ac:dyDescent="0.2">
      <c r="A7" s="351"/>
      <c r="B7" s="380"/>
      <c r="C7" s="388" t="s">
        <v>82</v>
      </c>
      <c r="D7" s="383" t="str">
        <f t="shared" si="0"/>
        <v>USD-4Y=</v>
      </c>
      <c r="E7" s="387" t="s">
        <v>213</v>
      </c>
      <c r="F7" s="386" t="s">
        <v>213</v>
      </c>
      <c r="G7" s="386" t="b">
        <f t="shared" si="1"/>
        <v>0</v>
      </c>
      <c r="H7" s="385" t="e">
        <f>IF($G7,_xll.qlIndexAddFixings($J7,$E7,$F7/100,TRUE,ISERROR($K7)),NA())</f>
        <v>#N/A</v>
      </c>
      <c r="I7" s="375"/>
      <c r="J7" s="384" t="str">
        <f t="shared" si="2"/>
        <v>Usd-4Y</v>
      </c>
      <c r="K7" s="383" t="e">
        <f>_xll.qlIndexFixing($J7,$E7,TRUE,$G7)</f>
        <v>#NUM!</v>
      </c>
      <c r="L7" s="383" t="e">
        <f>IF($H7,_xll.qlIndexFixing($J7,$E7,FALSE,$G7),"-")</f>
        <v>#N/A</v>
      </c>
      <c r="M7" s="383" t="e">
        <f t="shared" si="3"/>
        <v>#NUM!</v>
      </c>
      <c r="N7" s="382" t="e">
        <f>_xll.qlIndexFixing($J7,$E7,TRUE,$L7)</f>
        <v>#NUM!</v>
      </c>
      <c r="O7" s="414">
        <f t="shared" si="4"/>
        <v>0</v>
      </c>
      <c r="P7" s="370"/>
      <c r="Q7" s="351"/>
      <c r="R7" s="351"/>
      <c r="S7" s="351"/>
      <c r="T7" s="351"/>
      <c r="U7" s="351"/>
      <c r="V7" s="351"/>
      <c r="W7" s="351"/>
      <c r="X7" s="351"/>
      <c r="Y7" s="351"/>
      <c r="Z7" s="351"/>
      <c r="AA7" s="351"/>
      <c r="AB7" s="351"/>
      <c r="AC7" s="351"/>
      <c r="AD7" s="351"/>
    </row>
    <row r="8" spans="1:30" x14ac:dyDescent="0.2">
      <c r="A8" s="351"/>
      <c r="B8" s="380"/>
      <c r="C8" s="388" t="s">
        <v>81</v>
      </c>
      <c r="D8" s="383" t="str">
        <f t="shared" si="0"/>
        <v>USD-5Y=</v>
      </c>
      <c r="E8" s="387" t="s">
        <v>213</v>
      </c>
      <c r="F8" s="386" t="s">
        <v>213</v>
      </c>
      <c r="G8" s="386" t="b">
        <f t="shared" si="1"/>
        <v>0</v>
      </c>
      <c r="H8" s="385" t="e">
        <f>IF($G8,_xll.qlIndexAddFixings($J8,$E8,$F8/100,TRUE,ISERROR($K8)),NA())</f>
        <v>#N/A</v>
      </c>
      <c r="I8" s="375"/>
      <c r="J8" s="384" t="str">
        <f t="shared" si="2"/>
        <v>Usd-5Y</v>
      </c>
      <c r="K8" s="383" t="e">
        <f>_xll.qlIndexFixing($J8,$E8,TRUE,$G8)</f>
        <v>#NUM!</v>
      </c>
      <c r="L8" s="383" t="e">
        <f>IF($H8,_xll.qlIndexFixing($J8,$E8,FALSE,$G8),"-")</f>
        <v>#N/A</v>
      </c>
      <c r="M8" s="383" t="e">
        <f t="shared" si="3"/>
        <v>#NUM!</v>
      </c>
      <c r="N8" s="382" t="e">
        <f>_xll.qlIndexFixing($J8,$E8,TRUE,$L8)</f>
        <v>#NUM!</v>
      </c>
      <c r="O8" s="414">
        <f t="shared" si="4"/>
        <v>0</v>
      </c>
      <c r="P8" s="370"/>
      <c r="Q8" s="351"/>
      <c r="R8" s="351"/>
      <c r="S8" s="351"/>
      <c r="T8" s="351"/>
      <c r="U8" s="351"/>
      <c r="V8" s="351"/>
      <c r="W8" s="351"/>
      <c r="X8" s="351"/>
      <c r="Y8" s="351"/>
      <c r="Z8" s="351"/>
      <c r="AA8" s="351"/>
      <c r="AB8" s="351"/>
      <c r="AC8" s="351"/>
      <c r="AD8" s="351"/>
    </row>
    <row r="9" spans="1:30" x14ac:dyDescent="0.2">
      <c r="A9" s="351"/>
      <c r="B9" s="380"/>
      <c r="C9" s="388" t="s">
        <v>80</v>
      </c>
      <c r="D9" s="383" t="str">
        <f t="shared" si="0"/>
        <v>USD-6Y=</v>
      </c>
      <c r="E9" s="387" t="s">
        <v>213</v>
      </c>
      <c r="F9" s="386" t="s">
        <v>213</v>
      </c>
      <c r="G9" s="386" t="b">
        <f t="shared" si="1"/>
        <v>0</v>
      </c>
      <c r="H9" s="385" t="e">
        <f>IF($G9,_xll.qlIndexAddFixings($J9,$E9,$F9/100,TRUE,ISERROR($K9)),NA())</f>
        <v>#N/A</v>
      </c>
      <c r="I9" s="375"/>
      <c r="J9" s="384" t="str">
        <f t="shared" si="2"/>
        <v>Usd-6Y</v>
      </c>
      <c r="K9" s="383" t="e">
        <f>_xll.qlIndexFixing($J9,$E9,TRUE,$G9)</f>
        <v>#NUM!</v>
      </c>
      <c r="L9" s="383" t="e">
        <f>IF($H9,_xll.qlIndexFixing($J9,$E9,FALSE,$G9),"-")</f>
        <v>#N/A</v>
      </c>
      <c r="M9" s="383" t="e">
        <f t="shared" si="3"/>
        <v>#NUM!</v>
      </c>
      <c r="N9" s="382" t="e">
        <f>_xll.qlIndexFixing($J9,$E9,TRUE,$L9)</f>
        <v>#NUM!</v>
      </c>
      <c r="O9" s="414">
        <f t="shared" si="4"/>
        <v>0</v>
      </c>
      <c r="P9" s="370"/>
      <c r="Q9" s="351"/>
      <c r="R9" s="351"/>
      <c r="S9" s="351"/>
      <c r="T9" s="351"/>
      <c r="U9" s="351"/>
      <c r="V9" s="351"/>
      <c r="W9" s="351"/>
      <c r="X9" s="351"/>
      <c r="Y9" s="351"/>
      <c r="Z9" s="351"/>
      <c r="AA9" s="351"/>
      <c r="AB9" s="351"/>
      <c r="AC9" s="351"/>
      <c r="AD9" s="351"/>
    </row>
    <row r="10" spans="1:30" x14ac:dyDescent="0.2">
      <c r="A10" s="351"/>
      <c r="B10" s="380"/>
      <c r="C10" s="388" t="s">
        <v>79</v>
      </c>
      <c r="D10" s="383" t="str">
        <f t="shared" si="0"/>
        <v>USD-7Y=</v>
      </c>
      <c r="E10" s="387" t="s">
        <v>213</v>
      </c>
      <c r="F10" s="386" t="s">
        <v>213</v>
      </c>
      <c r="G10" s="386" t="b">
        <f t="shared" si="1"/>
        <v>0</v>
      </c>
      <c r="H10" s="385" t="e">
        <f>IF($G10,_xll.qlIndexAddFixings($J10,$E10,$F10/100,TRUE,ISERROR($K10)),NA())</f>
        <v>#N/A</v>
      </c>
      <c r="I10" s="375"/>
      <c r="J10" s="384" t="str">
        <f t="shared" si="2"/>
        <v>Usd-7Y</v>
      </c>
      <c r="K10" s="383" t="e">
        <f>_xll.qlIndexFixing($J10,$E10,TRUE,$G10)</f>
        <v>#NUM!</v>
      </c>
      <c r="L10" s="383" t="e">
        <f>IF($H10,_xll.qlIndexFixing($J10,$E10,FALSE,$G10),"-")</f>
        <v>#N/A</v>
      </c>
      <c r="M10" s="383" t="e">
        <f t="shared" si="3"/>
        <v>#NUM!</v>
      </c>
      <c r="N10" s="382" t="e">
        <f>_xll.qlIndexFixing($J10,$E10,TRUE,$L10)</f>
        <v>#NUM!</v>
      </c>
      <c r="O10" s="414">
        <f t="shared" si="4"/>
        <v>0</v>
      </c>
      <c r="P10" s="370"/>
      <c r="Q10" s="351"/>
      <c r="R10" s="351"/>
      <c r="S10" s="351"/>
      <c r="T10" s="351"/>
      <c r="U10" s="351"/>
      <c r="V10" s="351"/>
      <c r="W10" s="351"/>
      <c r="X10" s="351"/>
      <c r="Y10" s="351"/>
      <c r="Z10" s="351"/>
      <c r="AA10" s="351"/>
      <c r="AB10" s="351"/>
      <c r="AC10" s="351"/>
      <c r="AD10" s="351"/>
    </row>
    <row r="11" spans="1:30" x14ac:dyDescent="0.2">
      <c r="A11" s="351"/>
      <c r="B11" s="380"/>
      <c r="C11" s="388" t="s">
        <v>78</v>
      </c>
      <c r="D11" s="383" t="str">
        <f t="shared" si="0"/>
        <v>USD-8Y=</v>
      </c>
      <c r="E11" s="387" t="s">
        <v>213</v>
      </c>
      <c r="F11" s="386" t="s">
        <v>213</v>
      </c>
      <c r="G11" s="386" t="b">
        <f t="shared" si="1"/>
        <v>0</v>
      </c>
      <c r="H11" s="385" t="e">
        <f>IF($G11,_xll.qlIndexAddFixings($J11,$E11,$F11/100,TRUE,ISERROR($K11)),NA())</f>
        <v>#N/A</v>
      </c>
      <c r="I11" s="375"/>
      <c r="J11" s="384" t="str">
        <f t="shared" si="2"/>
        <v>Usd-8Y</v>
      </c>
      <c r="K11" s="383" t="e">
        <f>_xll.qlIndexFixing($J11,$E11,TRUE,$G11)</f>
        <v>#NUM!</v>
      </c>
      <c r="L11" s="383" t="e">
        <f>IF($H11,_xll.qlIndexFixing($J11,$E11,FALSE,$G11),"-")</f>
        <v>#N/A</v>
      </c>
      <c r="M11" s="383" t="e">
        <f t="shared" si="3"/>
        <v>#NUM!</v>
      </c>
      <c r="N11" s="382" t="e">
        <f>_xll.qlIndexFixing($J11,$E11,TRUE,$L11)</f>
        <v>#NUM!</v>
      </c>
      <c r="O11" s="414">
        <f t="shared" si="4"/>
        <v>0</v>
      </c>
      <c r="P11" s="370"/>
      <c r="Q11" s="351"/>
      <c r="R11" s="351"/>
      <c r="S11" s="351"/>
      <c r="T11" s="351"/>
      <c r="U11" s="351"/>
      <c r="V11" s="351"/>
      <c r="W11" s="351"/>
      <c r="X11" s="351"/>
      <c r="Y11" s="351"/>
      <c r="Z11" s="351"/>
      <c r="AA11" s="351"/>
      <c r="AB11" s="351"/>
      <c r="AC11" s="351"/>
      <c r="AD11" s="351"/>
    </row>
    <row r="12" spans="1:30" x14ac:dyDescent="0.2">
      <c r="A12" s="351"/>
      <c r="B12" s="380"/>
      <c r="C12" s="388" t="s">
        <v>77</v>
      </c>
      <c r="D12" s="383" t="str">
        <f t="shared" si="0"/>
        <v>USD-9Y=</v>
      </c>
      <c r="E12" s="387" t="s">
        <v>213</v>
      </c>
      <c r="F12" s="386" t="s">
        <v>213</v>
      </c>
      <c r="G12" s="386" t="b">
        <f t="shared" si="1"/>
        <v>0</v>
      </c>
      <c r="H12" s="385" t="e">
        <f>IF($G12,_xll.qlIndexAddFixings($J12,$E12,$F12/100,TRUE,ISERROR($K12)),NA())</f>
        <v>#N/A</v>
      </c>
      <c r="I12" s="375"/>
      <c r="J12" s="384" t="str">
        <f t="shared" si="2"/>
        <v>Usd-9Y</v>
      </c>
      <c r="K12" s="383" t="e">
        <f>_xll.qlIndexFixing($J12,$E12,TRUE,$G12)</f>
        <v>#NUM!</v>
      </c>
      <c r="L12" s="383" t="e">
        <f>IF($H12,_xll.qlIndexFixing($J12,$E12,FALSE,$G12),"-")</f>
        <v>#N/A</v>
      </c>
      <c r="M12" s="383" t="e">
        <f t="shared" si="3"/>
        <v>#NUM!</v>
      </c>
      <c r="N12" s="382" t="e">
        <f>_xll.qlIndexFixing($J12,$E12,TRUE,$L12)</f>
        <v>#NUM!</v>
      </c>
      <c r="O12" s="414">
        <f t="shared" si="4"/>
        <v>0</v>
      </c>
      <c r="P12" s="370"/>
      <c r="Q12" s="351"/>
      <c r="R12" s="351"/>
      <c r="S12" s="351"/>
      <c r="T12" s="351"/>
      <c r="U12" s="351"/>
      <c r="V12" s="351"/>
      <c r="W12" s="351"/>
      <c r="X12" s="351"/>
      <c r="Y12" s="351"/>
      <c r="Z12" s="351"/>
      <c r="AA12" s="351"/>
      <c r="AB12" s="351"/>
      <c r="AC12" s="351"/>
      <c r="AD12" s="351"/>
    </row>
    <row r="13" spans="1:30" x14ac:dyDescent="0.2">
      <c r="A13" s="351"/>
      <c r="B13" s="380"/>
      <c r="C13" s="388" t="s">
        <v>76</v>
      </c>
      <c r="D13" s="383" t="str">
        <f t="shared" si="0"/>
        <v>USD-10Y=</v>
      </c>
      <c r="E13" s="387" t="s">
        <v>213</v>
      </c>
      <c r="F13" s="386" t="s">
        <v>213</v>
      </c>
      <c r="G13" s="386" t="b">
        <f t="shared" si="1"/>
        <v>0</v>
      </c>
      <c r="H13" s="385" t="e">
        <f>IF($G13,_xll.qlIndexAddFixings($J13,$E13,$F13/100,TRUE,ISERROR($K13)),NA())</f>
        <v>#N/A</v>
      </c>
      <c r="I13" s="375"/>
      <c r="J13" s="384" t="str">
        <f t="shared" si="2"/>
        <v>Usd-10Y</v>
      </c>
      <c r="K13" s="383" t="e">
        <f>_xll.qlIndexFixing($J13,$E13,TRUE,$G13)</f>
        <v>#NUM!</v>
      </c>
      <c r="L13" s="383" t="e">
        <f>IF($H13,_xll.qlIndexFixing($J13,$E13,FALSE,$G13),"-")</f>
        <v>#N/A</v>
      </c>
      <c r="M13" s="383" t="e">
        <f t="shared" si="3"/>
        <v>#NUM!</v>
      </c>
      <c r="N13" s="382" t="e">
        <f>_xll.qlIndexFixing($J13,$E13,TRUE,$L13)</f>
        <v>#NUM!</v>
      </c>
      <c r="O13" s="414">
        <f t="shared" si="4"/>
        <v>0</v>
      </c>
      <c r="P13" s="370"/>
      <c r="Q13" s="351"/>
      <c r="R13" s="351"/>
      <c r="S13" s="351"/>
      <c r="T13" s="351"/>
      <c r="U13" s="351"/>
      <c r="V13" s="351"/>
      <c r="W13" s="351"/>
      <c r="X13" s="351"/>
      <c r="Y13" s="351"/>
      <c r="Z13" s="351"/>
      <c r="AA13" s="351"/>
      <c r="AB13" s="351"/>
      <c r="AC13" s="351"/>
      <c r="AD13" s="351"/>
    </row>
    <row r="14" spans="1:30" x14ac:dyDescent="0.2">
      <c r="A14" s="351"/>
      <c r="B14" s="380"/>
      <c r="C14" s="388" t="s">
        <v>74</v>
      </c>
      <c r="D14" s="383" t="str">
        <f t="shared" si="0"/>
        <v>USD-12Y=</v>
      </c>
      <c r="E14" s="387" t="s">
        <v>213</v>
      </c>
      <c r="F14" s="386" t="s">
        <v>213</v>
      </c>
      <c r="G14" s="386" t="b">
        <f t="shared" si="1"/>
        <v>0</v>
      </c>
      <c r="H14" s="385" t="e">
        <f>IF($G14,_xll.qlIndexAddFixings($J14,$E14,$F14/100,TRUE,ISERROR($K14)),NA())</f>
        <v>#N/A</v>
      </c>
      <c r="I14" s="375"/>
      <c r="J14" s="384" t="str">
        <f t="shared" si="2"/>
        <v>Usd-12Y</v>
      </c>
      <c r="K14" s="383" t="e">
        <f>_xll.qlIndexFixing($J14,$E14,TRUE,$G14)</f>
        <v>#NUM!</v>
      </c>
      <c r="L14" s="383" t="e">
        <f>IF($H14,_xll.qlIndexFixing($J14,$E14,FALSE,$G14),"-")</f>
        <v>#N/A</v>
      </c>
      <c r="M14" s="383" t="e">
        <f t="shared" si="3"/>
        <v>#NUM!</v>
      </c>
      <c r="N14" s="382" t="e">
        <f>_xll.qlIndexFixing($J14,$E14,TRUE,$L14)</f>
        <v>#NUM!</v>
      </c>
      <c r="O14" s="414">
        <f t="shared" si="4"/>
        <v>0</v>
      </c>
      <c r="P14" s="370"/>
      <c r="Q14" s="351"/>
      <c r="R14" s="351"/>
      <c r="S14" s="351"/>
      <c r="T14" s="351"/>
      <c r="U14" s="351"/>
      <c r="V14" s="351"/>
      <c r="W14" s="351"/>
      <c r="X14" s="351"/>
      <c r="Y14" s="351"/>
      <c r="Z14" s="351"/>
      <c r="AA14" s="351"/>
      <c r="AB14" s="351"/>
      <c r="AC14" s="351"/>
      <c r="AD14" s="351"/>
    </row>
    <row r="15" spans="1:30" x14ac:dyDescent="0.2">
      <c r="A15" s="351"/>
      <c r="B15" s="380"/>
      <c r="C15" s="388" t="s">
        <v>71</v>
      </c>
      <c r="D15" s="383" t="str">
        <f t="shared" si="0"/>
        <v>USD-15Y=</v>
      </c>
      <c r="E15" s="387" t="s">
        <v>213</v>
      </c>
      <c r="F15" s="386" t="s">
        <v>213</v>
      </c>
      <c r="G15" s="386" t="b">
        <f t="shared" si="1"/>
        <v>0</v>
      </c>
      <c r="H15" s="385" t="e">
        <f>IF($G15,_xll.qlIndexAddFixings($J15,$E15,$F15/100,TRUE,ISERROR($K15)),NA())</f>
        <v>#N/A</v>
      </c>
      <c r="I15" s="375"/>
      <c r="J15" s="384" t="str">
        <f t="shared" si="2"/>
        <v>Usd-15Y</v>
      </c>
      <c r="K15" s="383" t="e">
        <f>_xll.qlIndexFixing($J15,$E15,TRUE,$G15)</f>
        <v>#NUM!</v>
      </c>
      <c r="L15" s="383" t="e">
        <f>IF($H15,_xll.qlIndexFixing($J15,$E15,FALSE,$G15),"-")</f>
        <v>#N/A</v>
      </c>
      <c r="M15" s="383" t="e">
        <f t="shared" si="3"/>
        <v>#NUM!</v>
      </c>
      <c r="N15" s="382" t="e">
        <f>_xll.qlIndexFixing($J15,$E15,TRUE,$L15)</f>
        <v>#NUM!</v>
      </c>
      <c r="O15" s="414">
        <f t="shared" si="4"/>
        <v>0</v>
      </c>
      <c r="P15" s="370"/>
      <c r="Q15" s="351"/>
      <c r="R15" s="351"/>
      <c r="S15" s="351"/>
      <c r="T15" s="351"/>
      <c r="U15" s="351"/>
      <c r="V15" s="351"/>
      <c r="W15" s="351"/>
      <c r="X15" s="351"/>
      <c r="Y15" s="351"/>
      <c r="Z15" s="351"/>
      <c r="AA15" s="351"/>
      <c r="AB15" s="351"/>
      <c r="AC15" s="351"/>
      <c r="AD15" s="351"/>
    </row>
    <row r="16" spans="1:30" x14ac:dyDescent="0.2">
      <c r="A16" s="351"/>
      <c r="B16" s="380"/>
      <c r="C16" s="388" t="s">
        <v>66</v>
      </c>
      <c r="D16" s="383" t="str">
        <f t="shared" si="0"/>
        <v>USD-20Y=</v>
      </c>
      <c r="E16" s="387" t="s">
        <v>213</v>
      </c>
      <c r="F16" s="386" t="s">
        <v>213</v>
      </c>
      <c r="G16" s="386" t="b">
        <f t="shared" si="1"/>
        <v>0</v>
      </c>
      <c r="H16" s="385" t="e">
        <f>IF($G16,_xll.qlIndexAddFixings($J16,$E16,$F16/100,TRUE,ISERROR($K16)),NA())</f>
        <v>#N/A</v>
      </c>
      <c r="I16" s="375"/>
      <c r="J16" s="384" t="str">
        <f t="shared" si="2"/>
        <v>Usd-20Y</v>
      </c>
      <c r="K16" s="383" t="e">
        <f>_xll.qlIndexFixing($J16,$E16,TRUE,$G16)</f>
        <v>#NUM!</v>
      </c>
      <c r="L16" s="383" t="e">
        <f>IF($H16,_xll.qlIndexFixing($J16,$E16,FALSE,$G16),"-")</f>
        <v>#N/A</v>
      </c>
      <c r="M16" s="383" t="e">
        <f t="shared" si="3"/>
        <v>#NUM!</v>
      </c>
      <c r="N16" s="382" t="e">
        <f>_xll.qlIndexFixing($J16,$E16,TRUE,$L16)</f>
        <v>#NUM!</v>
      </c>
      <c r="O16" s="414">
        <f t="shared" si="4"/>
        <v>0</v>
      </c>
      <c r="P16" s="370"/>
      <c r="Q16" s="351"/>
      <c r="R16" s="351"/>
      <c r="S16" s="351"/>
      <c r="T16" s="351"/>
      <c r="U16" s="351"/>
      <c r="V16" s="351"/>
      <c r="W16" s="351"/>
      <c r="X16" s="351"/>
      <c r="Y16" s="351"/>
      <c r="Z16" s="351"/>
      <c r="AA16" s="351"/>
      <c r="AB16" s="351"/>
      <c r="AC16" s="351"/>
      <c r="AD16" s="351"/>
    </row>
    <row r="17" spans="1:30" x14ac:dyDescent="0.2">
      <c r="A17" s="351"/>
      <c r="B17" s="380"/>
      <c r="C17" s="388" t="s">
        <v>61</v>
      </c>
      <c r="D17" s="383" t="str">
        <f t="shared" si="0"/>
        <v>USD-25Y=</v>
      </c>
      <c r="E17" s="387" t="s">
        <v>213</v>
      </c>
      <c r="F17" s="386" t="s">
        <v>213</v>
      </c>
      <c r="G17" s="386" t="b">
        <f t="shared" si="1"/>
        <v>0</v>
      </c>
      <c r="H17" s="385" t="e">
        <f>IF($G17,_xll.qlIndexAddFixings($J17,$E17,$F17/100,TRUE,ISERROR($K17)),NA())</f>
        <v>#N/A</v>
      </c>
      <c r="I17" s="375"/>
      <c r="J17" s="384" t="str">
        <f t="shared" si="2"/>
        <v>Usd-25Y</v>
      </c>
      <c r="K17" s="383" t="e">
        <f>_xll.qlIndexFixing($J17,$E17,TRUE,$G17)</f>
        <v>#NUM!</v>
      </c>
      <c r="L17" s="383" t="e">
        <f>IF($H17,_xll.qlIndexFixing($J17,$E17,FALSE,$G17),"-")</f>
        <v>#N/A</v>
      </c>
      <c r="M17" s="383" t="e">
        <f t="shared" si="3"/>
        <v>#NUM!</v>
      </c>
      <c r="N17" s="382" t="e">
        <f>_xll.qlIndexFixing($J17,$E17,TRUE,$L17)</f>
        <v>#NUM!</v>
      </c>
      <c r="O17" s="414">
        <f t="shared" si="4"/>
        <v>0</v>
      </c>
      <c r="P17" s="370"/>
      <c r="Q17" s="351"/>
      <c r="R17" s="351"/>
      <c r="S17" s="351"/>
      <c r="T17" s="351"/>
      <c r="U17" s="351"/>
      <c r="V17" s="351"/>
      <c r="W17" s="351"/>
      <c r="X17" s="351"/>
      <c r="Y17" s="351"/>
      <c r="Z17" s="351"/>
      <c r="AA17" s="351"/>
      <c r="AB17" s="351"/>
      <c r="AC17" s="351"/>
      <c r="AD17" s="351"/>
    </row>
    <row r="18" spans="1:30" x14ac:dyDescent="0.2">
      <c r="A18" s="351"/>
      <c r="B18" s="380"/>
      <c r="C18" s="379" t="s">
        <v>56</v>
      </c>
      <c r="D18" s="373" t="str">
        <f t="shared" si="0"/>
        <v>USD-30Y=</v>
      </c>
      <c r="E18" s="378" t="s">
        <v>213</v>
      </c>
      <c r="F18" s="377" t="s">
        <v>213</v>
      </c>
      <c r="G18" s="377" t="b">
        <f t="shared" si="1"/>
        <v>0</v>
      </c>
      <c r="H18" s="376" t="e">
        <f>IF($G18,_xll.qlIndexAddFixings($J18,$E18,$F18/100,TRUE,ISERROR($K18)),NA())</f>
        <v>#N/A</v>
      </c>
      <c r="I18" s="375"/>
      <c r="J18" s="374" t="str">
        <f t="shared" si="2"/>
        <v>Usd-30Y</v>
      </c>
      <c r="K18" s="373" t="e">
        <f>_xll.qlIndexFixing($J18,$E18,TRUE,$G18)</f>
        <v>#NUM!</v>
      </c>
      <c r="L18" s="373" t="e">
        <f>IF($H18,_xll.qlIndexFixing($J18,$E18,FALSE,$G18),"-")</f>
        <v>#N/A</v>
      </c>
      <c r="M18" s="373" t="e">
        <f t="shared" si="3"/>
        <v>#NUM!</v>
      </c>
      <c r="N18" s="372" t="e">
        <f>_xll.qlIndexFixing($J18,$E18,TRUE,$L18)</f>
        <v>#NUM!</v>
      </c>
      <c r="O18" s="413">
        <f t="shared" si="4"/>
        <v>0</v>
      </c>
      <c r="P18" s="370"/>
      <c r="Q18" s="351"/>
      <c r="R18" s="351"/>
      <c r="S18" s="351"/>
      <c r="T18" s="351"/>
      <c r="U18" s="351"/>
      <c r="V18" s="351"/>
      <c r="W18" s="351"/>
      <c r="X18" s="351"/>
      <c r="Y18" s="351"/>
      <c r="Z18" s="351"/>
      <c r="AA18" s="351"/>
      <c r="AB18" s="351"/>
      <c r="AC18" s="351"/>
      <c r="AD18" s="351"/>
    </row>
    <row r="19" spans="1:30" ht="12" thickBot="1" x14ac:dyDescent="0.25">
      <c r="A19" s="351"/>
      <c r="B19" s="369"/>
      <c r="C19" s="367"/>
      <c r="D19" s="367"/>
      <c r="E19" s="367"/>
      <c r="F19" s="367"/>
      <c r="G19" s="367"/>
      <c r="H19" s="367"/>
      <c r="I19" s="366"/>
      <c r="J19" s="366"/>
      <c r="K19" s="366"/>
      <c r="L19" s="366"/>
      <c r="M19" s="366"/>
      <c r="N19" s="366"/>
      <c r="O19" s="366"/>
      <c r="P19" s="365"/>
      <c r="Q19" s="351"/>
      <c r="R19" s="351"/>
      <c r="S19" s="351"/>
      <c r="T19" s="351"/>
      <c r="U19" s="351"/>
      <c r="V19" s="351"/>
      <c r="W19" s="351"/>
      <c r="X19" s="351"/>
      <c r="Y19" s="351"/>
      <c r="Z19" s="351"/>
      <c r="AA19" s="351"/>
      <c r="AB19" s="351"/>
      <c r="AC19" s="351"/>
      <c r="AD19" s="351"/>
    </row>
    <row r="20" spans="1:30" ht="12" thickBot="1" x14ac:dyDescent="0.25">
      <c r="A20" s="351"/>
      <c r="B20" s="351"/>
      <c r="C20" s="351"/>
      <c r="D20" s="351"/>
      <c r="E20" s="364"/>
      <c r="F20" s="363"/>
      <c r="G20" s="363"/>
      <c r="H20" s="351"/>
      <c r="I20" s="351"/>
      <c r="J20" s="351"/>
      <c r="K20" s="351"/>
      <c r="L20" s="351"/>
      <c r="M20" s="351"/>
      <c r="N20" s="351"/>
      <c r="O20" s="351"/>
      <c r="P20" s="351"/>
      <c r="Q20" s="351"/>
      <c r="R20" s="351"/>
      <c r="S20" s="351"/>
      <c r="T20" s="351"/>
      <c r="U20" s="351"/>
      <c r="V20" s="351"/>
      <c r="W20" s="351"/>
      <c r="X20" s="351"/>
      <c r="Y20" s="351"/>
      <c r="Z20" s="351"/>
      <c r="AA20" s="351"/>
      <c r="AB20" s="351"/>
      <c r="AC20" s="351"/>
      <c r="AD20" s="351"/>
    </row>
    <row r="21" spans="1:30" s="351" customFormat="1" x14ac:dyDescent="0.2">
      <c r="C21" s="362" t="s">
        <v>105</v>
      </c>
      <c r="D21" s="361" t="s">
        <v>298</v>
      </c>
      <c r="E21" s="360" t="s">
        <v>298</v>
      </c>
    </row>
    <row r="22" spans="1:30" s="351" customFormat="1" x14ac:dyDescent="0.2">
      <c r="C22" s="357" t="s">
        <v>104</v>
      </c>
      <c r="D22" s="356" t="s">
        <v>302</v>
      </c>
      <c r="E22" s="355" t="s">
        <v>301</v>
      </c>
    </row>
    <row r="23" spans="1:30" s="351" customFormat="1" x14ac:dyDescent="0.2">
      <c r="C23" s="357" t="s">
        <v>282</v>
      </c>
      <c r="D23" s="356" t="s">
        <v>298</v>
      </c>
      <c r="E23" s="355" t="s">
        <v>298</v>
      </c>
    </row>
    <row r="24" spans="1:30" s="351" customFormat="1" x14ac:dyDescent="0.2">
      <c r="C24" s="357" t="s">
        <v>281</v>
      </c>
      <c r="D24" s="356" t="s">
        <v>298</v>
      </c>
      <c r="E24" s="355" t="s">
        <v>298</v>
      </c>
    </row>
    <row r="25" spans="1:30" s="351" customFormat="1" x14ac:dyDescent="0.2">
      <c r="C25" s="357" t="s">
        <v>101</v>
      </c>
      <c r="D25" s="356" t="s">
        <v>298</v>
      </c>
      <c r="E25" s="355" t="s">
        <v>298</v>
      </c>
    </row>
    <row r="26" spans="1:30" s="351" customFormat="1" x14ac:dyDescent="0.2">
      <c r="C26" s="357" t="s">
        <v>100</v>
      </c>
      <c r="D26" s="356" t="s">
        <v>298</v>
      </c>
      <c r="E26" s="355" t="s">
        <v>298</v>
      </c>
    </row>
    <row r="27" spans="1:30" s="351" customFormat="1" ht="12" thickBot="1" x14ac:dyDescent="0.25">
      <c r="C27" s="354" t="s">
        <v>95</v>
      </c>
      <c r="D27" s="412" t="s">
        <v>298</v>
      </c>
      <c r="E27" s="411" t="s">
        <v>298</v>
      </c>
    </row>
    <row r="28" spans="1:30" s="351" customFormat="1" x14ac:dyDescent="0.2"/>
    <row r="29" spans="1:30" s="351" customFormat="1" x14ac:dyDescent="0.2"/>
    <row r="30" spans="1:30" s="351" customFormat="1" x14ac:dyDescent="0.2"/>
    <row r="31" spans="1:30" s="351" customFormat="1" x14ac:dyDescent="0.2"/>
    <row r="32" spans="1:30" s="351" customFormat="1" x14ac:dyDescent="0.2"/>
    <row r="33" s="351" customFormat="1" x14ac:dyDescent="0.2"/>
    <row r="34" s="351" customFormat="1" x14ac:dyDescent="0.2"/>
    <row r="35" s="351" customFormat="1" x14ac:dyDescent="0.2"/>
    <row r="36" s="351" customFormat="1" x14ac:dyDescent="0.2"/>
    <row r="37" s="351" customFormat="1" x14ac:dyDescent="0.2"/>
    <row r="38" s="351" customFormat="1" x14ac:dyDescent="0.2"/>
  </sheetData>
  <conditionalFormatting sqref="M4:M18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AD41"/>
  <sheetViews>
    <sheetView workbookViewId="0"/>
  </sheetViews>
  <sheetFormatPr defaultRowHeight="11.25" x14ac:dyDescent="0.2"/>
  <cols>
    <col min="1" max="2" width="2.7109375" style="350" customWidth="1"/>
    <col min="3" max="3" width="5.7109375" style="350" bestFit="1" customWidth="1"/>
    <col min="4" max="4" width="12.140625" style="350" bestFit="1" customWidth="1"/>
    <col min="5" max="5" width="12.85546875" style="350" customWidth="1"/>
    <col min="6" max="6" width="7.42578125" style="350" customWidth="1"/>
    <col min="7" max="7" width="6" style="350" bestFit="1" customWidth="1"/>
    <col min="8" max="8" width="5.5703125" style="350" bestFit="1" customWidth="1"/>
    <col min="9" max="9" width="2.7109375" style="350" customWidth="1"/>
    <col min="10" max="10" width="12" style="350" bestFit="1" customWidth="1"/>
    <col min="11" max="11" width="11.42578125" style="350" bestFit="1" customWidth="1"/>
    <col min="12" max="12" width="8.7109375" style="350" bestFit="1" customWidth="1"/>
    <col min="13" max="13" width="7.7109375" style="350" bestFit="1" customWidth="1"/>
    <col min="14" max="14" width="10" style="350" bestFit="1" customWidth="1"/>
    <col min="15" max="15" width="7.140625" style="350" hidden="1" customWidth="1"/>
    <col min="16" max="16" width="2.7109375" style="350" customWidth="1"/>
    <col min="17" max="17" width="4.28515625" style="350" customWidth="1"/>
    <col min="18" max="18" width="4" style="350" bestFit="1" customWidth="1"/>
    <col min="19" max="19" width="5.28515625" style="350" bestFit="1" customWidth="1"/>
    <col min="20" max="20" width="6.140625" style="350" bestFit="1" customWidth="1"/>
    <col min="21" max="16384" width="9.140625" style="350"/>
  </cols>
  <sheetData>
    <row r="1" spans="1:30" ht="12" thickBot="1" x14ac:dyDescent="0.25">
      <c r="A1" s="425" t="s">
        <v>307</v>
      </c>
      <c r="B1" s="351"/>
      <c r="C1" s="351"/>
      <c r="D1" s="356"/>
      <c r="E1" s="364"/>
      <c r="F1" s="410"/>
      <c r="G1" s="410"/>
      <c r="H1" s="351"/>
      <c r="I1" s="356"/>
      <c r="J1" s="351"/>
      <c r="K1" s="351"/>
      <c r="L1" s="351"/>
      <c r="M1" s="351"/>
      <c r="N1" s="351"/>
      <c r="O1" s="351"/>
      <c r="P1" s="351"/>
      <c r="Q1" s="351"/>
      <c r="R1" s="351"/>
      <c r="S1" s="351"/>
      <c r="T1" s="351"/>
      <c r="U1" s="351"/>
      <c r="V1" s="351"/>
      <c r="W1" s="351"/>
      <c r="X1" s="351"/>
      <c r="Y1" s="351"/>
      <c r="Z1" s="351"/>
      <c r="AA1" s="351"/>
      <c r="AB1" s="351"/>
      <c r="AC1" s="351"/>
      <c r="AD1" s="351"/>
    </row>
    <row r="2" spans="1:30" ht="22.5" customHeight="1" x14ac:dyDescent="0.4">
      <c r="A2" s="351"/>
      <c r="B2" s="409"/>
      <c r="C2" s="403"/>
      <c r="D2" s="408" t="str">
        <f>VLOOKUP(Currency,Traits,2,FALSE)</f>
        <v>-</v>
      </c>
      <c r="E2" s="407"/>
      <c r="F2" s="406"/>
      <c r="G2" s="406"/>
      <c r="H2" s="403"/>
      <c r="I2" s="403"/>
      <c r="J2" s="405" t="str">
        <f>VLOOKUP(Currency,Traits,3,FALSE)</f>
        <v>-</v>
      </c>
      <c r="K2" s="403"/>
      <c r="L2" s="403"/>
      <c r="M2" s="404">
        <f>MAX(O4:O21)</f>
        <v>0</v>
      </c>
      <c r="N2" s="403"/>
      <c r="O2" s="403"/>
      <c r="P2" s="402"/>
      <c r="Q2" s="351"/>
      <c r="R2" s="351"/>
      <c r="S2" s="351"/>
      <c r="T2" s="351"/>
      <c r="U2" s="351"/>
      <c r="V2" s="351"/>
      <c r="W2" s="351"/>
      <c r="X2" s="351"/>
      <c r="Y2" s="351"/>
      <c r="Z2" s="351"/>
      <c r="AA2" s="351"/>
      <c r="AB2" s="351"/>
      <c r="AC2" s="351"/>
      <c r="AD2" s="351"/>
    </row>
    <row r="3" spans="1:30" ht="22.5" x14ac:dyDescent="0.2">
      <c r="A3" s="351"/>
      <c r="B3" s="380"/>
      <c r="C3" s="400" t="s">
        <v>23</v>
      </c>
      <c r="D3" s="399" t="str">
        <f>_xll.RData(D4:D21,E3:F3,"RTFEED:IDN",,,E4)</f>
        <v>Updated at 16:43:51</v>
      </c>
      <c r="E3" s="399" t="s">
        <v>289</v>
      </c>
      <c r="F3" s="399" t="s">
        <v>218</v>
      </c>
      <c r="G3" s="399" t="s">
        <v>288</v>
      </c>
      <c r="H3" s="398" t="s">
        <v>287</v>
      </c>
      <c r="I3" s="401"/>
      <c r="J3" s="400" t="s">
        <v>230</v>
      </c>
      <c r="K3" s="399" t="s">
        <v>286</v>
      </c>
      <c r="L3" s="399" t="s">
        <v>285</v>
      </c>
      <c r="M3" s="399" t="s">
        <v>284</v>
      </c>
      <c r="N3" s="398" t="s">
        <v>283</v>
      </c>
      <c r="O3" s="397"/>
      <c r="P3" s="370"/>
      <c r="Q3" s="351"/>
      <c r="R3" s="351"/>
      <c r="S3" s="351"/>
      <c r="T3" s="351"/>
      <c r="U3" s="351"/>
      <c r="V3" s="351"/>
      <c r="W3" s="351"/>
      <c r="X3" s="351"/>
      <c r="Y3" s="351"/>
      <c r="Z3" s="351"/>
      <c r="AA3" s="351"/>
      <c r="AB3" s="351"/>
      <c r="AC3" s="351"/>
      <c r="AD3" s="351"/>
    </row>
    <row r="4" spans="1:30" x14ac:dyDescent="0.2">
      <c r="A4" s="351"/>
      <c r="B4" s="380"/>
      <c r="C4" s="396" t="s">
        <v>189</v>
      </c>
      <c r="D4" s="391" t="str">
        <f t="shared" ref="D4:D21" si="0">Currency&amp;$D$2&amp;$C4&amp;"D="</f>
        <v>USD-OND=</v>
      </c>
      <c r="E4" s="395" t="s">
        <v>213</v>
      </c>
      <c r="F4" s="420" t="s">
        <v>213</v>
      </c>
      <c r="G4" s="394" t="b">
        <f t="shared" ref="G4:G21" si="1">IF(AND(ISNUMBER($F4),$F4&lt;&gt;0%),TRUE,FALSE)</f>
        <v>0</v>
      </c>
      <c r="H4" s="393" t="e">
        <f>IF($G4,_xll.qlIndexAddFixings($J4,$E4,$F4/100,TRUE,ISERROR($K4)),NA())</f>
        <v>#N/A</v>
      </c>
      <c r="I4" s="375"/>
      <c r="J4" s="392" t="str">
        <f t="shared" ref="J4:J21" si="2">PROPER(Currency)&amp;$J$2&amp;$C4</f>
        <v>Usd-ON</v>
      </c>
      <c r="K4" s="391" t="e">
        <f>_xll.qlIndexFixing($J4,$E4,TRUE,$G4)</f>
        <v>#NUM!</v>
      </c>
      <c r="L4" s="391" t="e">
        <f>IF($H4,_xll.qlIndexFixing($J4,$E4,FALSE,$G4),"-")</f>
        <v>#N/A</v>
      </c>
      <c r="M4" s="391" t="e">
        <f t="shared" ref="M4:M21" si="3">K4-L4</f>
        <v>#NUM!</v>
      </c>
      <c r="N4" s="390" t="e">
        <f>_xll.qlIndexFixing($J4,$E4,TRUE,$L4)</f>
        <v>#NUM!</v>
      </c>
      <c r="O4" s="389">
        <f>IF(ISERROR(M4),0,ABS(M4))</f>
        <v>0</v>
      </c>
      <c r="P4" s="370"/>
      <c r="Q4" s="351"/>
      <c r="R4" s="351"/>
      <c r="S4" s="351"/>
      <c r="T4" s="351"/>
      <c r="U4" s="351"/>
      <c r="V4" s="351"/>
      <c r="W4" s="351"/>
      <c r="X4" s="351"/>
      <c r="Y4" s="351"/>
      <c r="Z4" s="351"/>
      <c r="AA4" s="351"/>
      <c r="AB4" s="351"/>
      <c r="AC4" s="351"/>
      <c r="AD4" s="351"/>
    </row>
    <row r="5" spans="1:30" x14ac:dyDescent="0.2">
      <c r="A5" s="351"/>
      <c r="B5" s="380"/>
      <c r="C5" s="388" t="s">
        <v>220</v>
      </c>
      <c r="D5" s="383" t="str">
        <f t="shared" si="0"/>
        <v>USD-TND=</v>
      </c>
      <c r="E5" s="387" t="s">
        <v>213</v>
      </c>
      <c r="F5" s="419" t="s">
        <v>213</v>
      </c>
      <c r="G5" s="386" t="b">
        <f t="shared" si="1"/>
        <v>0</v>
      </c>
      <c r="H5" s="385" t="e">
        <f>IF($G5,_xll.qlIndexAddFixings($J5,$E5,$F5/100,TRUE,ISERROR($K5)),NA())</f>
        <v>#N/A</v>
      </c>
      <c r="I5" s="375"/>
      <c r="J5" s="384" t="str">
        <f t="shared" si="2"/>
        <v>Usd-TN</v>
      </c>
      <c r="K5" s="383" t="e">
        <f>_xll.qlIndexFixing($J5,$E5,TRUE,$G5)</f>
        <v>#NUM!</v>
      </c>
      <c r="L5" s="383" t="e">
        <f>IF($H5,_xll.qlIndexFixing($J5,$E5,FALSE,$G5),"-")</f>
        <v>#N/A</v>
      </c>
      <c r="M5" s="383" t="e">
        <f t="shared" si="3"/>
        <v>#NUM!</v>
      </c>
      <c r="N5" s="382" t="e">
        <f>_xll.qlIndexFixing($J5,$E5,TRUE,$L5)</f>
        <v>#NUM!</v>
      </c>
      <c r="O5" s="381"/>
      <c r="P5" s="370"/>
      <c r="Q5" s="351"/>
      <c r="R5" s="351"/>
      <c r="S5" s="351"/>
      <c r="T5" s="351"/>
      <c r="U5" s="351"/>
      <c r="V5" s="351"/>
      <c r="W5" s="351"/>
      <c r="X5" s="351"/>
      <c r="Y5" s="351"/>
      <c r="Z5" s="351"/>
      <c r="AA5" s="351"/>
      <c r="AB5" s="351"/>
      <c r="AC5" s="351"/>
      <c r="AD5" s="351"/>
    </row>
    <row r="6" spans="1:30" x14ac:dyDescent="0.2">
      <c r="A6" s="351"/>
      <c r="B6" s="380"/>
      <c r="C6" s="388" t="s">
        <v>217</v>
      </c>
      <c r="D6" s="383" t="str">
        <f t="shared" si="0"/>
        <v>USD-SND=</v>
      </c>
      <c r="E6" s="387" t="s">
        <v>213</v>
      </c>
      <c r="F6" s="419" t="s">
        <v>213</v>
      </c>
      <c r="G6" s="386" t="b">
        <f t="shared" si="1"/>
        <v>0</v>
      </c>
      <c r="H6" s="385" t="e">
        <f>IF($G6,_xll.qlIndexAddFixings($J6,$E6,$F6/100,TRUE,ISERROR($K6)),NA())</f>
        <v>#N/A</v>
      </c>
      <c r="I6" s="375"/>
      <c r="J6" s="384" t="str">
        <f t="shared" si="2"/>
        <v>Usd-SN</v>
      </c>
      <c r="K6" s="383" t="e">
        <f>_xll.qlIndexFixing($J6,$E6,TRUE,$G6)</f>
        <v>#NUM!</v>
      </c>
      <c r="L6" s="383" t="e">
        <f>IF($H6,_xll.qlIndexFixing($J6,$E6,FALSE,$G6),"-")</f>
        <v>#N/A</v>
      </c>
      <c r="M6" s="383" t="e">
        <f t="shared" si="3"/>
        <v>#NUM!</v>
      </c>
      <c r="N6" s="382" t="e">
        <f>_xll.qlIndexFixing($J6,$E6,TRUE,$L6)</f>
        <v>#NUM!</v>
      </c>
      <c r="O6" s="381"/>
      <c r="P6" s="370"/>
      <c r="Q6" s="351"/>
      <c r="R6" s="351"/>
      <c r="S6" s="351"/>
      <c r="T6" s="351"/>
      <c r="U6" s="351"/>
      <c r="V6" s="351"/>
      <c r="W6" s="351"/>
      <c r="X6" s="351"/>
      <c r="Y6" s="351"/>
      <c r="Z6" s="351"/>
      <c r="AA6" s="351"/>
      <c r="AB6" s="351"/>
      <c r="AC6" s="351"/>
      <c r="AD6" s="351"/>
    </row>
    <row r="7" spans="1:30" x14ac:dyDescent="0.2">
      <c r="A7" s="351"/>
      <c r="B7" s="380"/>
      <c r="C7" s="388" t="s">
        <v>22</v>
      </c>
      <c r="D7" s="383" t="str">
        <f t="shared" si="0"/>
        <v>USD-SWD=</v>
      </c>
      <c r="E7" s="387" t="s">
        <v>213</v>
      </c>
      <c r="F7" s="386" t="s">
        <v>213</v>
      </c>
      <c r="G7" s="386" t="b">
        <f t="shared" si="1"/>
        <v>0</v>
      </c>
      <c r="H7" s="385" t="e">
        <f>IF($G7,_xll.qlIndexAddFixings($J7,$E7,$F7/100,TRUE,ISERROR($K7)),NA())</f>
        <v>#N/A</v>
      </c>
      <c r="I7" s="375"/>
      <c r="J7" s="384" t="str">
        <f t="shared" si="2"/>
        <v>Usd-SW</v>
      </c>
      <c r="K7" s="383" t="e">
        <f>_xll.qlIndexFixing($J7,$E7,TRUE,$G7)</f>
        <v>#NUM!</v>
      </c>
      <c r="L7" s="383" t="e">
        <f>IF($H7,_xll.qlIndexFixing($J7,$E7,FALSE,$G7),"-")</f>
        <v>#N/A</v>
      </c>
      <c r="M7" s="383" t="e">
        <f t="shared" si="3"/>
        <v>#NUM!</v>
      </c>
      <c r="N7" s="382" t="e">
        <f>_xll.qlIndexFixing($J7,$E7,TRUE,$L7)</f>
        <v>#NUM!</v>
      </c>
      <c r="O7" s="381">
        <f t="shared" ref="O7:O21" si="4">IF(ISERROR(M7),0,ABS(M7))</f>
        <v>0</v>
      </c>
      <c r="P7" s="370"/>
      <c r="Q7" s="351"/>
      <c r="R7" s="351"/>
      <c r="S7" s="351"/>
      <c r="T7" s="351"/>
      <c r="U7" s="351"/>
      <c r="V7" s="351"/>
      <c r="W7" s="351"/>
      <c r="X7" s="351"/>
      <c r="Y7" s="351"/>
      <c r="Z7" s="351"/>
      <c r="AA7" s="351"/>
      <c r="AB7" s="351"/>
      <c r="AC7" s="351"/>
      <c r="AD7" s="351"/>
    </row>
    <row r="8" spans="1:30" x14ac:dyDescent="0.2">
      <c r="A8" s="351"/>
      <c r="B8" s="380"/>
      <c r="C8" s="388" t="s">
        <v>21</v>
      </c>
      <c r="D8" s="383" t="str">
        <f t="shared" si="0"/>
        <v>USD-2WD=</v>
      </c>
      <c r="E8" s="387" t="s">
        <v>213</v>
      </c>
      <c r="F8" s="386" t="s">
        <v>213</v>
      </c>
      <c r="G8" s="386" t="b">
        <f t="shared" si="1"/>
        <v>0</v>
      </c>
      <c r="H8" s="385" t="e">
        <f>IF($G8,_xll.qlIndexAddFixings($J8,$E8,$F8/100,TRUE,ISERROR($K8)),NA())</f>
        <v>#N/A</v>
      </c>
      <c r="I8" s="375"/>
      <c r="J8" s="384" t="str">
        <f t="shared" si="2"/>
        <v>Usd-2W</v>
      </c>
      <c r="K8" s="383" t="e">
        <f>_xll.qlIndexFixing($J8,$E8,TRUE,$G8)</f>
        <v>#NUM!</v>
      </c>
      <c r="L8" s="383" t="e">
        <f>IF($H8,_xll.qlIndexFixing($J8,$E8,FALSE,$G8),"-")</f>
        <v>#N/A</v>
      </c>
      <c r="M8" s="383" t="e">
        <f t="shared" si="3"/>
        <v>#NUM!</v>
      </c>
      <c r="N8" s="382" t="e">
        <f>_xll.qlIndexFixing($J8,$E8,TRUE,$L8)</f>
        <v>#NUM!</v>
      </c>
      <c r="O8" s="381">
        <f t="shared" si="4"/>
        <v>0</v>
      </c>
      <c r="P8" s="370"/>
      <c r="Q8" s="351"/>
      <c r="R8" s="351"/>
      <c r="S8" s="351"/>
      <c r="T8" s="351"/>
      <c r="U8" s="351"/>
      <c r="V8" s="351"/>
      <c r="W8" s="351"/>
      <c r="X8" s="351"/>
      <c r="Y8" s="351"/>
      <c r="Z8" s="351"/>
      <c r="AA8" s="351"/>
      <c r="AB8" s="351"/>
      <c r="AC8" s="351"/>
      <c r="AD8" s="351"/>
    </row>
    <row r="9" spans="1:30" x14ac:dyDescent="0.2">
      <c r="A9" s="351"/>
      <c r="B9" s="380"/>
      <c r="C9" s="388" t="s">
        <v>20</v>
      </c>
      <c r="D9" s="383" t="str">
        <f t="shared" si="0"/>
        <v>USD-3WD=</v>
      </c>
      <c r="E9" s="387" t="s">
        <v>213</v>
      </c>
      <c r="F9" s="386" t="s">
        <v>213</v>
      </c>
      <c r="G9" s="386" t="b">
        <f t="shared" si="1"/>
        <v>0</v>
      </c>
      <c r="H9" s="385" t="e">
        <f>IF($G9,_xll.qlIndexAddFixings($J9,$E9,$F9/100,TRUE,ISERROR($K9)),NA())</f>
        <v>#N/A</v>
      </c>
      <c r="I9" s="375"/>
      <c r="J9" s="384" t="str">
        <f t="shared" si="2"/>
        <v>Usd-3W</v>
      </c>
      <c r="K9" s="383" t="e">
        <f>_xll.qlIndexFixing($J9,$E9,TRUE,$G9)</f>
        <v>#NUM!</v>
      </c>
      <c r="L9" s="383" t="e">
        <f>IF($H9,_xll.qlIndexFixing($J9,$E9,FALSE,$G9),"-")</f>
        <v>#N/A</v>
      </c>
      <c r="M9" s="383" t="e">
        <f t="shared" si="3"/>
        <v>#NUM!</v>
      </c>
      <c r="N9" s="382" t="e">
        <f>_xll.qlIndexFixing($J9,$E9,TRUE,$L9)</f>
        <v>#NUM!</v>
      </c>
      <c r="O9" s="381">
        <f t="shared" si="4"/>
        <v>0</v>
      </c>
      <c r="P9" s="370"/>
      <c r="Q9" s="351"/>
      <c r="R9" s="351"/>
      <c r="S9" s="351"/>
      <c r="T9" s="351"/>
      <c r="U9" s="351"/>
      <c r="V9" s="351"/>
      <c r="W9" s="351"/>
      <c r="X9" s="351"/>
      <c r="Y9" s="351"/>
      <c r="Z9" s="351"/>
      <c r="AA9" s="351"/>
      <c r="AB9" s="351"/>
      <c r="AC9" s="351"/>
      <c r="AD9" s="351"/>
    </row>
    <row r="10" spans="1:30" x14ac:dyDescent="0.2">
      <c r="A10" s="351"/>
      <c r="B10" s="380"/>
      <c r="C10" s="388" t="s">
        <v>19</v>
      </c>
      <c r="D10" s="383" t="str">
        <f t="shared" si="0"/>
        <v>USD-1MD=</v>
      </c>
      <c r="E10" s="387" t="s">
        <v>213</v>
      </c>
      <c r="F10" s="386" t="s">
        <v>213</v>
      </c>
      <c r="G10" s="386" t="b">
        <f t="shared" si="1"/>
        <v>0</v>
      </c>
      <c r="H10" s="385" t="e">
        <f>IF($G10,_xll.qlIndexAddFixings($J10,$E10,$F10/100,TRUE,ISERROR($K10)),NA())</f>
        <v>#N/A</v>
      </c>
      <c r="I10" s="375"/>
      <c r="J10" s="384" t="str">
        <f t="shared" si="2"/>
        <v>Usd-1M</v>
      </c>
      <c r="K10" s="383" t="e">
        <f>_xll.qlIndexFixing($J10,$E10,TRUE,$G10)</f>
        <v>#NUM!</v>
      </c>
      <c r="L10" s="383" t="e">
        <f>IF($H10,_xll.qlIndexFixing($J10,$E10,FALSE,$G10),"-")</f>
        <v>#N/A</v>
      </c>
      <c r="M10" s="383" t="e">
        <f t="shared" si="3"/>
        <v>#NUM!</v>
      </c>
      <c r="N10" s="382" t="e">
        <f>_xll.qlIndexFixing($J10,$E10,TRUE,$L10)</f>
        <v>#NUM!</v>
      </c>
      <c r="O10" s="381">
        <f t="shared" si="4"/>
        <v>0</v>
      </c>
      <c r="P10" s="370"/>
      <c r="Q10" s="351"/>
      <c r="R10" s="351"/>
      <c r="S10" s="351"/>
      <c r="T10" s="351"/>
      <c r="U10" s="351"/>
      <c r="V10" s="351"/>
      <c r="W10" s="351"/>
      <c r="X10" s="351"/>
      <c r="Y10" s="351"/>
      <c r="Z10" s="351"/>
      <c r="AA10" s="351"/>
      <c r="AB10" s="351"/>
      <c r="AC10" s="351"/>
      <c r="AD10" s="351"/>
    </row>
    <row r="11" spans="1:30" x14ac:dyDescent="0.2">
      <c r="A11" s="351"/>
      <c r="B11" s="380"/>
      <c r="C11" s="388" t="s">
        <v>18</v>
      </c>
      <c r="D11" s="383" t="str">
        <f t="shared" si="0"/>
        <v>USD-2MD=</v>
      </c>
      <c r="E11" s="387" t="s">
        <v>213</v>
      </c>
      <c r="F11" s="386" t="s">
        <v>213</v>
      </c>
      <c r="G11" s="386" t="b">
        <f t="shared" si="1"/>
        <v>0</v>
      </c>
      <c r="H11" s="385" t="e">
        <f>IF($G11,_xll.qlIndexAddFixings($J11,$E11,$F11/100,TRUE,ISERROR($K11)),NA())</f>
        <v>#N/A</v>
      </c>
      <c r="I11" s="375"/>
      <c r="J11" s="384" t="str">
        <f t="shared" si="2"/>
        <v>Usd-2M</v>
      </c>
      <c r="K11" s="383" t="e">
        <f>_xll.qlIndexFixing($J11,$E11,TRUE,$G11)</f>
        <v>#NUM!</v>
      </c>
      <c r="L11" s="383" t="e">
        <f>IF($H11,_xll.qlIndexFixing($J11,$E11,FALSE,$G11),"-")</f>
        <v>#N/A</v>
      </c>
      <c r="M11" s="383" t="e">
        <f t="shared" si="3"/>
        <v>#NUM!</v>
      </c>
      <c r="N11" s="382" t="e">
        <f>_xll.qlIndexFixing($J11,$E11,TRUE,$L11)</f>
        <v>#NUM!</v>
      </c>
      <c r="O11" s="381">
        <f t="shared" si="4"/>
        <v>0</v>
      </c>
      <c r="P11" s="370"/>
      <c r="Q11" s="351"/>
      <c r="R11" s="351"/>
      <c r="S11" s="351"/>
      <c r="T11" s="351"/>
      <c r="U11" s="351"/>
      <c r="V11" s="351"/>
      <c r="W11" s="351"/>
      <c r="X11" s="351"/>
      <c r="Y11" s="351"/>
      <c r="Z11" s="351"/>
      <c r="AA11" s="351"/>
      <c r="AB11" s="351"/>
      <c r="AC11" s="351"/>
      <c r="AD11" s="351"/>
    </row>
    <row r="12" spans="1:30" x14ac:dyDescent="0.2">
      <c r="A12" s="351"/>
      <c r="B12" s="380"/>
      <c r="C12" s="388" t="s">
        <v>17</v>
      </c>
      <c r="D12" s="383" t="str">
        <f t="shared" si="0"/>
        <v>USD-3MD=</v>
      </c>
      <c r="E12" s="387" t="s">
        <v>213</v>
      </c>
      <c r="F12" s="386" t="s">
        <v>213</v>
      </c>
      <c r="G12" s="386" t="b">
        <f t="shared" si="1"/>
        <v>0</v>
      </c>
      <c r="H12" s="385" t="e">
        <f>IF($G12,_xll.qlIndexAddFixings($J12,$E12,$F12/100,TRUE,ISERROR($K12)),NA())</f>
        <v>#N/A</v>
      </c>
      <c r="I12" s="375"/>
      <c r="J12" s="384" t="str">
        <f t="shared" si="2"/>
        <v>Usd-3M</v>
      </c>
      <c r="K12" s="383" t="e">
        <f>_xll.qlIndexFixing($J12,$E12,TRUE,$G12)</f>
        <v>#NUM!</v>
      </c>
      <c r="L12" s="383" t="e">
        <f>IF($H12,_xll.qlIndexFixing($J12,$E12,FALSE,$G12),"-")</f>
        <v>#N/A</v>
      </c>
      <c r="M12" s="383" t="e">
        <f t="shared" si="3"/>
        <v>#NUM!</v>
      </c>
      <c r="N12" s="382" t="e">
        <f>_xll.qlIndexFixing($J12,$E12,TRUE,$L12)</f>
        <v>#NUM!</v>
      </c>
      <c r="O12" s="381">
        <f t="shared" si="4"/>
        <v>0</v>
      </c>
      <c r="P12" s="370"/>
      <c r="Q12" s="351"/>
      <c r="R12" s="351"/>
      <c r="S12" s="351"/>
      <c r="T12" s="351"/>
      <c r="U12" s="351"/>
      <c r="V12" s="351"/>
      <c r="W12" s="351"/>
      <c r="X12" s="351"/>
      <c r="Y12" s="351"/>
      <c r="Z12" s="351"/>
      <c r="AA12" s="351"/>
      <c r="AB12" s="351"/>
      <c r="AC12" s="351"/>
      <c r="AD12" s="351"/>
    </row>
    <row r="13" spans="1:30" x14ac:dyDescent="0.2">
      <c r="A13" s="351"/>
      <c r="B13" s="380"/>
      <c r="C13" s="388" t="s">
        <v>16</v>
      </c>
      <c r="D13" s="383" t="str">
        <f t="shared" si="0"/>
        <v>USD-4MD=</v>
      </c>
      <c r="E13" s="387" t="s">
        <v>213</v>
      </c>
      <c r="F13" s="386" t="s">
        <v>213</v>
      </c>
      <c r="G13" s="386" t="b">
        <f t="shared" si="1"/>
        <v>0</v>
      </c>
      <c r="H13" s="385" t="e">
        <f>IF($G13,_xll.qlIndexAddFixings($J13,$E13,$F13/100,TRUE,ISERROR($K13)),NA())</f>
        <v>#N/A</v>
      </c>
      <c r="I13" s="375"/>
      <c r="J13" s="384" t="str">
        <f t="shared" si="2"/>
        <v>Usd-4M</v>
      </c>
      <c r="K13" s="383" t="e">
        <f>_xll.qlIndexFixing($J13,$E13,TRUE,$G13)</f>
        <v>#NUM!</v>
      </c>
      <c r="L13" s="383" t="e">
        <f>IF($H13,_xll.qlIndexFixing($J13,$E13,FALSE,$G13),"-")</f>
        <v>#N/A</v>
      </c>
      <c r="M13" s="383" t="e">
        <f t="shared" si="3"/>
        <v>#NUM!</v>
      </c>
      <c r="N13" s="382" t="e">
        <f>_xll.qlIndexFixing($J13,$E13,TRUE,$L13)</f>
        <v>#NUM!</v>
      </c>
      <c r="O13" s="381">
        <f t="shared" si="4"/>
        <v>0</v>
      </c>
      <c r="P13" s="370"/>
      <c r="Q13" s="351"/>
      <c r="R13" s="351"/>
      <c r="S13" s="351"/>
      <c r="T13" s="351"/>
      <c r="U13" s="351"/>
      <c r="V13" s="351"/>
      <c r="W13" s="351"/>
      <c r="X13" s="351"/>
      <c r="Y13" s="351"/>
      <c r="Z13" s="351"/>
      <c r="AA13" s="351"/>
      <c r="AB13" s="351"/>
      <c r="AC13" s="351"/>
      <c r="AD13" s="351"/>
    </row>
    <row r="14" spans="1:30" x14ac:dyDescent="0.2">
      <c r="A14" s="351"/>
      <c r="B14" s="380"/>
      <c r="C14" s="388" t="s">
        <v>15</v>
      </c>
      <c r="D14" s="383" t="str">
        <f t="shared" si="0"/>
        <v>USD-5MD=</v>
      </c>
      <c r="E14" s="387" t="s">
        <v>213</v>
      </c>
      <c r="F14" s="386" t="s">
        <v>213</v>
      </c>
      <c r="G14" s="386" t="b">
        <f t="shared" si="1"/>
        <v>0</v>
      </c>
      <c r="H14" s="385" t="e">
        <f>IF($G14,_xll.qlIndexAddFixings($J14,$E14,$F14/100,TRUE,ISERROR($K14)),NA())</f>
        <v>#N/A</v>
      </c>
      <c r="I14" s="375"/>
      <c r="J14" s="384" t="str">
        <f t="shared" si="2"/>
        <v>Usd-5M</v>
      </c>
      <c r="K14" s="383" t="e">
        <f>_xll.qlIndexFixing($J14,$E14,TRUE,$G14)</f>
        <v>#NUM!</v>
      </c>
      <c r="L14" s="383" t="e">
        <f>IF($H14,_xll.qlIndexFixing($J14,$E14,FALSE,$G14),"-")</f>
        <v>#N/A</v>
      </c>
      <c r="M14" s="383" t="e">
        <f t="shared" si="3"/>
        <v>#NUM!</v>
      </c>
      <c r="N14" s="382" t="e">
        <f>_xll.qlIndexFixing($J14,$E14,TRUE,$L14)</f>
        <v>#NUM!</v>
      </c>
      <c r="O14" s="381">
        <f t="shared" si="4"/>
        <v>0</v>
      </c>
      <c r="P14" s="370"/>
      <c r="Q14" s="351"/>
      <c r="R14" s="351"/>
      <c r="S14" s="351"/>
      <c r="T14" s="351"/>
      <c r="U14" s="351"/>
      <c r="V14" s="351"/>
      <c r="W14" s="351"/>
      <c r="X14" s="351"/>
      <c r="Y14" s="351"/>
      <c r="Z14" s="351"/>
      <c r="AA14" s="351"/>
      <c r="AB14" s="351"/>
      <c r="AC14" s="351"/>
      <c r="AD14" s="351"/>
    </row>
    <row r="15" spans="1:30" x14ac:dyDescent="0.2">
      <c r="A15" s="351"/>
      <c r="B15" s="380"/>
      <c r="C15" s="388" t="s">
        <v>14</v>
      </c>
      <c r="D15" s="383" t="str">
        <f t="shared" si="0"/>
        <v>USD-6MD=</v>
      </c>
      <c r="E15" s="387" t="s">
        <v>213</v>
      </c>
      <c r="F15" s="386" t="s">
        <v>213</v>
      </c>
      <c r="G15" s="386" t="b">
        <f t="shared" si="1"/>
        <v>0</v>
      </c>
      <c r="H15" s="385" t="e">
        <f>IF($G15,_xll.qlIndexAddFixings($J15,$E15,$F15/100,TRUE,ISERROR($K15)),NA())</f>
        <v>#N/A</v>
      </c>
      <c r="I15" s="375"/>
      <c r="J15" s="384" t="str">
        <f t="shared" si="2"/>
        <v>Usd-6M</v>
      </c>
      <c r="K15" s="383" t="e">
        <f>_xll.qlIndexFixing($J15,$E15,TRUE,$G15)</f>
        <v>#NUM!</v>
      </c>
      <c r="L15" s="383" t="e">
        <f>IF($H15,_xll.qlIndexFixing($J15,$E15,FALSE,$G15),"-")</f>
        <v>#N/A</v>
      </c>
      <c r="M15" s="383" t="e">
        <f t="shared" si="3"/>
        <v>#NUM!</v>
      </c>
      <c r="N15" s="382" t="e">
        <f>_xll.qlIndexFixing($J15,$E15,TRUE,$L15)</f>
        <v>#NUM!</v>
      </c>
      <c r="O15" s="381">
        <f t="shared" si="4"/>
        <v>0</v>
      </c>
      <c r="P15" s="370"/>
      <c r="Q15" s="351"/>
      <c r="R15" s="351"/>
      <c r="S15" s="351"/>
      <c r="T15" s="351"/>
      <c r="U15" s="351"/>
      <c r="V15" s="351"/>
      <c r="W15" s="351"/>
      <c r="X15" s="351"/>
      <c r="Y15" s="351"/>
      <c r="Z15" s="351"/>
      <c r="AA15" s="351"/>
      <c r="AB15" s="351"/>
      <c r="AC15" s="351"/>
      <c r="AD15" s="351"/>
    </row>
    <row r="16" spans="1:30" x14ac:dyDescent="0.2">
      <c r="A16" s="351"/>
      <c r="B16" s="380"/>
      <c r="C16" s="388" t="s">
        <v>13</v>
      </c>
      <c r="D16" s="383" t="str">
        <f t="shared" si="0"/>
        <v>USD-7MD=</v>
      </c>
      <c r="E16" s="387" t="s">
        <v>213</v>
      </c>
      <c r="F16" s="386" t="s">
        <v>213</v>
      </c>
      <c r="G16" s="386" t="b">
        <f t="shared" si="1"/>
        <v>0</v>
      </c>
      <c r="H16" s="385" t="e">
        <f>IF($G16,_xll.qlIndexAddFixings($J16,$E16,$F16/100,TRUE,ISERROR($K16)),NA())</f>
        <v>#N/A</v>
      </c>
      <c r="I16" s="375"/>
      <c r="J16" s="384" t="str">
        <f t="shared" si="2"/>
        <v>Usd-7M</v>
      </c>
      <c r="K16" s="383" t="e">
        <f>_xll.qlIndexFixing($J16,$E16,TRUE,$G16)</f>
        <v>#NUM!</v>
      </c>
      <c r="L16" s="383" t="e">
        <f>IF($H16,_xll.qlIndexFixing($J16,$E16,FALSE,$G16),"-")</f>
        <v>#N/A</v>
      </c>
      <c r="M16" s="383" t="e">
        <f t="shared" si="3"/>
        <v>#NUM!</v>
      </c>
      <c r="N16" s="382" t="e">
        <f>_xll.qlIndexFixing($J16,$E16,TRUE,$L16)</f>
        <v>#NUM!</v>
      </c>
      <c r="O16" s="381">
        <f t="shared" si="4"/>
        <v>0</v>
      </c>
      <c r="P16" s="370"/>
      <c r="Q16" s="351"/>
      <c r="R16" s="351"/>
      <c r="S16" s="351"/>
      <c r="T16" s="351"/>
      <c r="U16" s="351"/>
      <c r="V16" s="351"/>
      <c r="W16" s="351"/>
      <c r="X16" s="351"/>
      <c r="Y16" s="351"/>
      <c r="Z16" s="351"/>
      <c r="AA16" s="351"/>
      <c r="AB16" s="351"/>
      <c r="AC16" s="351"/>
      <c r="AD16" s="351"/>
    </row>
    <row r="17" spans="1:30" x14ac:dyDescent="0.2">
      <c r="A17" s="351"/>
      <c r="B17" s="380"/>
      <c r="C17" s="388" t="s">
        <v>12</v>
      </c>
      <c r="D17" s="383" t="str">
        <f t="shared" si="0"/>
        <v>USD-8MD=</v>
      </c>
      <c r="E17" s="387" t="s">
        <v>213</v>
      </c>
      <c r="F17" s="386" t="s">
        <v>213</v>
      </c>
      <c r="G17" s="386" t="b">
        <f t="shared" si="1"/>
        <v>0</v>
      </c>
      <c r="H17" s="385" t="e">
        <f>IF($G17,_xll.qlIndexAddFixings($J17,$E17,$F17/100,TRUE,ISERROR($K17)),NA())</f>
        <v>#N/A</v>
      </c>
      <c r="I17" s="375"/>
      <c r="J17" s="384" t="str">
        <f t="shared" si="2"/>
        <v>Usd-8M</v>
      </c>
      <c r="K17" s="383" t="e">
        <f>_xll.qlIndexFixing($J17,$E17,TRUE,$G17)</f>
        <v>#NUM!</v>
      </c>
      <c r="L17" s="383" t="e">
        <f>IF($H17,_xll.qlIndexFixing($J17,$E17,FALSE,$G17),"-")</f>
        <v>#N/A</v>
      </c>
      <c r="M17" s="383" t="e">
        <f t="shared" si="3"/>
        <v>#NUM!</v>
      </c>
      <c r="N17" s="382" t="e">
        <f>_xll.qlIndexFixing($J17,$E17,TRUE,$L17)</f>
        <v>#NUM!</v>
      </c>
      <c r="O17" s="381">
        <f t="shared" si="4"/>
        <v>0</v>
      </c>
      <c r="P17" s="370"/>
      <c r="Q17" s="351"/>
      <c r="R17" s="351"/>
      <c r="S17" s="351"/>
      <c r="T17" s="351"/>
      <c r="U17" s="351"/>
      <c r="V17" s="351"/>
      <c r="W17" s="351"/>
      <c r="X17" s="351"/>
      <c r="Y17" s="351"/>
      <c r="Z17" s="351"/>
      <c r="AA17" s="351"/>
      <c r="AB17" s="351"/>
      <c r="AC17" s="351"/>
      <c r="AD17" s="351"/>
    </row>
    <row r="18" spans="1:30" x14ac:dyDescent="0.2">
      <c r="A18" s="351"/>
      <c r="B18" s="380"/>
      <c r="C18" s="388" t="s">
        <v>11</v>
      </c>
      <c r="D18" s="383" t="str">
        <f t="shared" si="0"/>
        <v>USD-9MD=</v>
      </c>
      <c r="E18" s="387" t="s">
        <v>213</v>
      </c>
      <c r="F18" s="386" t="s">
        <v>213</v>
      </c>
      <c r="G18" s="386" t="b">
        <f t="shared" si="1"/>
        <v>0</v>
      </c>
      <c r="H18" s="385" t="e">
        <f>IF($G18,_xll.qlIndexAddFixings($J18,$E18,$F18/100,TRUE,ISERROR($K18)),NA())</f>
        <v>#N/A</v>
      </c>
      <c r="I18" s="375"/>
      <c r="J18" s="384" t="str">
        <f t="shared" si="2"/>
        <v>Usd-9M</v>
      </c>
      <c r="K18" s="383" t="e">
        <f>_xll.qlIndexFixing($J18,$E18,TRUE,$G18)</f>
        <v>#NUM!</v>
      </c>
      <c r="L18" s="383" t="e">
        <f>IF($H18,_xll.qlIndexFixing($J18,$E18,FALSE,$G18),"-")</f>
        <v>#N/A</v>
      </c>
      <c r="M18" s="383" t="e">
        <f t="shared" si="3"/>
        <v>#NUM!</v>
      </c>
      <c r="N18" s="382" t="e">
        <f>_xll.qlIndexFixing($J18,$E18,TRUE,$L18)</f>
        <v>#NUM!</v>
      </c>
      <c r="O18" s="381">
        <f t="shared" si="4"/>
        <v>0</v>
      </c>
      <c r="P18" s="370"/>
      <c r="Q18" s="351"/>
      <c r="R18" s="351"/>
      <c r="S18" s="351"/>
      <c r="T18" s="351"/>
      <c r="U18" s="351"/>
      <c r="V18" s="351"/>
      <c r="W18" s="351"/>
      <c r="X18" s="351"/>
      <c r="Y18" s="351"/>
      <c r="Z18" s="351"/>
      <c r="AA18" s="351"/>
      <c r="AB18" s="351"/>
      <c r="AC18" s="351"/>
      <c r="AD18" s="351"/>
    </row>
    <row r="19" spans="1:30" x14ac:dyDescent="0.2">
      <c r="A19" s="351"/>
      <c r="B19" s="380"/>
      <c r="C19" s="388" t="s">
        <v>10</v>
      </c>
      <c r="D19" s="383" t="str">
        <f t="shared" si="0"/>
        <v>USD-10MD=</v>
      </c>
      <c r="E19" s="387" t="s">
        <v>213</v>
      </c>
      <c r="F19" s="386" t="s">
        <v>213</v>
      </c>
      <c r="G19" s="386" t="b">
        <f t="shared" si="1"/>
        <v>0</v>
      </c>
      <c r="H19" s="385" t="e">
        <f>IF($G19,_xll.qlIndexAddFixings($J19,$E19,$F19/100,TRUE,ISERROR($K19)),NA())</f>
        <v>#N/A</v>
      </c>
      <c r="I19" s="375"/>
      <c r="J19" s="384" t="str">
        <f t="shared" si="2"/>
        <v>Usd-10M</v>
      </c>
      <c r="K19" s="383" t="e">
        <f>_xll.qlIndexFixing($J19,$E19,TRUE,$G19)</f>
        <v>#NUM!</v>
      </c>
      <c r="L19" s="383" t="e">
        <f>IF($H19,_xll.qlIndexFixing($J19,$E19,FALSE,$G19),"-")</f>
        <v>#N/A</v>
      </c>
      <c r="M19" s="383" t="e">
        <f t="shared" si="3"/>
        <v>#NUM!</v>
      </c>
      <c r="N19" s="382" t="e">
        <f>_xll.qlIndexFixing($J19,$E19,TRUE,$L19)</f>
        <v>#NUM!</v>
      </c>
      <c r="O19" s="381">
        <f t="shared" si="4"/>
        <v>0</v>
      </c>
      <c r="P19" s="370"/>
      <c r="Q19" s="351"/>
      <c r="R19" s="351"/>
      <c r="S19" s="351"/>
      <c r="T19" s="351"/>
      <c r="U19" s="351"/>
      <c r="V19" s="351"/>
      <c r="W19" s="351"/>
      <c r="X19" s="351"/>
      <c r="Y19" s="351"/>
      <c r="Z19" s="351"/>
      <c r="AA19" s="351"/>
      <c r="AB19" s="351"/>
      <c r="AC19" s="351"/>
      <c r="AD19" s="351"/>
    </row>
    <row r="20" spans="1:30" x14ac:dyDescent="0.2">
      <c r="A20" s="351"/>
      <c r="B20" s="380"/>
      <c r="C20" s="388" t="s">
        <v>9</v>
      </c>
      <c r="D20" s="383" t="str">
        <f t="shared" si="0"/>
        <v>USD-11MD=</v>
      </c>
      <c r="E20" s="387" t="s">
        <v>213</v>
      </c>
      <c r="F20" s="386" t="s">
        <v>213</v>
      </c>
      <c r="G20" s="386" t="b">
        <f t="shared" si="1"/>
        <v>0</v>
      </c>
      <c r="H20" s="385" t="e">
        <f>IF($G20,_xll.qlIndexAddFixings($J20,$E20,$F20/100,TRUE,ISERROR($K20)),NA())</f>
        <v>#N/A</v>
      </c>
      <c r="I20" s="375"/>
      <c r="J20" s="384" t="str">
        <f t="shared" si="2"/>
        <v>Usd-11M</v>
      </c>
      <c r="K20" s="383" t="e">
        <f>_xll.qlIndexFixing($J20,$E20,TRUE,$G20)</f>
        <v>#NUM!</v>
      </c>
      <c r="L20" s="383" t="e">
        <f>IF($H20,_xll.qlIndexFixing($J20,$E20,FALSE,$G20),"-")</f>
        <v>#N/A</v>
      </c>
      <c r="M20" s="383" t="e">
        <f t="shared" si="3"/>
        <v>#NUM!</v>
      </c>
      <c r="N20" s="382" t="e">
        <f>_xll.qlIndexFixing($J20,$E20,TRUE,$L20)</f>
        <v>#NUM!</v>
      </c>
      <c r="O20" s="381">
        <f t="shared" si="4"/>
        <v>0</v>
      </c>
      <c r="P20" s="370"/>
      <c r="Q20" s="351"/>
      <c r="R20" s="351"/>
      <c r="S20" s="351"/>
      <c r="T20" s="351"/>
      <c r="U20" s="351"/>
      <c r="V20" s="351"/>
      <c r="W20" s="351"/>
      <c r="X20" s="351"/>
      <c r="Y20" s="351"/>
      <c r="Z20" s="351"/>
      <c r="AA20" s="351"/>
      <c r="AB20" s="351"/>
      <c r="AC20" s="351"/>
      <c r="AD20" s="351"/>
    </row>
    <row r="21" spans="1:30" x14ac:dyDescent="0.2">
      <c r="A21" s="351"/>
      <c r="B21" s="380"/>
      <c r="C21" s="379" t="s">
        <v>8</v>
      </c>
      <c r="D21" s="373" t="str">
        <f t="shared" si="0"/>
        <v>USD-1YD=</v>
      </c>
      <c r="E21" s="378" t="s">
        <v>213</v>
      </c>
      <c r="F21" s="377" t="s">
        <v>213</v>
      </c>
      <c r="G21" s="377" t="b">
        <f t="shared" si="1"/>
        <v>0</v>
      </c>
      <c r="H21" s="376" t="e">
        <f>IF($G21,_xll.qlIndexAddFixings($J21,$E21,$F21/100,TRUE,ISERROR($K21)),NA())</f>
        <v>#N/A</v>
      </c>
      <c r="I21" s="375"/>
      <c r="J21" s="374" t="str">
        <f t="shared" si="2"/>
        <v>Usd-1Y</v>
      </c>
      <c r="K21" s="373" t="e">
        <f>_xll.qlIndexFixing($J21,$E21,TRUE,$G21)</f>
        <v>#NUM!</v>
      </c>
      <c r="L21" s="373" t="e">
        <f>IF($H21,_xll.qlIndexFixing($J21,$E21,FALSE,$G21),"-")</f>
        <v>#N/A</v>
      </c>
      <c r="M21" s="373" t="e">
        <f t="shared" si="3"/>
        <v>#NUM!</v>
      </c>
      <c r="N21" s="372" t="e">
        <f>_xll.qlIndexFixing($J21,$E21,TRUE,$L21)</f>
        <v>#NUM!</v>
      </c>
      <c r="O21" s="371">
        <f t="shared" si="4"/>
        <v>0</v>
      </c>
      <c r="P21" s="370"/>
      <c r="Q21" s="351"/>
      <c r="R21" s="351"/>
      <c r="S21" s="351"/>
      <c r="T21" s="351"/>
      <c r="U21" s="351"/>
      <c r="V21" s="351"/>
      <c r="W21" s="351"/>
      <c r="X21" s="351"/>
      <c r="Y21" s="351"/>
      <c r="Z21" s="351"/>
      <c r="AA21" s="351"/>
      <c r="AB21" s="351"/>
      <c r="AC21" s="351"/>
      <c r="AD21" s="351"/>
    </row>
    <row r="22" spans="1:30" ht="12" thickBot="1" x14ac:dyDescent="0.25">
      <c r="A22" s="351"/>
      <c r="B22" s="369"/>
      <c r="C22" s="366"/>
      <c r="D22" s="366"/>
      <c r="E22" s="368"/>
      <c r="F22" s="367"/>
      <c r="G22" s="367"/>
      <c r="H22" s="366"/>
      <c r="I22" s="366"/>
      <c r="J22" s="366"/>
      <c r="K22" s="366"/>
      <c r="L22" s="366"/>
      <c r="M22" s="366"/>
      <c r="N22" s="366"/>
      <c r="O22" s="366"/>
      <c r="P22" s="365"/>
      <c r="Q22" s="351"/>
      <c r="R22" s="351"/>
      <c r="S22" s="351"/>
      <c r="T22" s="351"/>
      <c r="U22" s="351"/>
      <c r="V22" s="351"/>
      <c r="W22" s="351"/>
      <c r="X22" s="351"/>
      <c r="Y22" s="351"/>
      <c r="Z22" s="351"/>
      <c r="AA22" s="351"/>
      <c r="AB22" s="351"/>
      <c r="AC22" s="351"/>
      <c r="AD22" s="351"/>
    </row>
    <row r="23" spans="1:30" ht="12" thickBot="1" x14ac:dyDescent="0.25">
      <c r="A23" s="351"/>
      <c r="B23" s="351"/>
      <c r="C23" s="351"/>
      <c r="D23" s="351"/>
      <c r="E23" s="364"/>
      <c r="F23" s="363"/>
      <c r="G23" s="363"/>
      <c r="H23" s="351"/>
      <c r="I23" s="351"/>
      <c r="J23" s="351"/>
      <c r="K23" s="351"/>
      <c r="L23" s="351"/>
      <c r="M23" s="351"/>
      <c r="N23" s="351"/>
      <c r="O23" s="351"/>
      <c r="P23" s="351"/>
      <c r="Q23" s="351"/>
      <c r="R23" s="351"/>
      <c r="S23" s="351"/>
      <c r="T23" s="351"/>
      <c r="U23" s="351"/>
      <c r="V23" s="351"/>
      <c r="W23" s="351"/>
      <c r="X23" s="351"/>
      <c r="Y23" s="351"/>
      <c r="Z23" s="351"/>
      <c r="AA23" s="351"/>
      <c r="AB23" s="351"/>
      <c r="AC23" s="351"/>
      <c r="AD23" s="351"/>
    </row>
    <row r="24" spans="1:30" s="351" customFormat="1" x14ac:dyDescent="0.2">
      <c r="C24" s="362" t="s">
        <v>105</v>
      </c>
      <c r="D24" s="361" t="s">
        <v>298</v>
      </c>
      <c r="E24" s="360" t="s">
        <v>298</v>
      </c>
      <c r="F24" s="359"/>
    </row>
    <row r="25" spans="1:30" s="351" customFormat="1" x14ac:dyDescent="0.2">
      <c r="C25" s="357" t="s">
        <v>104</v>
      </c>
      <c r="D25" s="356" t="s">
        <v>305</v>
      </c>
      <c r="E25" s="355" t="s">
        <v>304</v>
      </c>
      <c r="J25" s="358"/>
    </row>
    <row r="26" spans="1:30" s="351" customFormat="1" x14ac:dyDescent="0.2">
      <c r="C26" s="357" t="s">
        <v>282</v>
      </c>
      <c r="D26" s="356" t="s">
        <v>298</v>
      </c>
      <c r="E26" s="355" t="s">
        <v>298</v>
      </c>
      <c r="J26" s="358"/>
    </row>
    <row r="27" spans="1:30" s="351" customFormat="1" x14ac:dyDescent="0.2">
      <c r="C27" s="357" t="s">
        <v>281</v>
      </c>
      <c r="D27" s="356" t="s">
        <v>298</v>
      </c>
      <c r="E27" s="355" t="s">
        <v>298</v>
      </c>
      <c r="J27" s="358"/>
    </row>
    <row r="28" spans="1:30" s="351" customFormat="1" x14ac:dyDescent="0.2">
      <c r="C28" s="357" t="s">
        <v>101</v>
      </c>
      <c r="D28" s="356" t="s">
        <v>298</v>
      </c>
      <c r="E28" s="355" t="s">
        <v>298</v>
      </c>
    </row>
    <row r="29" spans="1:30" s="351" customFormat="1" x14ac:dyDescent="0.2">
      <c r="C29" s="357" t="s">
        <v>100</v>
      </c>
      <c r="D29" s="356" t="s">
        <v>298</v>
      </c>
      <c r="E29" s="355" t="s">
        <v>298</v>
      </c>
    </row>
    <row r="30" spans="1:30" s="351" customFormat="1" ht="12" thickBot="1" x14ac:dyDescent="0.25">
      <c r="C30" s="354" t="s">
        <v>95</v>
      </c>
      <c r="D30" s="353" t="s">
        <v>298</v>
      </c>
      <c r="E30" s="352" t="s">
        <v>298</v>
      </c>
    </row>
    <row r="31" spans="1:30" s="351" customFormat="1" x14ac:dyDescent="0.2"/>
    <row r="32" spans="1:30" s="351" customFormat="1" x14ac:dyDescent="0.2"/>
    <row r="33" s="351" customFormat="1" x14ac:dyDescent="0.2"/>
    <row r="34" s="351" customFormat="1" x14ac:dyDescent="0.2"/>
    <row r="35" s="351" customFormat="1" x14ac:dyDescent="0.2"/>
    <row r="36" s="351" customFormat="1" x14ac:dyDescent="0.2"/>
    <row r="37" s="351" customFormat="1" x14ac:dyDescent="0.2"/>
    <row r="38" s="351" customFormat="1" x14ac:dyDescent="0.2"/>
    <row r="39" s="351" customFormat="1" x14ac:dyDescent="0.2"/>
    <row r="40" s="351" customFormat="1" x14ac:dyDescent="0.2"/>
    <row r="41" s="351" customFormat="1" x14ac:dyDescent="0.2"/>
  </sheetData>
  <conditionalFormatting sqref="M4:M21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AD41"/>
  <sheetViews>
    <sheetView workbookViewId="0">
      <selection activeCell="H9" sqref="H9"/>
    </sheetView>
  </sheetViews>
  <sheetFormatPr defaultRowHeight="11.25" x14ac:dyDescent="0.2"/>
  <cols>
    <col min="1" max="2" width="2.7109375" style="350" customWidth="1"/>
    <col min="3" max="3" width="5.7109375" style="350" bestFit="1" customWidth="1"/>
    <col min="4" max="4" width="12.140625" style="350" bestFit="1" customWidth="1"/>
    <col min="5" max="5" width="12.85546875" style="350" customWidth="1"/>
    <col min="6" max="6" width="7.42578125" style="350" customWidth="1"/>
    <col min="7" max="7" width="6" style="350" bestFit="1" customWidth="1"/>
    <col min="8" max="8" width="5.5703125" style="350" bestFit="1" customWidth="1"/>
    <col min="9" max="9" width="2.7109375" style="350" customWidth="1"/>
    <col min="10" max="10" width="9.5703125" style="350" bestFit="1" customWidth="1"/>
    <col min="11" max="11" width="11.42578125" style="350" bestFit="1" customWidth="1"/>
    <col min="12" max="12" width="8.7109375" style="350" bestFit="1" customWidth="1"/>
    <col min="13" max="13" width="7.7109375" style="350" bestFit="1" customWidth="1"/>
    <col min="14" max="14" width="10" style="350" bestFit="1" customWidth="1"/>
    <col min="15" max="15" width="7.140625" style="350" hidden="1" customWidth="1"/>
    <col min="16" max="17" width="2.7109375" style="350" customWidth="1"/>
    <col min="18" max="18" width="12.85546875" style="350" bestFit="1" customWidth="1"/>
    <col min="19" max="19" width="7.140625" style="350" bestFit="1" customWidth="1"/>
    <col min="20" max="20" width="6" style="350" bestFit="1" customWidth="1"/>
    <col min="21" max="16384" width="9.140625" style="350"/>
  </cols>
  <sheetData>
    <row r="1" spans="1:30" ht="12" thickBot="1" x14ac:dyDescent="0.25">
      <c r="A1" s="425" t="s">
        <v>307</v>
      </c>
      <c r="B1" s="351"/>
      <c r="C1" s="351"/>
      <c r="D1" s="356"/>
      <c r="E1" s="364"/>
      <c r="F1" s="410"/>
      <c r="G1" s="410"/>
      <c r="H1" s="351"/>
      <c r="I1" s="356"/>
      <c r="J1" s="351"/>
      <c r="K1" s="351"/>
      <c r="L1" s="351"/>
      <c r="M1" s="351"/>
      <c r="N1" s="351"/>
      <c r="O1" s="351"/>
      <c r="P1" s="351"/>
      <c r="Q1" s="351"/>
      <c r="R1" s="351"/>
      <c r="S1" s="351"/>
      <c r="T1" s="351"/>
      <c r="U1" s="351"/>
      <c r="V1" s="351"/>
      <c r="W1" s="351"/>
      <c r="X1" s="351"/>
      <c r="Y1" s="351"/>
      <c r="Z1" s="351"/>
      <c r="AA1" s="351"/>
      <c r="AB1" s="351"/>
      <c r="AC1" s="351"/>
      <c r="AD1" s="351"/>
    </row>
    <row r="2" spans="1:30" ht="22.5" customHeight="1" x14ac:dyDescent="0.4">
      <c r="A2" s="351"/>
      <c r="B2" s="409"/>
      <c r="C2" s="403"/>
      <c r="D2" s="408" t="str">
        <f>VLOOKUP(Currency,Traits,2,FALSE)</f>
        <v>-</v>
      </c>
      <c r="E2" s="407"/>
      <c r="F2" s="406"/>
      <c r="G2" s="406"/>
      <c r="H2" s="403"/>
      <c r="I2" s="403"/>
      <c r="J2" s="405" t="str">
        <f>VLOOKUP(Currency,Traits,3,FALSE)</f>
        <v>-</v>
      </c>
      <c r="K2" s="403"/>
      <c r="L2" s="403"/>
      <c r="M2" s="404">
        <f>MAX(O4:O21)</f>
        <v>0</v>
      </c>
      <c r="N2" s="403"/>
      <c r="O2" s="403"/>
      <c r="P2" s="402"/>
      <c r="Q2" s="351"/>
      <c r="R2" s="351" t="s">
        <v>115</v>
      </c>
      <c r="S2" s="351"/>
      <c r="T2" s="351"/>
      <c r="U2" s="351"/>
      <c r="V2" s="351"/>
      <c r="W2" s="351"/>
      <c r="X2" s="351"/>
      <c r="Y2" s="351"/>
      <c r="Z2" s="351"/>
      <c r="AA2" s="351"/>
      <c r="AB2" s="351"/>
      <c r="AC2" s="351"/>
      <c r="AD2" s="351"/>
    </row>
    <row r="3" spans="1:30" ht="22.5" x14ac:dyDescent="0.2">
      <c r="A3" s="351"/>
      <c r="B3" s="380"/>
      <c r="C3" s="400" t="s">
        <v>23</v>
      </c>
      <c r="D3" s="399" t="str">
        <f>_xll.RData(D4:D21,E3:F3,"RTFEED:IDN",,,E4)</f>
        <v>Updated at 16:43:51</v>
      </c>
      <c r="E3" s="399" t="s">
        <v>289</v>
      </c>
      <c r="F3" s="399" t="s">
        <v>218</v>
      </c>
      <c r="G3" s="399" t="s">
        <v>288</v>
      </c>
      <c r="H3" s="398" t="s">
        <v>287</v>
      </c>
      <c r="I3" s="401"/>
      <c r="J3" s="400" t="s">
        <v>230</v>
      </c>
      <c r="K3" s="399" t="s">
        <v>286</v>
      </c>
      <c r="L3" s="399" t="s">
        <v>285</v>
      </c>
      <c r="M3" s="399" t="s">
        <v>284</v>
      </c>
      <c r="N3" s="398" t="s">
        <v>283</v>
      </c>
      <c r="O3" s="397"/>
      <c r="P3" s="370"/>
      <c r="Q3" s="351"/>
      <c r="R3" s="351"/>
      <c r="S3" s="351"/>
      <c r="T3" s="351"/>
      <c r="U3" s="351"/>
      <c r="V3" s="351"/>
      <c r="W3" s="351"/>
      <c r="X3" s="351"/>
      <c r="Y3" s="351"/>
      <c r="Z3" s="351"/>
      <c r="AA3" s="351"/>
      <c r="AB3" s="351"/>
      <c r="AC3" s="351"/>
      <c r="AD3" s="351"/>
    </row>
    <row r="4" spans="1:30" ht="15" x14ac:dyDescent="0.25">
      <c r="A4" s="351"/>
      <c r="B4" s="380"/>
      <c r="C4" s="396" t="s">
        <v>189</v>
      </c>
      <c r="D4" s="391" t="str">
        <f t="shared" ref="D4:D21" si="0">Currency&amp;$D$2&amp;$C4&amp;"D="</f>
        <v>USD-OND=</v>
      </c>
      <c r="E4" s="395" t="s">
        <v>213</v>
      </c>
      <c r="F4" s="420" t="s">
        <v>213</v>
      </c>
      <c r="G4" s="394" t="b">
        <f t="shared" ref="G4:G21" si="1">IF(AND(ISNUMBER($F4),$F4&lt;&gt;0%),TRUE,FALSE)</f>
        <v>0</v>
      </c>
      <c r="H4" s="393" t="e">
        <f>IF($G4,_xll.qlIndexAddFixings($J4,$E4,$F4/100,TRUE,ISERROR($K4)),NA())</f>
        <v>#N/A</v>
      </c>
      <c r="I4" s="375"/>
      <c r="J4" s="392" t="str">
        <f t="shared" ref="J4:J21" si="2">PROPER(Currency)&amp;$J$2&amp;$C4</f>
        <v>Usd-ON</v>
      </c>
      <c r="K4" s="391" t="e">
        <f>_xll.qlIndexFixing($J4,$E4,TRUE,$G4)</f>
        <v>#NUM!</v>
      </c>
      <c r="L4" s="391" t="e">
        <f>IF($H4,_xll.qlIndexFixing($J4,$E4,FALSE,$G4),"-")</f>
        <v>#N/A</v>
      </c>
      <c r="M4" s="391" t="e">
        <f t="shared" ref="M4:M21" si="3">K4-L4</f>
        <v>#NUM!</v>
      </c>
      <c r="N4" s="390" t="e">
        <f>_xll.qlIndexFixing($J4,$E4,TRUE,$L4)</f>
        <v>#NUM!</v>
      </c>
      <c r="O4" s="389">
        <f>IF(ISERROR(M4),0,ABS(M4))</f>
        <v>0</v>
      </c>
      <c r="P4" s="370"/>
      <c r="Q4" s="351"/>
      <c r="R4" s="351" t="str">
        <f>Currency&amp;$C4&amp;"D"&amp;$R$2</f>
        <v>USDOND_Quote</v>
      </c>
      <c r="S4" s="422">
        <f>_xll.qlQuoteValue(R4,ISERROR(H4))</f>
        <v>1.5000000000000002E-3</v>
      </c>
      <c r="T4" s="421" t="e">
        <f>IF(E4=EvaluationDate,S4-F4/100,NA())</f>
        <v>#N/A</v>
      </c>
      <c r="U4" s="351"/>
      <c r="V4" s="351"/>
      <c r="W4" s="351"/>
      <c r="X4" s="351"/>
      <c r="Y4" s="351"/>
      <c r="Z4" s="351"/>
      <c r="AA4" s="351"/>
      <c r="AB4" s="351"/>
      <c r="AC4" s="351"/>
      <c r="AD4" s="351"/>
    </row>
    <row r="5" spans="1:30" ht="15" x14ac:dyDescent="0.25">
      <c r="A5" s="351"/>
      <c r="B5" s="380"/>
      <c r="C5" s="388" t="s">
        <v>220</v>
      </c>
      <c r="D5" s="383" t="str">
        <f t="shared" si="0"/>
        <v>USD-TND=</v>
      </c>
      <c r="E5" s="387" t="s">
        <v>213</v>
      </c>
      <c r="F5" s="419" t="s">
        <v>213</v>
      </c>
      <c r="G5" s="386" t="b">
        <f t="shared" si="1"/>
        <v>0</v>
      </c>
      <c r="H5" s="385" t="e">
        <f>IF($G5,_xll.qlIndexAddFixings($J5,$E5,$F5/100,TRUE,ISERROR($K5)),NA())</f>
        <v>#N/A</v>
      </c>
      <c r="I5" s="375"/>
      <c r="J5" s="384" t="str">
        <f t="shared" si="2"/>
        <v>Usd-TN</v>
      </c>
      <c r="K5" s="383" t="e">
        <f>_xll.qlIndexFixing($J5,$E5,TRUE,$G5)</f>
        <v>#NUM!</v>
      </c>
      <c r="L5" s="383" t="e">
        <f>IF($H5,_xll.qlIndexFixing($J5,$E5,FALSE,$G5),"-")</f>
        <v>#N/A</v>
      </c>
      <c r="M5" s="383" t="e">
        <f t="shared" si="3"/>
        <v>#NUM!</v>
      </c>
      <c r="N5" s="382" t="e">
        <f>_xll.qlIndexFixing($J5,$E5,TRUE,$L5)</f>
        <v>#NUM!</v>
      </c>
      <c r="O5" s="381"/>
      <c r="P5" s="370"/>
      <c r="Q5" s="351"/>
      <c r="R5" s="351"/>
      <c r="S5" s="422"/>
      <c r="T5" s="421"/>
      <c r="U5" s="351"/>
      <c r="V5" s="351"/>
      <c r="W5" s="351"/>
      <c r="X5" s="351"/>
      <c r="Y5" s="351"/>
      <c r="Z5" s="351"/>
      <c r="AA5" s="351"/>
      <c r="AB5" s="351"/>
      <c r="AC5" s="351"/>
      <c r="AD5" s="351"/>
    </row>
    <row r="6" spans="1:30" ht="15" x14ac:dyDescent="0.25">
      <c r="A6" s="351"/>
      <c r="B6" s="380"/>
      <c r="C6" s="388" t="s">
        <v>217</v>
      </c>
      <c r="D6" s="383" t="str">
        <f t="shared" si="0"/>
        <v>USD-SND=</v>
      </c>
      <c r="E6" s="387" t="s">
        <v>213</v>
      </c>
      <c r="F6" s="419" t="s">
        <v>213</v>
      </c>
      <c r="G6" s="386" t="b">
        <f t="shared" si="1"/>
        <v>0</v>
      </c>
      <c r="H6" s="385" t="e">
        <f>IF($G6,_xll.qlIndexAddFixings($J6,$E6,$F6/100,TRUE,ISERROR($K6)),NA())</f>
        <v>#N/A</v>
      </c>
      <c r="I6" s="375"/>
      <c r="J6" s="384" t="str">
        <f t="shared" si="2"/>
        <v>Usd-SN</v>
      </c>
      <c r="K6" s="383" t="e">
        <f>_xll.qlIndexFixing($J6,$E6,TRUE,$G6)</f>
        <v>#NUM!</v>
      </c>
      <c r="L6" s="383" t="e">
        <f>IF($H6,_xll.qlIndexFixing($J6,$E6,FALSE,$G6),"-")</f>
        <v>#N/A</v>
      </c>
      <c r="M6" s="383" t="e">
        <f t="shared" si="3"/>
        <v>#NUM!</v>
      </c>
      <c r="N6" s="382" t="e">
        <f>_xll.qlIndexFixing($J6,$E6,TRUE,$L6)</f>
        <v>#NUM!</v>
      </c>
      <c r="O6" s="381"/>
      <c r="P6" s="370"/>
      <c r="Q6" s="351"/>
      <c r="R6" s="351"/>
      <c r="S6" s="422"/>
      <c r="T6" s="421"/>
      <c r="U6" s="351"/>
      <c r="V6" s="351"/>
      <c r="W6" s="351"/>
      <c r="X6" s="351"/>
      <c r="Y6" s="351"/>
      <c r="Z6" s="351"/>
      <c r="AA6" s="351"/>
      <c r="AB6" s="351"/>
      <c r="AC6" s="351"/>
      <c r="AD6" s="351"/>
    </row>
    <row r="7" spans="1:30" ht="15" x14ac:dyDescent="0.25">
      <c r="A7" s="351"/>
      <c r="B7" s="380"/>
      <c r="C7" s="388" t="s">
        <v>22</v>
      </c>
      <c r="D7" s="383" t="str">
        <f t="shared" si="0"/>
        <v>USD-SWD=</v>
      </c>
      <c r="E7" s="387" t="s">
        <v>213</v>
      </c>
      <c r="F7" s="386" t="s">
        <v>213</v>
      </c>
      <c r="G7" s="386" t="b">
        <f t="shared" si="1"/>
        <v>0</v>
      </c>
      <c r="H7" s="385" t="e">
        <f>IF($G7,_xll.qlIndexAddFixings($J7,$E7,$F7/100,TRUE,ISERROR($K7)),NA())</f>
        <v>#N/A</v>
      </c>
      <c r="I7" s="375"/>
      <c r="J7" s="384" t="str">
        <f t="shared" si="2"/>
        <v>Usd-SW</v>
      </c>
      <c r="K7" s="383" t="e">
        <f>_xll.qlIndexFixing($J7,$E7,TRUE,$G7)</f>
        <v>#NUM!</v>
      </c>
      <c r="L7" s="383" t="e">
        <f>IF($H7,_xll.qlIndexFixing($J7,$E7,FALSE,$G7),"-")</f>
        <v>#N/A</v>
      </c>
      <c r="M7" s="383" t="e">
        <f t="shared" si="3"/>
        <v>#NUM!</v>
      </c>
      <c r="N7" s="382" t="e">
        <f>_xll.qlIndexFixing($J7,$E7,TRUE,$L7)</f>
        <v>#NUM!</v>
      </c>
      <c r="O7" s="381">
        <f t="shared" ref="O7:O21" si="4">IF(ISERROR(M7),0,ABS(M7))</f>
        <v>0</v>
      </c>
      <c r="P7" s="370"/>
      <c r="Q7" s="351"/>
      <c r="R7" s="351" t="str">
        <f t="shared" ref="R7:R21" si="5">Currency&amp;$C7&amp;"D"&amp;$R$2</f>
        <v>USDSWD_Quote</v>
      </c>
      <c r="S7" s="422">
        <f>_xll.qlQuoteValue(R7,ISERROR(H7))</f>
        <v>1.1949999999999999E-3</v>
      </c>
      <c r="T7" s="421" t="e">
        <f t="shared" ref="T7:T21" si="6">IF(E7=EvaluationDate,S7-F7/100,NA())</f>
        <v>#N/A</v>
      </c>
      <c r="U7" s="351"/>
      <c r="V7" s="351"/>
      <c r="W7" s="351"/>
      <c r="X7" s="351"/>
      <c r="Y7" s="351"/>
      <c r="Z7" s="351"/>
      <c r="AA7" s="351"/>
      <c r="AB7" s="351"/>
      <c r="AC7" s="351"/>
      <c r="AD7" s="351"/>
    </row>
    <row r="8" spans="1:30" ht="15" x14ac:dyDescent="0.25">
      <c r="A8" s="351"/>
      <c r="B8" s="380"/>
      <c r="C8" s="388" t="s">
        <v>21</v>
      </c>
      <c r="D8" s="383" t="str">
        <f t="shared" si="0"/>
        <v>USD-2WD=</v>
      </c>
      <c r="E8" s="387" t="s">
        <v>213</v>
      </c>
      <c r="F8" s="386" t="s">
        <v>213</v>
      </c>
      <c r="G8" s="386" t="b">
        <f t="shared" si="1"/>
        <v>0</v>
      </c>
      <c r="H8" s="385" t="e">
        <f>IF($G8,_xll.qlIndexAddFixings($J8,$E8,$F8/100,TRUE,ISERROR($K8)),NA())</f>
        <v>#N/A</v>
      </c>
      <c r="I8" s="375"/>
      <c r="J8" s="384" t="str">
        <f t="shared" si="2"/>
        <v>Usd-2W</v>
      </c>
      <c r="K8" s="383" t="e">
        <f>_xll.qlIndexFixing($J8,$E8,TRUE,$G8)</f>
        <v>#NUM!</v>
      </c>
      <c r="L8" s="383" t="e">
        <f>IF($H8,_xll.qlIndexFixing($J8,$E8,FALSE,$G8),"-")</f>
        <v>#N/A</v>
      </c>
      <c r="M8" s="383" t="e">
        <f t="shared" si="3"/>
        <v>#NUM!</v>
      </c>
      <c r="N8" s="382" t="e">
        <f>_xll.qlIndexFixing($J8,$E8,TRUE,$L8)</f>
        <v>#NUM!</v>
      </c>
      <c r="O8" s="381">
        <f t="shared" si="4"/>
        <v>0</v>
      </c>
      <c r="P8" s="370"/>
      <c r="Q8" s="351"/>
      <c r="R8" s="351" t="str">
        <f t="shared" si="5"/>
        <v>USD2WD_Quote</v>
      </c>
      <c r="S8" s="422">
        <f>_xll.qlQuoteValue(R8,ISERROR(H8))</f>
        <v>0</v>
      </c>
      <c r="T8" s="421" t="e">
        <f t="shared" si="6"/>
        <v>#N/A</v>
      </c>
      <c r="U8" s="351"/>
      <c r="V8" s="351"/>
      <c r="W8" s="351"/>
      <c r="X8" s="351"/>
      <c r="Y8" s="351"/>
      <c r="Z8" s="351"/>
      <c r="AA8" s="351"/>
      <c r="AB8" s="351"/>
      <c r="AC8" s="351"/>
      <c r="AD8" s="351"/>
    </row>
    <row r="9" spans="1:30" ht="15" x14ac:dyDescent="0.25">
      <c r="A9" s="351"/>
      <c r="B9" s="380"/>
      <c r="C9" s="388" t="s">
        <v>20</v>
      </c>
      <c r="D9" s="383" t="str">
        <f t="shared" si="0"/>
        <v>USD-3WD=</v>
      </c>
      <c r="E9" s="387" t="s">
        <v>213</v>
      </c>
      <c r="F9" s="386" t="s">
        <v>213</v>
      </c>
      <c r="G9" s="386" t="b">
        <f t="shared" si="1"/>
        <v>0</v>
      </c>
      <c r="H9" s="385" t="e">
        <f>IF($G9,_xll.qlIndexAddFixings($J9,$E9,$F9/100,TRUE,ISERROR($K9)),NA())</f>
        <v>#N/A</v>
      </c>
      <c r="I9" s="375"/>
      <c r="J9" s="384" t="str">
        <f t="shared" si="2"/>
        <v>Usd-3W</v>
      </c>
      <c r="K9" s="383" t="e">
        <f>_xll.qlIndexFixing($J9,$E9,TRUE,$G9)</f>
        <v>#NUM!</v>
      </c>
      <c r="L9" s="383" t="e">
        <f>IF($H9,_xll.qlIndexFixing($J9,$E9,FALSE,$G9),"-")</f>
        <v>#N/A</v>
      </c>
      <c r="M9" s="383" t="e">
        <f t="shared" si="3"/>
        <v>#NUM!</v>
      </c>
      <c r="N9" s="382" t="e">
        <f>_xll.qlIndexFixing($J9,$E9,TRUE,$L9)</f>
        <v>#NUM!</v>
      </c>
      <c r="O9" s="381">
        <f t="shared" si="4"/>
        <v>0</v>
      </c>
      <c r="P9" s="370"/>
      <c r="Q9" s="351"/>
      <c r="R9" s="351" t="str">
        <f t="shared" si="5"/>
        <v>USD3WD_Quote</v>
      </c>
      <c r="S9" s="422" t="e">
        <f>_xll.qlQuoteValue(R9,ISERROR(H9))</f>
        <v>#NUM!</v>
      </c>
      <c r="T9" s="421" t="e">
        <f t="shared" si="6"/>
        <v>#N/A</v>
      </c>
      <c r="U9" s="351"/>
      <c r="V9" s="351"/>
      <c r="W9" s="351"/>
      <c r="X9" s="351"/>
      <c r="Y9" s="351"/>
      <c r="Z9" s="351"/>
      <c r="AA9" s="351"/>
      <c r="AB9" s="351"/>
      <c r="AC9" s="351"/>
      <c r="AD9" s="351"/>
    </row>
    <row r="10" spans="1:30" ht="15" x14ac:dyDescent="0.25">
      <c r="A10" s="351"/>
      <c r="B10" s="380"/>
      <c r="C10" s="388" t="s">
        <v>19</v>
      </c>
      <c r="D10" s="383" t="str">
        <f t="shared" si="0"/>
        <v>USD-1MD=</v>
      </c>
      <c r="E10" s="387" t="s">
        <v>213</v>
      </c>
      <c r="F10" s="386" t="s">
        <v>213</v>
      </c>
      <c r="G10" s="386" t="b">
        <f t="shared" si="1"/>
        <v>0</v>
      </c>
      <c r="H10" s="385" t="e">
        <f>IF($G10,_xll.qlIndexAddFixings($J10,$E10,$F10/100,TRUE,ISERROR($K10)),NA())</f>
        <v>#N/A</v>
      </c>
      <c r="I10" s="375"/>
      <c r="J10" s="384" t="str">
        <f t="shared" si="2"/>
        <v>Usd-1M</v>
      </c>
      <c r="K10" s="383" t="e">
        <f>_xll.qlIndexFixing($J10,$E10,TRUE,$G10)</f>
        <v>#NUM!</v>
      </c>
      <c r="L10" s="383" t="e">
        <f>IF($H10,_xll.qlIndexFixing($J10,$E10,FALSE,$G10),"-")</f>
        <v>#N/A</v>
      </c>
      <c r="M10" s="383" t="e">
        <f t="shared" si="3"/>
        <v>#NUM!</v>
      </c>
      <c r="N10" s="382" t="e">
        <f>_xll.qlIndexFixing($J10,$E10,TRUE,$L10)</f>
        <v>#NUM!</v>
      </c>
      <c r="O10" s="381">
        <f t="shared" si="4"/>
        <v>0</v>
      </c>
      <c r="P10" s="370"/>
      <c r="Q10" s="351"/>
      <c r="R10" s="351" t="str">
        <f t="shared" si="5"/>
        <v>USD1MD_Quote</v>
      </c>
      <c r="S10" s="422">
        <f>_xll.qlQuoteValue(R10,ISERROR(H10))</f>
        <v>1.5149999999999999E-3</v>
      </c>
      <c r="T10" s="421" t="e">
        <f t="shared" si="6"/>
        <v>#N/A</v>
      </c>
      <c r="U10" s="351"/>
      <c r="V10" s="351"/>
      <c r="W10" s="351"/>
      <c r="X10" s="351"/>
      <c r="Y10" s="351"/>
      <c r="Z10" s="351"/>
      <c r="AA10" s="351"/>
      <c r="AB10" s="351"/>
      <c r="AC10" s="351"/>
      <c r="AD10" s="351"/>
    </row>
    <row r="11" spans="1:30" ht="15" x14ac:dyDescent="0.25">
      <c r="A11" s="351"/>
      <c r="B11" s="380"/>
      <c r="C11" s="388" t="s">
        <v>18</v>
      </c>
      <c r="D11" s="383" t="str">
        <f t="shared" si="0"/>
        <v>USD-2MD=</v>
      </c>
      <c r="E11" s="387" t="s">
        <v>213</v>
      </c>
      <c r="F11" s="386" t="s">
        <v>213</v>
      </c>
      <c r="G11" s="386" t="b">
        <f t="shared" si="1"/>
        <v>0</v>
      </c>
      <c r="H11" s="385" t="e">
        <f>IF($G11,_xll.qlIndexAddFixings($J11,$E11,$F11/100,TRUE,ISERROR($K11)),NA())</f>
        <v>#N/A</v>
      </c>
      <c r="I11" s="375"/>
      <c r="J11" s="384" t="str">
        <f t="shared" si="2"/>
        <v>Usd-2M</v>
      </c>
      <c r="K11" s="383" t="e">
        <f>_xll.qlIndexFixing($J11,$E11,TRUE,$G11)</f>
        <v>#NUM!</v>
      </c>
      <c r="L11" s="383" t="e">
        <f>IF($H11,_xll.qlIndexFixing($J11,$E11,FALSE,$G11),"-")</f>
        <v>#N/A</v>
      </c>
      <c r="M11" s="383" t="e">
        <f t="shared" si="3"/>
        <v>#NUM!</v>
      </c>
      <c r="N11" s="382" t="e">
        <f>_xll.qlIndexFixing($J11,$E11,TRUE,$L11)</f>
        <v>#NUM!</v>
      </c>
      <c r="O11" s="381">
        <f t="shared" si="4"/>
        <v>0</v>
      </c>
      <c r="P11" s="370"/>
      <c r="Q11" s="351"/>
      <c r="R11" s="351" t="str">
        <f t="shared" si="5"/>
        <v>USD2MD_Quote</v>
      </c>
      <c r="S11" s="422">
        <f>_xll.qlQuoteValue(R11,ISERROR(H11))</f>
        <v>1.8975000000000001E-3</v>
      </c>
      <c r="T11" s="421" t="e">
        <f t="shared" si="6"/>
        <v>#N/A</v>
      </c>
      <c r="U11" s="351"/>
      <c r="V11" s="351"/>
      <c r="W11" s="351"/>
      <c r="X11" s="351"/>
      <c r="Y11" s="351"/>
      <c r="Z11" s="351"/>
      <c r="AA11" s="351"/>
      <c r="AB11" s="351"/>
      <c r="AC11" s="351"/>
      <c r="AD11" s="351"/>
    </row>
    <row r="12" spans="1:30" ht="15" x14ac:dyDescent="0.25">
      <c r="A12" s="351"/>
      <c r="B12" s="380"/>
      <c r="C12" s="388" t="s">
        <v>17</v>
      </c>
      <c r="D12" s="383" t="str">
        <f t="shared" si="0"/>
        <v>USD-3MD=</v>
      </c>
      <c r="E12" s="387" t="s">
        <v>213</v>
      </c>
      <c r="F12" s="386" t="s">
        <v>213</v>
      </c>
      <c r="G12" s="386" t="b">
        <f t="shared" si="1"/>
        <v>0</v>
      </c>
      <c r="H12" s="385" t="e">
        <f>IF($G12,_xll.qlIndexAddFixings($J12,$E12,$F12/100,TRUE,ISERROR($K12)),NA())</f>
        <v>#N/A</v>
      </c>
      <c r="I12" s="375"/>
      <c r="J12" s="384" t="str">
        <f t="shared" si="2"/>
        <v>Usd-3M</v>
      </c>
      <c r="K12" s="383" t="e">
        <f>_xll.qlIndexFixing($J12,$E12,TRUE,$G12)</f>
        <v>#NUM!</v>
      </c>
      <c r="L12" s="383" t="e">
        <f>IF($H12,_xll.qlIndexFixing($J12,$E12,FALSE,$G12),"-")</f>
        <v>#N/A</v>
      </c>
      <c r="M12" s="383" t="e">
        <f t="shared" si="3"/>
        <v>#NUM!</v>
      </c>
      <c r="N12" s="382" t="e">
        <f>_xll.qlIndexFixing($J12,$E12,TRUE,$L12)</f>
        <v>#NUM!</v>
      </c>
      <c r="O12" s="381">
        <f t="shared" si="4"/>
        <v>0</v>
      </c>
      <c r="P12" s="370"/>
      <c r="Q12" s="351"/>
      <c r="R12" s="351" t="str">
        <f t="shared" si="5"/>
        <v>USD3MD_Quote</v>
      </c>
      <c r="S12" s="422">
        <f>_xll.qlQuoteValue(R12,ISERROR(H12))</f>
        <v>2.2285E-3</v>
      </c>
      <c r="T12" s="421" t="e">
        <f t="shared" si="6"/>
        <v>#N/A</v>
      </c>
      <c r="U12" s="351"/>
      <c r="V12" s="351"/>
      <c r="W12" s="351"/>
      <c r="X12" s="351"/>
      <c r="Y12" s="351"/>
      <c r="Z12" s="351"/>
      <c r="AA12" s="351"/>
      <c r="AB12" s="351"/>
      <c r="AC12" s="351"/>
      <c r="AD12" s="351"/>
    </row>
    <row r="13" spans="1:30" ht="15" x14ac:dyDescent="0.25">
      <c r="A13" s="351"/>
      <c r="B13" s="380"/>
      <c r="C13" s="388" t="s">
        <v>16</v>
      </c>
      <c r="D13" s="383" t="str">
        <f t="shared" si="0"/>
        <v>USD-4MD=</v>
      </c>
      <c r="E13" s="387" t="s">
        <v>213</v>
      </c>
      <c r="F13" s="386" t="s">
        <v>213</v>
      </c>
      <c r="G13" s="386" t="b">
        <f t="shared" si="1"/>
        <v>0</v>
      </c>
      <c r="H13" s="385" t="e">
        <f>IF($G13,_xll.qlIndexAddFixings($J13,$E13,$F13/100,TRUE,ISERROR($K13)),NA())</f>
        <v>#N/A</v>
      </c>
      <c r="I13" s="375"/>
      <c r="J13" s="384" t="str">
        <f t="shared" si="2"/>
        <v>Usd-4M</v>
      </c>
      <c r="K13" s="383" t="e">
        <f>_xll.qlIndexFixing($J13,$E13,TRUE,$G13)</f>
        <v>#NUM!</v>
      </c>
      <c r="L13" s="383" t="e">
        <f>IF($H13,_xll.qlIndexFixing($J13,$E13,FALSE,$G13),"-")</f>
        <v>#N/A</v>
      </c>
      <c r="M13" s="383" t="e">
        <f t="shared" si="3"/>
        <v>#NUM!</v>
      </c>
      <c r="N13" s="382" t="e">
        <f>_xll.qlIndexFixing($J13,$E13,TRUE,$L13)</f>
        <v>#NUM!</v>
      </c>
      <c r="O13" s="381">
        <f t="shared" si="4"/>
        <v>0</v>
      </c>
      <c r="P13" s="370"/>
      <c r="Q13" s="351"/>
      <c r="R13" s="351" t="str">
        <f t="shared" si="5"/>
        <v>USD4MD_Quote</v>
      </c>
      <c r="S13" s="422">
        <f>_xll.qlQuoteValue(R13,ISERROR(H13))</f>
        <v>0</v>
      </c>
      <c r="T13" s="421" t="e">
        <f t="shared" si="6"/>
        <v>#N/A</v>
      </c>
      <c r="U13" s="351"/>
      <c r="V13" s="351"/>
      <c r="W13" s="351"/>
      <c r="X13" s="351"/>
      <c r="Y13" s="351"/>
      <c r="Z13" s="351"/>
      <c r="AA13" s="351"/>
      <c r="AB13" s="351"/>
      <c r="AC13" s="351"/>
      <c r="AD13" s="351"/>
    </row>
    <row r="14" spans="1:30" ht="15" x14ac:dyDescent="0.25">
      <c r="A14" s="351"/>
      <c r="B14" s="380"/>
      <c r="C14" s="388" t="s">
        <v>15</v>
      </c>
      <c r="D14" s="383" t="str">
        <f t="shared" si="0"/>
        <v>USD-5MD=</v>
      </c>
      <c r="E14" s="387" t="s">
        <v>213</v>
      </c>
      <c r="F14" s="386" t="s">
        <v>213</v>
      </c>
      <c r="G14" s="386" t="b">
        <f t="shared" si="1"/>
        <v>0</v>
      </c>
      <c r="H14" s="385" t="e">
        <f>IF($G14,_xll.qlIndexAddFixings($J14,$E14,$F14/100,TRUE,ISERROR($K14)),NA())</f>
        <v>#N/A</v>
      </c>
      <c r="I14" s="375"/>
      <c r="J14" s="384" t="str">
        <f t="shared" si="2"/>
        <v>Usd-5M</v>
      </c>
      <c r="K14" s="383" t="e">
        <f>_xll.qlIndexFixing($J14,$E14,TRUE,$G14)</f>
        <v>#NUM!</v>
      </c>
      <c r="L14" s="383" t="e">
        <f>IF($H14,_xll.qlIndexFixing($J14,$E14,FALSE,$G14),"-")</f>
        <v>#N/A</v>
      </c>
      <c r="M14" s="383" t="e">
        <f t="shared" si="3"/>
        <v>#NUM!</v>
      </c>
      <c r="N14" s="382" t="e">
        <f>_xll.qlIndexFixing($J14,$E14,TRUE,$L14)</f>
        <v>#NUM!</v>
      </c>
      <c r="O14" s="381">
        <f t="shared" si="4"/>
        <v>0</v>
      </c>
      <c r="P14" s="370"/>
      <c r="Q14" s="351"/>
      <c r="R14" s="351" t="str">
        <f t="shared" si="5"/>
        <v>USD5MD_Quote</v>
      </c>
      <c r="S14" s="422">
        <f>_xll.qlQuoteValue(R14,ISERROR(H14))</f>
        <v>0</v>
      </c>
      <c r="T14" s="421" t="e">
        <f t="shared" si="6"/>
        <v>#N/A</v>
      </c>
      <c r="U14" s="351"/>
      <c r="V14" s="351"/>
      <c r="W14" s="351"/>
      <c r="X14" s="351"/>
      <c r="Y14" s="351"/>
      <c r="Z14" s="351"/>
      <c r="AA14" s="351"/>
      <c r="AB14" s="351"/>
      <c r="AC14" s="351"/>
      <c r="AD14" s="351"/>
    </row>
    <row r="15" spans="1:30" ht="15" x14ac:dyDescent="0.25">
      <c r="A15" s="351"/>
      <c r="B15" s="380"/>
      <c r="C15" s="388" t="s">
        <v>14</v>
      </c>
      <c r="D15" s="383" t="str">
        <f t="shared" si="0"/>
        <v>USD-6MD=</v>
      </c>
      <c r="E15" s="387" t="s">
        <v>213</v>
      </c>
      <c r="F15" s="386" t="s">
        <v>213</v>
      </c>
      <c r="G15" s="386" t="b">
        <f t="shared" si="1"/>
        <v>0</v>
      </c>
      <c r="H15" s="385" t="e">
        <f>IF($G15,_xll.qlIndexAddFixings($J15,$E15,$F15/100,TRUE,ISERROR($K15)),NA())</f>
        <v>#N/A</v>
      </c>
      <c r="I15" s="375"/>
      <c r="J15" s="384" t="str">
        <f t="shared" si="2"/>
        <v>Usd-6M</v>
      </c>
      <c r="K15" s="383" t="e">
        <f>_xll.qlIndexFixing($J15,$E15,TRUE,$G15)</f>
        <v>#NUM!</v>
      </c>
      <c r="L15" s="383" t="e">
        <f>IF($H15,_xll.qlIndexFixing($J15,$E15,FALSE,$G15),"-")</f>
        <v>#N/A</v>
      </c>
      <c r="M15" s="383" t="e">
        <f t="shared" si="3"/>
        <v>#NUM!</v>
      </c>
      <c r="N15" s="382" t="e">
        <f>_xll.qlIndexFixing($J15,$E15,TRUE,$L15)</f>
        <v>#NUM!</v>
      </c>
      <c r="O15" s="381">
        <f t="shared" si="4"/>
        <v>0</v>
      </c>
      <c r="P15" s="370"/>
      <c r="Q15" s="351"/>
      <c r="R15" s="351" t="str">
        <f t="shared" si="5"/>
        <v>USD6MD_Quote</v>
      </c>
      <c r="S15" s="422">
        <f>_xll.qlQuoteValue(R15,ISERROR(H15))</f>
        <v>3.225E-3</v>
      </c>
      <c r="T15" s="421" t="e">
        <f t="shared" si="6"/>
        <v>#N/A</v>
      </c>
      <c r="U15" s="351"/>
      <c r="V15" s="351"/>
      <c r="W15" s="351"/>
      <c r="X15" s="351"/>
      <c r="Y15" s="351"/>
      <c r="Z15" s="351"/>
      <c r="AA15" s="351"/>
      <c r="AB15" s="351"/>
      <c r="AC15" s="351"/>
      <c r="AD15" s="351"/>
    </row>
    <row r="16" spans="1:30" ht="15" x14ac:dyDescent="0.25">
      <c r="A16" s="351"/>
      <c r="B16" s="380"/>
      <c r="C16" s="388" t="s">
        <v>13</v>
      </c>
      <c r="D16" s="383" t="str">
        <f t="shared" si="0"/>
        <v>USD-7MD=</v>
      </c>
      <c r="E16" s="387" t="s">
        <v>213</v>
      </c>
      <c r="F16" s="386" t="s">
        <v>213</v>
      </c>
      <c r="G16" s="386" t="b">
        <f t="shared" si="1"/>
        <v>0</v>
      </c>
      <c r="H16" s="385" t="e">
        <f>IF($G16,_xll.qlIndexAddFixings($J16,$E16,$F16/100,TRUE,ISERROR($K16)),NA())</f>
        <v>#N/A</v>
      </c>
      <c r="I16" s="375"/>
      <c r="J16" s="384" t="str">
        <f t="shared" si="2"/>
        <v>Usd-7M</v>
      </c>
      <c r="K16" s="383" t="e">
        <f>_xll.qlIndexFixing($J16,$E16,TRUE,$G16)</f>
        <v>#NUM!</v>
      </c>
      <c r="L16" s="383" t="e">
        <f>IF($H16,_xll.qlIndexFixing($J16,$E16,FALSE,$G16),"-")</f>
        <v>#N/A</v>
      </c>
      <c r="M16" s="383" t="e">
        <f t="shared" si="3"/>
        <v>#NUM!</v>
      </c>
      <c r="N16" s="382" t="e">
        <f>_xll.qlIndexFixing($J16,$E16,TRUE,$L16)</f>
        <v>#NUM!</v>
      </c>
      <c r="O16" s="381">
        <f t="shared" si="4"/>
        <v>0</v>
      </c>
      <c r="P16" s="370"/>
      <c r="Q16" s="351"/>
      <c r="R16" s="351" t="str">
        <f t="shared" si="5"/>
        <v>USD7MD_Quote</v>
      </c>
      <c r="S16" s="422">
        <f>_xll.qlQuoteValue(R16,ISERROR(H16))</f>
        <v>0</v>
      </c>
      <c r="T16" s="421" t="e">
        <f t="shared" si="6"/>
        <v>#N/A</v>
      </c>
      <c r="U16" s="351"/>
      <c r="V16" s="351"/>
      <c r="W16" s="351"/>
      <c r="X16" s="351"/>
      <c r="Y16" s="351"/>
      <c r="Z16" s="351"/>
      <c r="AA16" s="351"/>
      <c r="AB16" s="351"/>
      <c r="AC16" s="351"/>
      <c r="AD16" s="351"/>
    </row>
    <row r="17" spans="1:30" ht="15" x14ac:dyDescent="0.25">
      <c r="A17" s="351"/>
      <c r="B17" s="380"/>
      <c r="C17" s="388" t="s">
        <v>12</v>
      </c>
      <c r="D17" s="383" t="str">
        <f t="shared" si="0"/>
        <v>USD-8MD=</v>
      </c>
      <c r="E17" s="387" t="s">
        <v>213</v>
      </c>
      <c r="F17" s="386" t="s">
        <v>213</v>
      </c>
      <c r="G17" s="386" t="b">
        <f t="shared" si="1"/>
        <v>0</v>
      </c>
      <c r="H17" s="385" t="e">
        <f>IF($G17,_xll.qlIndexAddFixings($J17,$E17,$F17/100,TRUE,ISERROR($K17)),NA())</f>
        <v>#N/A</v>
      </c>
      <c r="I17" s="375"/>
      <c r="J17" s="384" t="str">
        <f t="shared" si="2"/>
        <v>Usd-8M</v>
      </c>
      <c r="K17" s="383" t="e">
        <f>_xll.qlIndexFixing($J17,$E17,TRUE,$G17)</f>
        <v>#NUM!</v>
      </c>
      <c r="L17" s="383" t="e">
        <f>IF($H17,_xll.qlIndexFixing($J17,$E17,FALSE,$G17),"-")</f>
        <v>#N/A</v>
      </c>
      <c r="M17" s="383" t="e">
        <f t="shared" si="3"/>
        <v>#NUM!</v>
      </c>
      <c r="N17" s="382" t="e">
        <f>_xll.qlIndexFixing($J17,$E17,TRUE,$L17)</f>
        <v>#NUM!</v>
      </c>
      <c r="O17" s="381">
        <f t="shared" si="4"/>
        <v>0</v>
      </c>
      <c r="P17" s="370"/>
      <c r="Q17" s="351"/>
      <c r="R17" s="351" t="str">
        <f t="shared" si="5"/>
        <v>USD8MD_Quote</v>
      </c>
      <c r="S17" s="422">
        <f>_xll.qlQuoteValue(R17,ISERROR(H17))</f>
        <v>0</v>
      </c>
      <c r="T17" s="421" t="e">
        <f t="shared" si="6"/>
        <v>#N/A</v>
      </c>
      <c r="U17" s="351"/>
      <c r="V17" s="351"/>
      <c r="W17" s="351"/>
      <c r="X17" s="351"/>
      <c r="Y17" s="351"/>
      <c r="Z17" s="351"/>
      <c r="AA17" s="351"/>
      <c r="AB17" s="351"/>
      <c r="AC17" s="351"/>
      <c r="AD17" s="351"/>
    </row>
    <row r="18" spans="1:30" ht="15" x14ac:dyDescent="0.25">
      <c r="A18" s="351"/>
      <c r="B18" s="380"/>
      <c r="C18" s="388" t="s">
        <v>11</v>
      </c>
      <c r="D18" s="383" t="str">
        <f t="shared" si="0"/>
        <v>USD-9MD=</v>
      </c>
      <c r="E18" s="387" t="s">
        <v>213</v>
      </c>
      <c r="F18" s="386" t="s">
        <v>213</v>
      </c>
      <c r="G18" s="386" t="b">
        <f t="shared" si="1"/>
        <v>0</v>
      </c>
      <c r="H18" s="385" t="e">
        <f>IF($G18,_xll.qlIndexAddFixings($J18,$E18,$F18/100,TRUE,ISERROR($K18)),NA())</f>
        <v>#N/A</v>
      </c>
      <c r="I18" s="375"/>
      <c r="J18" s="384" t="str">
        <f t="shared" si="2"/>
        <v>Usd-9M</v>
      </c>
      <c r="K18" s="383" t="e">
        <f>_xll.qlIndexFixing($J18,$E18,TRUE,$G18)</f>
        <v>#NUM!</v>
      </c>
      <c r="L18" s="383" t="e">
        <f>IF($H18,_xll.qlIndexFixing($J18,$E18,FALSE,$G18),"-")</f>
        <v>#N/A</v>
      </c>
      <c r="M18" s="383" t="e">
        <f t="shared" si="3"/>
        <v>#NUM!</v>
      </c>
      <c r="N18" s="382" t="e">
        <f>_xll.qlIndexFixing($J18,$E18,TRUE,$L18)</f>
        <v>#NUM!</v>
      </c>
      <c r="O18" s="381">
        <f t="shared" si="4"/>
        <v>0</v>
      </c>
      <c r="P18" s="370"/>
      <c r="Q18" s="351"/>
      <c r="R18" s="351" t="str">
        <f t="shared" si="5"/>
        <v>USD9MD_Quote</v>
      </c>
      <c r="S18" s="422">
        <f>_xll.qlQuoteValue(R18,ISERROR(H18))</f>
        <v>0</v>
      </c>
      <c r="T18" s="421" t="e">
        <f t="shared" si="6"/>
        <v>#N/A</v>
      </c>
      <c r="U18" s="351"/>
      <c r="V18" s="351"/>
      <c r="W18" s="351"/>
      <c r="X18" s="351"/>
      <c r="Y18" s="351"/>
      <c r="Z18" s="351"/>
      <c r="AA18" s="351"/>
      <c r="AB18" s="351"/>
      <c r="AC18" s="351"/>
      <c r="AD18" s="351"/>
    </row>
    <row r="19" spans="1:30" ht="15" x14ac:dyDescent="0.25">
      <c r="A19" s="351"/>
      <c r="B19" s="380"/>
      <c r="C19" s="388" t="s">
        <v>10</v>
      </c>
      <c r="D19" s="383" t="str">
        <f t="shared" si="0"/>
        <v>USD-10MD=</v>
      </c>
      <c r="E19" s="387" t="s">
        <v>213</v>
      </c>
      <c r="F19" s="386" t="s">
        <v>213</v>
      </c>
      <c r="G19" s="386" t="b">
        <f t="shared" si="1"/>
        <v>0</v>
      </c>
      <c r="H19" s="385" t="e">
        <f>IF($G19,_xll.qlIndexAddFixings($J19,$E19,$F19/100,TRUE,ISERROR($K19)),NA())</f>
        <v>#N/A</v>
      </c>
      <c r="I19" s="375"/>
      <c r="J19" s="384" t="str">
        <f t="shared" si="2"/>
        <v>Usd-10M</v>
      </c>
      <c r="K19" s="383" t="e">
        <f>_xll.qlIndexFixing($J19,$E19,TRUE,$G19)</f>
        <v>#NUM!</v>
      </c>
      <c r="L19" s="383" t="e">
        <f>IF($H19,_xll.qlIndexFixing($J19,$E19,FALSE,$G19),"-")</f>
        <v>#N/A</v>
      </c>
      <c r="M19" s="383" t="e">
        <f t="shared" si="3"/>
        <v>#NUM!</v>
      </c>
      <c r="N19" s="382" t="e">
        <f>_xll.qlIndexFixing($J19,$E19,TRUE,$L19)</f>
        <v>#NUM!</v>
      </c>
      <c r="O19" s="381">
        <f t="shared" si="4"/>
        <v>0</v>
      </c>
      <c r="P19" s="370"/>
      <c r="Q19" s="351"/>
      <c r="R19" s="351" t="str">
        <f t="shared" si="5"/>
        <v>USD10MD_Quote</v>
      </c>
      <c r="S19" s="422">
        <f>_xll.qlQuoteValue(R19,ISERROR(H19))</f>
        <v>0</v>
      </c>
      <c r="T19" s="421" t="e">
        <f t="shared" si="6"/>
        <v>#N/A</v>
      </c>
      <c r="U19" s="351"/>
      <c r="V19" s="351"/>
      <c r="W19" s="351"/>
      <c r="X19" s="351"/>
      <c r="Y19" s="351"/>
      <c r="Z19" s="351"/>
      <c r="AA19" s="351"/>
      <c r="AB19" s="351"/>
      <c r="AC19" s="351"/>
      <c r="AD19" s="351"/>
    </row>
    <row r="20" spans="1:30" ht="15" x14ac:dyDescent="0.25">
      <c r="A20" s="351"/>
      <c r="B20" s="380"/>
      <c r="C20" s="388" t="s">
        <v>9</v>
      </c>
      <c r="D20" s="383" t="str">
        <f t="shared" si="0"/>
        <v>USD-11MD=</v>
      </c>
      <c r="E20" s="387" t="s">
        <v>213</v>
      </c>
      <c r="F20" s="386" t="s">
        <v>213</v>
      </c>
      <c r="G20" s="386" t="b">
        <f t="shared" si="1"/>
        <v>0</v>
      </c>
      <c r="H20" s="385" t="e">
        <f>IF($G20,_xll.qlIndexAddFixings($J20,$E20,$F20/100,TRUE,ISERROR($K20)),NA())</f>
        <v>#N/A</v>
      </c>
      <c r="I20" s="375"/>
      <c r="J20" s="384" t="str">
        <f t="shared" si="2"/>
        <v>Usd-11M</v>
      </c>
      <c r="K20" s="383" t="e">
        <f>_xll.qlIndexFixing($J20,$E20,TRUE,$G20)</f>
        <v>#NUM!</v>
      </c>
      <c r="L20" s="383" t="e">
        <f>IF($H20,_xll.qlIndexFixing($J20,$E20,FALSE,$G20),"-")</f>
        <v>#N/A</v>
      </c>
      <c r="M20" s="383" t="e">
        <f t="shared" si="3"/>
        <v>#NUM!</v>
      </c>
      <c r="N20" s="382" t="e">
        <f>_xll.qlIndexFixing($J20,$E20,TRUE,$L20)</f>
        <v>#NUM!</v>
      </c>
      <c r="O20" s="381">
        <f t="shared" si="4"/>
        <v>0</v>
      </c>
      <c r="P20" s="370"/>
      <c r="Q20" s="351"/>
      <c r="R20" s="351" t="str">
        <f t="shared" si="5"/>
        <v>USD11MD_Quote</v>
      </c>
      <c r="S20" s="422">
        <f>_xll.qlQuoteValue(R20,ISERROR(H20))</f>
        <v>0</v>
      </c>
      <c r="T20" s="421" t="e">
        <f t="shared" si="6"/>
        <v>#N/A</v>
      </c>
      <c r="U20" s="351"/>
      <c r="V20" s="351"/>
      <c r="W20" s="351"/>
      <c r="X20" s="351"/>
      <c r="Y20" s="351"/>
      <c r="Z20" s="351"/>
      <c r="AA20" s="351"/>
      <c r="AB20" s="351"/>
      <c r="AC20" s="351"/>
      <c r="AD20" s="351"/>
    </row>
    <row r="21" spans="1:30" ht="15" x14ac:dyDescent="0.25">
      <c r="A21" s="351"/>
      <c r="B21" s="380"/>
      <c r="C21" s="379" t="s">
        <v>8</v>
      </c>
      <c r="D21" s="373" t="str">
        <f t="shared" si="0"/>
        <v>USD-1YD=</v>
      </c>
      <c r="E21" s="378" t="s">
        <v>213</v>
      </c>
      <c r="F21" s="377" t="s">
        <v>213</v>
      </c>
      <c r="G21" s="377" t="b">
        <f t="shared" si="1"/>
        <v>0</v>
      </c>
      <c r="H21" s="376" t="e">
        <f>IF($G21,_xll.qlIndexAddFixings($J21,$E21,$F21/100,TRUE,ISERROR($K21)),NA())</f>
        <v>#N/A</v>
      </c>
      <c r="I21" s="375"/>
      <c r="J21" s="374" t="str">
        <f t="shared" si="2"/>
        <v>Usd-1Y</v>
      </c>
      <c r="K21" s="373" t="e">
        <f>_xll.qlIndexFixing($J21,$E21,TRUE,$G21)</f>
        <v>#NUM!</v>
      </c>
      <c r="L21" s="373" t="e">
        <f>IF($H21,_xll.qlIndexFixing($J21,$E21,FALSE,$G21),"-")</f>
        <v>#N/A</v>
      </c>
      <c r="M21" s="373" t="e">
        <f t="shared" si="3"/>
        <v>#NUM!</v>
      </c>
      <c r="N21" s="372" t="e">
        <f>_xll.qlIndexFixing($J21,$E21,TRUE,$L21)</f>
        <v>#NUM!</v>
      </c>
      <c r="O21" s="371">
        <f t="shared" si="4"/>
        <v>0</v>
      </c>
      <c r="P21" s="370"/>
      <c r="Q21" s="351"/>
      <c r="R21" s="351" t="str">
        <f t="shared" si="5"/>
        <v>USD1YD_Quote</v>
      </c>
      <c r="S21" s="422">
        <f>_xll.qlQuoteValue(R21,ISERROR(H21))</f>
        <v>5.47E-3</v>
      </c>
      <c r="T21" s="421" t="e">
        <f t="shared" si="6"/>
        <v>#N/A</v>
      </c>
      <c r="U21" s="351"/>
      <c r="V21" s="351"/>
      <c r="W21" s="351"/>
      <c r="X21" s="351"/>
      <c r="Y21" s="351"/>
      <c r="Z21" s="351"/>
      <c r="AA21" s="351"/>
      <c r="AB21" s="351"/>
      <c r="AC21" s="351"/>
      <c r="AD21" s="351"/>
    </row>
    <row r="22" spans="1:30" ht="12" thickBot="1" x14ac:dyDescent="0.25">
      <c r="A22" s="351"/>
      <c r="B22" s="369"/>
      <c r="C22" s="366"/>
      <c r="D22" s="366"/>
      <c r="E22" s="368"/>
      <c r="F22" s="367"/>
      <c r="G22" s="367"/>
      <c r="H22" s="366"/>
      <c r="I22" s="366"/>
      <c r="J22" s="366"/>
      <c r="K22" s="366"/>
      <c r="L22" s="366"/>
      <c r="M22" s="366"/>
      <c r="N22" s="366"/>
      <c r="O22" s="366"/>
      <c r="P22" s="365"/>
      <c r="Q22" s="351"/>
      <c r="R22" s="351"/>
      <c r="S22" s="351"/>
      <c r="T22" s="351"/>
      <c r="U22" s="351"/>
      <c r="V22" s="351"/>
      <c r="W22" s="351"/>
      <c r="X22" s="351"/>
      <c r="Y22" s="351"/>
      <c r="Z22" s="351"/>
      <c r="AA22" s="351"/>
      <c r="AB22" s="351"/>
      <c r="AC22" s="351"/>
      <c r="AD22" s="351"/>
    </row>
    <row r="23" spans="1:30" ht="12" thickBot="1" x14ac:dyDescent="0.25">
      <c r="A23" s="351"/>
      <c r="B23" s="351"/>
      <c r="C23" s="351"/>
      <c r="D23" s="351"/>
      <c r="E23" s="364"/>
      <c r="F23" s="363"/>
      <c r="G23" s="363"/>
      <c r="H23" s="351"/>
      <c r="I23" s="351"/>
      <c r="J23" s="351"/>
      <c r="K23" s="351"/>
      <c r="L23" s="351"/>
      <c r="M23" s="351"/>
      <c r="N23" s="351"/>
      <c r="O23" s="351"/>
      <c r="P23" s="351"/>
      <c r="Q23" s="351"/>
      <c r="R23" s="351"/>
      <c r="S23" s="351"/>
      <c r="T23" s="351"/>
      <c r="U23" s="351"/>
      <c r="V23" s="351"/>
      <c r="W23" s="351"/>
      <c r="X23" s="351"/>
      <c r="Y23" s="351"/>
      <c r="Z23" s="351"/>
      <c r="AA23" s="351"/>
      <c r="AB23" s="351"/>
      <c r="AC23" s="351"/>
      <c r="AD23" s="351"/>
    </row>
    <row r="24" spans="1:30" s="351" customFormat="1" x14ac:dyDescent="0.2">
      <c r="C24" s="362" t="s">
        <v>105</v>
      </c>
      <c r="D24" s="361" t="s">
        <v>298</v>
      </c>
      <c r="E24" s="360" t="s">
        <v>298</v>
      </c>
      <c r="F24" s="359"/>
    </row>
    <row r="25" spans="1:30" s="351" customFormat="1" x14ac:dyDescent="0.2">
      <c r="C25" s="357" t="s">
        <v>104</v>
      </c>
      <c r="D25" s="356" t="s">
        <v>221</v>
      </c>
      <c r="E25" s="355" t="s">
        <v>222</v>
      </c>
      <c r="J25" s="358"/>
    </row>
    <row r="26" spans="1:30" s="351" customFormat="1" x14ac:dyDescent="0.2">
      <c r="C26" s="357" t="s">
        <v>282</v>
      </c>
      <c r="D26" s="356" t="s">
        <v>298</v>
      </c>
      <c r="E26" s="355" t="s">
        <v>298</v>
      </c>
      <c r="J26" s="358"/>
    </row>
    <row r="27" spans="1:30" s="351" customFormat="1" x14ac:dyDescent="0.2">
      <c r="C27" s="357" t="s">
        <v>281</v>
      </c>
      <c r="D27" s="356" t="s">
        <v>298</v>
      </c>
      <c r="E27" s="355" t="s">
        <v>298</v>
      </c>
      <c r="J27" s="358"/>
    </row>
    <row r="28" spans="1:30" s="351" customFormat="1" x14ac:dyDescent="0.2">
      <c r="C28" s="357" t="s">
        <v>101</v>
      </c>
      <c r="D28" s="356" t="s">
        <v>298</v>
      </c>
      <c r="E28" s="355" t="s">
        <v>298</v>
      </c>
    </row>
    <row r="29" spans="1:30" s="351" customFormat="1" x14ac:dyDescent="0.2">
      <c r="C29" s="357" t="s">
        <v>100</v>
      </c>
      <c r="D29" s="356" t="s">
        <v>298</v>
      </c>
      <c r="E29" s="355" t="s">
        <v>298</v>
      </c>
    </row>
    <row r="30" spans="1:30" s="351" customFormat="1" ht="12" thickBot="1" x14ac:dyDescent="0.25">
      <c r="C30" s="354" t="s">
        <v>95</v>
      </c>
      <c r="D30" s="353" t="s">
        <v>298</v>
      </c>
      <c r="E30" s="352" t="s">
        <v>298</v>
      </c>
    </row>
    <row r="31" spans="1:30" s="351" customFormat="1" x14ac:dyDescent="0.2"/>
    <row r="32" spans="1:30" s="351" customFormat="1" x14ac:dyDescent="0.2"/>
    <row r="33" s="351" customFormat="1" x14ac:dyDescent="0.2"/>
    <row r="34" s="351" customFormat="1" x14ac:dyDescent="0.2"/>
    <row r="35" s="351" customFormat="1" x14ac:dyDescent="0.2"/>
    <row r="36" s="351" customFormat="1" x14ac:dyDescent="0.2"/>
    <row r="37" s="351" customFormat="1" x14ac:dyDescent="0.2"/>
    <row r="38" s="351" customFormat="1" x14ac:dyDescent="0.2"/>
    <row r="39" s="351" customFormat="1" x14ac:dyDescent="0.2"/>
    <row r="40" s="351" customFormat="1" x14ac:dyDescent="0.2"/>
    <row r="41" s="351" customFormat="1" x14ac:dyDescent="0.2"/>
  </sheetData>
  <conditionalFormatting sqref="M4:M21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115</vt:i4>
      </vt:variant>
    </vt:vector>
  </HeadingPairs>
  <TitlesOfParts>
    <vt:vector size="140" baseType="lpstr">
      <vt:lpstr>General Settings</vt:lpstr>
      <vt:lpstr>Libor</vt:lpstr>
      <vt:lpstr>LiborSwapIsdaFixAm</vt:lpstr>
      <vt:lpstr>LiborSwapIsdaFixPm</vt:lpstr>
      <vt:lpstr>BasisSwap1MxM</vt:lpstr>
      <vt:lpstr>BasisSwap3M6M</vt:lpstr>
      <vt:lpstr>BasisSwapxM12M</vt:lpstr>
      <vt:lpstr>Deposits</vt:lpstr>
      <vt:lpstr>FRA</vt:lpstr>
      <vt:lpstr>Futures1M</vt:lpstr>
      <vt:lpstr>Futures3M</vt:lpstr>
      <vt:lpstr>ImmFra6M </vt:lpstr>
      <vt:lpstr>FuturesHWConvAdj</vt:lpstr>
      <vt:lpstr>OIS</vt:lpstr>
      <vt:lpstr>Swaps1M</vt:lpstr>
      <vt:lpstr>SwapsIMMDated</vt:lpstr>
      <vt:lpstr>Swap3M</vt:lpstr>
      <vt:lpstr>Swap6M</vt:lpstr>
      <vt:lpstr>ON</vt:lpstr>
      <vt:lpstr>1M (2)</vt:lpstr>
      <vt:lpstr>3M (2)</vt:lpstr>
      <vt:lpstr>FwdEONIAOIS</vt:lpstr>
      <vt:lpstr>SFIX3</vt:lpstr>
      <vt:lpstr>IB365</vt:lpstr>
      <vt:lpstr>IBOR</vt:lpstr>
      <vt:lpstr>Deposits!Contributor</vt:lpstr>
      <vt:lpstr>FwdEONIAOIS!Contributor</vt:lpstr>
      <vt:lpstr>OIS!Contributor</vt:lpstr>
      <vt:lpstr>Contributor</vt:lpstr>
      <vt:lpstr>Contributors</vt:lpstr>
      <vt:lpstr>Deposits!ContributorTable</vt:lpstr>
      <vt:lpstr>ContributorTable</vt:lpstr>
      <vt:lpstr>BasisSwap1MxM!Conventions</vt:lpstr>
      <vt:lpstr>BasisSwap3M6M!Conventions</vt:lpstr>
      <vt:lpstr>BasisSwapxM12M!Conventions</vt:lpstr>
      <vt:lpstr>Swap3M!Conventions</vt:lpstr>
      <vt:lpstr>Swap6M!Conventions</vt:lpstr>
      <vt:lpstr>FwdEONIAOIS!Counter</vt:lpstr>
      <vt:lpstr>Counter</vt:lpstr>
      <vt:lpstr>Currency</vt:lpstr>
      <vt:lpstr>Discounting</vt:lpstr>
      <vt:lpstr>Discounting2</vt:lpstr>
      <vt:lpstr>EvaluationDate</vt:lpstr>
      <vt:lpstr>Libor!FamilyName</vt:lpstr>
      <vt:lpstr>LiborSwapIsdaFixAm!FamilyName</vt:lpstr>
      <vt:lpstr>LiborSwapIsdaFixPm!FamilyName</vt:lpstr>
      <vt:lpstr>FamilyName</vt:lpstr>
      <vt:lpstr>LiborSwapIsdaFixAm!FileName</vt:lpstr>
      <vt:lpstr>LiborSwapIsdaFixPm!FileName</vt:lpstr>
      <vt:lpstr>FileOverwrite</vt:lpstr>
      <vt:lpstr>LiborSwapIsdaFixAm!FixingType</vt:lpstr>
      <vt:lpstr>LiborSwapIsdaFixPm!FixingType</vt:lpstr>
      <vt:lpstr>FixingType</vt:lpstr>
      <vt:lpstr>Futures1M!FuturesCodes</vt:lpstr>
      <vt:lpstr>Futures3M!FuturesCodes</vt:lpstr>
      <vt:lpstr>Futures1M!FuturesDates</vt:lpstr>
      <vt:lpstr>Futures3M!FuturesDates</vt:lpstr>
      <vt:lpstr>Futures1M!IborIndex</vt:lpstr>
      <vt:lpstr>Futures3M!IborIndex</vt:lpstr>
      <vt:lpstr>BasisSwap1MxM!Instruments</vt:lpstr>
      <vt:lpstr>BasisSwapxM12M!Instruments</vt:lpstr>
      <vt:lpstr>FRA!Instruments</vt:lpstr>
      <vt:lpstr>FwdEONIAOIS!Instruments</vt:lpstr>
      <vt:lpstr>OIS!Instruments</vt:lpstr>
      <vt:lpstr>Swap3M!Instruments</vt:lpstr>
      <vt:lpstr>Swap6M!Instruments</vt:lpstr>
      <vt:lpstr>Swaps1M!Instruments</vt:lpstr>
      <vt:lpstr>SwapsIMMDated!Instruments</vt:lpstr>
      <vt:lpstr>InterpolationType</vt:lpstr>
      <vt:lpstr>LastFixingsTrigger</vt:lpstr>
      <vt:lpstr>LastUpdate</vt:lpstr>
      <vt:lpstr>Futures1M!LiffeCodes</vt:lpstr>
      <vt:lpstr>Futures3M!LiffeCodes</vt:lpstr>
      <vt:lpstr>LiveDataFeed</vt:lpstr>
      <vt:lpstr>Futures1M!MeanReversion</vt:lpstr>
      <vt:lpstr>Futures3M!MeanReversion</vt:lpstr>
      <vt:lpstr>ON!Months</vt:lpstr>
      <vt:lpstr>ObjectOverwrite</vt:lpstr>
      <vt:lpstr>OverNightIndexCalendar</vt:lpstr>
      <vt:lpstr>Permanent</vt:lpstr>
      <vt:lpstr>PriceTickValue</vt:lpstr>
      <vt:lpstr>BasisSwap1MxM!Quote</vt:lpstr>
      <vt:lpstr>BasisSwap3M6M!Quote</vt:lpstr>
      <vt:lpstr>BasisSwapxM12M!Quote</vt:lpstr>
      <vt:lpstr>Deposits!Quote</vt:lpstr>
      <vt:lpstr>FRA!Quote</vt:lpstr>
      <vt:lpstr>Futures1M!Quote</vt:lpstr>
      <vt:lpstr>Futures3M!Quote</vt:lpstr>
      <vt:lpstr>FuturesHWConvAdj!Quote</vt:lpstr>
      <vt:lpstr>FwdEONIAOIS!Quote</vt:lpstr>
      <vt:lpstr>OIS!Quote</vt:lpstr>
      <vt:lpstr>Swap3M!Quote</vt:lpstr>
      <vt:lpstr>Swaps1M!Quote</vt:lpstr>
      <vt:lpstr>BasisSwap1MxM!QuoteLive</vt:lpstr>
      <vt:lpstr>BasisSwap3M6M!QuoteLive</vt:lpstr>
      <vt:lpstr>BasisSwapxM12M!QuoteLive</vt:lpstr>
      <vt:lpstr>Deposits!QuoteLive</vt:lpstr>
      <vt:lpstr>FRA!QuoteLive</vt:lpstr>
      <vt:lpstr>Futures1M!QuoteLive</vt:lpstr>
      <vt:lpstr>Futures3M!QuoteLive</vt:lpstr>
      <vt:lpstr>FuturesHWConvAdj!QuoteLive</vt:lpstr>
      <vt:lpstr>FwdEONIAOIS!QuoteLive</vt:lpstr>
      <vt:lpstr>OIS!QuoteLive</vt:lpstr>
      <vt:lpstr>Swap3M!QuoteLive</vt:lpstr>
      <vt:lpstr>Swap6M!QuoteLive</vt:lpstr>
      <vt:lpstr>Swaps1M!QuoteLive</vt:lpstr>
      <vt:lpstr>SwapsIMMDated!QuoteLive</vt:lpstr>
      <vt:lpstr>BasisSwap1MxM!QuoteStatic</vt:lpstr>
      <vt:lpstr>BasisSwap3M6M!QuoteStatic</vt:lpstr>
      <vt:lpstr>BasisSwapxM12M!QuoteStatic</vt:lpstr>
      <vt:lpstr>Deposits!QuoteStatic</vt:lpstr>
      <vt:lpstr>FRA!QuoteStatic</vt:lpstr>
      <vt:lpstr>Futures1M!QuoteStatic</vt:lpstr>
      <vt:lpstr>Futures3M!QuoteStatic</vt:lpstr>
      <vt:lpstr>FuturesHWConvAdj!QuoteStatic</vt:lpstr>
      <vt:lpstr>FwdEONIAOIS!QuoteStatic</vt:lpstr>
      <vt:lpstr>OIS!QuoteStatic</vt:lpstr>
      <vt:lpstr>Swap3M!QuoteStatic</vt:lpstr>
      <vt:lpstr>Swap6M!QuoteStatic</vt:lpstr>
      <vt:lpstr>Swaps1M!QuoteStatic</vt:lpstr>
      <vt:lpstr>SwapsIMMDated!QuoteStatic</vt:lpstr>
      <vt:lpstr>QuoteSuffix</vt:lpstr>
      <vt:lpstr>RateTickValue</vt:lpstr>
      <vt:lpstr>ReutersRtMode</vt:lpstr>
      <vt:lpstr>SerializationPath</vt:lpstr>
      <vt:lpstr>Serialize</vt:lpstr>
      <vt:lpstr>Swap3M4Y</vt:lpstr>
      <vt:lpstr>Swap6M4Y</vt:lpstr>
      <vt:lpstr>SwapMainSetConventions</vt:lpstr>
      <vt:lpstr>SwapSecondarySetConventions</vt:lpstr>
      <vt:lpstr>ON!Tenor</vt:lpstr>
      <vt:lpstr>'IB365'!Traits</vt:lpstr>
      <vt:lpstr>IBOR!Traits</vt:lpstr>
      <vt:lpstr>LiborSwapIsdaFixAm!Traits</vt:lpstr>
      <vt:lpstr>LiborSwapIsdaFixPm!Traits</vt:lpstr>
      <vt:lpstr>SFIX3!Traits</vt:lpstr>
      <vt:lpstr>Trigger</vt:lpstr>
      <vt:lpstr>TriggerCounter</vt:lpstr>
      <vt:lpstr>Futures1M!Volatility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AMETRANO FERDINANDO MARIA</cp:lastModifiedBy>
  <dcterms:created xsi:type="dcterms:W3CDTF">2013-12-12T21:53:52Z</dcterms:created>
  <dcterms:modified xsi:type="dcterms:W3CDTF">2014-05-06T14:55:20Z</dcterms:modified>
</cp:coreProperties>
</file>