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0" yWindow="-225" windowWidth="15330" windowHeight="7620" tabRatio="827" activeTab="2"/>
  </bookViews>
  <sheets>
    <sheet name="General Settings" sheetId="3" r:id="rId1"/>
    <sheet name="RateHelpers" sheetId="2" r:id="rId2"/>
    <sheet name="Selected" sheetId="4" r:id="rId3"/>
    <sheet name="1Y_Deposits" sheetId="5" r:id="rId4"/>
    <sheet name="1Y_FRAs" sheetId="6" r:id="rId5"/>
    <sheet name="1Y_LiborSwapForBasisCalc" sheetId="8" r:id="rId6"/>
    <sheet name="1Y_SwapsFromBasis" sheetId="7" r:id="rId7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6">'1Y_SwapsFromBasis'!$L$2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RateHelpers!$J$2:$J$167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RateHelpers!$E$2:$E$167</definedName>
    <definedName name="RateHelpersIncluded">RateHelpers!$H$2:$H$167</definedName>
    <definedName name="RateHelpersPriority">RateHelpers!$I$2:$I$167</definedName>
    <definedName name="RateHelpersSelected">Selected!$A$7</definedName>
    <definedName name="SerializationPath">'General Settings'!$M$5</definedName>
    <definedName name="Serialize">'General Settings'!$M$4</definedName>
    <definedName name="Swap1YConventions">'1Y_SwapsFromBasis'!$P$10:$R$14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J11" i="7" l="1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10" i="7"/>
  <c r="J6" i="7"/>
  <c r="L11" i="2"/>
  <c r="K11" i="2"/>
  <c r="C18" i="5"/>
  <c r="C3" i="5"/>
  <c r="C5" i="5"/>
  <c r="C8" i="5"/>
  <c r="C12" i="5"/>
  <c r="C14" i="5"/>
  <c r="C11" i="5"/>
  <c r="C16" i="5"/>
  <c r="C6" i="5"/>
  <c r="C15" i="5"/>
  <c r="C4" i="5"/>
  <c r="C7" i="5"/>
  <c r="C9" i="5"/>
  <c r="C10" i="5"/>
  <c r="C13" i="5"/>
  <c r="C17" i="5"/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" i="8"/>
  <c r="G36" i="8"/>
  <c r="F36" i="8"/>
  <c r="H36" i="8" s="1"/>
  <c r="D36" i="8"/>
  <c r="C36" i="8"/>
  <c r="G35" i="8"/>
  <c r="H35" i="8" s="1"/>
  <c r="F35" i="8"/>
  <c r="D35" i="8"/>
  <c r="C35" i="8"/>
  <c r="G34" i="8"/>
  <c r="F34" i="8"/>
  <c r="H34" i="8" s="1"/>
  <c r="D34" i="8"/>
  <c r="C34" i="8"/>
  <c r="J34" i="8" s="1"/>
  <c r="G33" i="8"/>
  <c r="F33" i="8"/>
  <c r="H33" i="8" s="1"/>
  <c r="D33" i="8"/>
  <c r="C33" i="8"/>
  <c r="G32" i="8"/>
  <c r="F32" i="8"/>
  <c r="H32" i="8" s="1"/>
  <c r="D32" i="8"/>
  <c r="C32" i="8"/>
  <c r="G31" i="8"/>
  <c r="F31" i="8"/>
  <c r="H31" i="8" s="1"/>
  <c r="D31" i="8"/>
  <c r="C31" i="8"/>
  <c r="J30" i="8"/>
  <c r="H30" i="8"/>
  <c r="G30" i="8"/>
  <c r="F30" i="8"/>
  <c r="D30" i="8"/>
  <c r="C30" i="8"/>
  <c r="G29" i="8"/>
  <c r="F29" i="8"/>
  <c r="H29" i="8" s="1"/>
  <c r="D29" i="8"/>
  <c r="C29" i="8"/>
  <c r="J29" i="8" s="1"/>
  <c r="G28" i="8"/>
  <c r="F28" i="8"/>
  <c r="H28" i="8" s="1"/>
  <c r="D28" i="8"/>
  <c r="C28" i="8"/>
  <c r="J28" i="8" s="1"/>
  <c r="G27" i="8"/>
  <c r="H27" i="8" s="1"/>
  <c r="J27" i="8" s="1"/>
  <c r="F27" i="8"/>
  <c r="D27" i="8"/>
  <c r="C27" i="8"/>
  <c r="G26" i="8"/>
  <c r="F26" i="8"/>
  <c r="D26" i="8"/>
  <c r="C26" i="8"/>
  <c r="G25" i="8"/>
  <c r="F25" i="8"/>
  <c r="H25" i="8" s="1"/>
  <c r="D25" i="8"/>
  <c r="C25" i="8"/>
  <c r="G24" i="8"/>
  <c r="F24" i="8"/>
  <c r="H24" i="8" s="1"/>
  <c r="J24" i="8" s="1"/>
  <c r="D24" i="8"/>
  <c r="C24" i="8"/>
  <c r="G23" i="8"/>
  <c r="F23" i="8"/>
  <c r="H23" i="8" s="1"/>
  <c r="D23" i="8"/>
  <c r="C23" i="8"/>
  <c r="G22" i="8"/>
  <c r="F22" i="8"/>
  <c r="H22" i="8" s="1"/>
  <c r="D22" i="8"/>
  <c r="J22" i="8" s="1"/>
  <c r="C22" i="8"/>
  <c r="G21" i="8"/>
  <c r="F21" i="8"/>
  <c r="D21" i="8"/>
  <c r="C21" i="8"/>
  <c r="G20" i="8"/>
  <c r="F20" i="8"/>
  <c r="H20" i="8" s="1"/>
  <c r="D20" i="8"/>
  <c r="C20" i="8"/>
  <c r="J20" i="8" s="1"/>
  <c r="G19" i="8"/>
  <c r="F19" i="8"/>
  <c r="D19" i="8"/>
  <c r="C19" i="8"/>
  <c r="G18" i="8"/>
  <c r="F18" i="8"/>
  <c r="D18" i="8"/>
  <c r="C18" i="8"/>
  <c r="G17" i="8"/>
  <c r="F17" i="8"/>
  <c r="D17" i="8"/>
  <c r="C17" i="8"/>
  <c r="G16" i="8"/>
  <c r="F16" i="8"/>
  <c r="H16" i="8" s="1"/>
  <c r="D16" i="8"/>
  <c r="C16" i="8"/>
  <c r="G15" i="8"/>
  <c r="F15" i="8"/>
  <c r="H15" i="8" s="1"/>
  <c r="D15" i="8"/>
  <c r="C15" i="8"/>
  <c r="G14" i="8"/>
  <c r="F14" i="8"/>
  <c r="H14" i="8" s="1"/>
  <c r="D14" i="8"/>
  <c r="C14" i="8"/>
  <c r="J14" i="8" s="1"/>
  <c r="G13" i="8"/>
  <c r="F13" i="8"/>
  <c r="H13" i="8" s="1"/>
  <c r="D13" i="8"/>
  <c r="C13" i="8"/>
  <c r="G12" i="8"/>
  <c r="F12" i="8"/>
  <c r="H12" i="8" s="1"/>
  <c r="D12" i="8"/>
  <c r="C12" i="8"/>
  <c r="G11" i="8"/>
  <c r="F11" i="8"/>
  <c r="D11" i="8"/>
  <c r="C11" i="8"/>
  <c r="G10" i="8"/>
  <c r="F10" i="8"/>
  <c r="H10" i="8" s="1"/>
  <c r="D10" i="8"/>
  <c r="C10" i="8"/>
  <c r="J10" i="8" s="1"/>
  <c r="G9" i="8"/>
  <c r="F9" i="8"/>
  <c r="D9" i="8"/>
  <c r="C9" i="8"/>
  <c r="G8" i="8"/>
  <c r="F8" i="8"/>
  <c r="H8" i="8" s="1"/>
  <c r="D8" i="8"/>
  <c r="C8" i="8"/>
  <c r="G7" i="8"/>
  <c r="F7" i="8"/>
  <c r="H7" i="8" s="1"/>
  <c r="D7" i="8"/>
  <c r="C7" i="8"/>
  <c r="G6" i="8"/>
  <c r="H6" i="8" s="1"/>
  <c r="F6" i="8"/>
  <c r="D6" i="8"/>
  <c r="C6" i="8"/>
  <c r="J6" i="8" s="1"/>
  <c r="G5" i="8"/>
  <c r="F5" i="8"/>
  <c r="H5" i="8" s="1"/>
  <c r="E5" i="8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D5" i="8"/>
  <c r="C5" i="8"/>
  <c r="J5" i="8" s="1"/>
  <c r="G4" i="8"/>
  <c r="F4" i="8"/>
  <c r="H4" i="8" s="1"/>
  <c r="E4" i="8"/>
  <c r="D4" i="8"/>
  <c r="C4" i="8"/>
  <c r="G3" i="8"/>
  <c r="H3" i="8" s="1"/>
  <c r="F3" i="8"/>
  <c r="D3" i="8"/>
  <c r="C3" i="8"/>
  <c r="K2" i="8"/>
  <c r="F17" i="5"/>
  <c r="K29" i="8"/>
  <c r="K22" i="8"/>
  <c r="F7" i="5"/>
  <c r="F4" i="5"/>
  <c r="F8" i="5"/>
  <c r="K34" i="8"/>
  <c r="F13" i="5"/>
  <c r="F18" i="5"/>
  <c r="K14" i="8"/>
  <c r="F10" i="5"/>
  <c r="K24" i="8"/>
  <c r="F9" i="5"/>
  <c r="K30" i="8"/>
  <c r="L30" i="8" s="1"/>
  <c r="K6" i="8"/>
  <c r="F15" i="5"/>
  <c r="L2" i="8"/>
  <c r="K27" i="8"/>
  <c r="F5" i="5"/>
  <c r="K10" i="8"/>
  <c r="L10" i="8" s="1"/>
  <c r="F6" i="5"/>
  <c r="K5" i="8"/>
  <c r="F16" i="5"/>
  <c r="K28" i="8"/>
  <c r="F11" i="5"/>
  <c r="K20" i="8"/>
  <c r="F14" i="5"/>
  <c r="F12" i="5"/>
  <c r="L6" i="8"/>
  <c r="J25" i="8" l="1"/>
  <c r="J8" i="8"/>
  <c r="H11" i="8"/>
  <c r="J11" i="8" s="1"/>
  <c r="H17" i="8"/>
  <c r="J17" i="8" s="1"/>
  <c r="H26" i="8"/>
  <c r="J26" i="8" s="1"/>
  <c r="J31" i="8"/>
  <c r="H19" i="8"/>
  <c r="J19" i="8" s="1"/>
  <c r="J32" i="8"/>
  <c r="J35" i="8"/>
  <c r="J23" i="8"/>
  <c r="J12" i="8"/>
  <c r="J7" i="8"/>
  <c r="J16" i="8"/>
  <c r="J15" i="8"/>
  <c r="J36" i="8"/>
  <c r="H21" i="8"/>
  <c r="J21" i="8" s="1"/>
  <c r="H9" i="8"/>
  <c r="J9" i="8" s="1"/>
  <c r="H18" i="8"/>
  <c r="J18" i="8" s="1"/>
  <c r="J2" i="8"/>
  <c r="J3" i="8"/>
  <c r="J4" i="8"/>
  <c r="J33" i="8"/>
  <c r="J13" i="8"/>
  <c r="C30" i="3"/>
  <c r="L5" i="8"/>
  <c r="K19" i="8"/>
  <c r="K26" i="8"/>
  <c r="K16" i="8"/>
  <c r="K11" i="8"/>
  <c r="K15" i="8"/>
  <c r="K12" i="8"/>
  <c r="L28" i="8"/>
  <c r="K31" i="8"/>
  <c r="K8" i="8"/>
  <c r="L34" i="8"/>
  <c r="L14" i="8"/>
  <c r="K17" i="8"/>
  <c r="L27" i="8"/>
  <c r="K25" i="8"/>
  <c r="K9" i="8"/>
  <c r="K7" i="8"/>
  <c r="L20" i="8"/>
  <c r="K21" i="8"/>
  <c r="K23" i="8"/>
  <c r="K3" i="8"/>
  <c r="K33" i="8"/>
  <c r="L29" i="8"/>
  <c r="K18" i="8"/>
  <c r="L18" i="8" s="1"/>
  <c r="K36" i="8"/>
  <c r="K35" i="8"/>
  <c r="K32" i="8"/>
  <c r="K13" i="8"/>
  <c r="K4" i="8"/>
  <c r="L24" i="8"/>
  <c r="L22" i="8"/>
  <c r="B7" i="7" l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E6" i="7"/>
  <c r="D6" i="7"/>
  <c r="D7" i="7" s="1"/>
  <c r="L3" i="7"/>
  <c r="L2" i="7"/>
  <c r="K2" i="7"/>
  <c r="K4" i="7" s="1"/>
  <c r="D49" i="6"/>
  <c r="B49" i="6"/>
  <c r="D48" i="6"/>
  <c r="B48" i="6"/>
  <c r="D47" i="6"/>
  <c r="B47" i="6"/>
  <c r="D46" i="6"/>
  <c r="B46" i="6"/>
  <c r="D45" i="6"/>
  <c r="B45" i="6"/>
  <c r="D44" i="6"/>
  <c r="B44" i="6"/>
  <c r="D43" i="6"/>
  <c r="B43" i="6"/>
  <c r="D42" i="6"/>
  <c r="B42" i="6"/>
  <c r="D41" i="6"/>
  <c r="B41" i="6"/>
  <c r="D40" i="6"/>
  <c r="B40" i="6"/>
  <c r="D39" i="6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1" i="6"/>
  <c r="B31" i="6"/>
  <c r="D30" i="6"/>
  <c r="B30" i="6"/>
  <c r="D29" i="6"/>
  <c r="B29" i="6"/>
  <c r="D28" i="6"/>
  <c r="B28" i="6"/>
  <c r="D27" i="6"/>
  <c r="B27" i="6"/>
  <c r="D26" i="6"/>
  <c r="B26" i="6"/>
  <c r="D25" i="6"/>
  <c r="B25" i="6"/>
  <c r="D24" i="6"/>
  <c r="B24" i="6"/>
  <c r="D23" i="6"/>
  <c r="B23" i="6"/>
  <c r="D22" i="6"/>
  <c r="B22" i="6"/>
  <c r="D21" i="6"/>
  <c r="B21" i="6"/>
  <c r="D20" i="6"/>
  <c r="B20" i="6"/>
  <c r="D19" i="6"/>
  <c r="B19" i="6"/>
  <c r="D18" i="6"/>
  <c r="B18" i="6"/>
  <c r="D17" i="6"/>
  <c r="B17" i="6"/>
  <c r="D16" i="6"/>
  <c r="G16" i="6" s="1"/>
  <c r="B16" i="6"/>
  <c r="D15" i="6"/>
  <c r="B15" i="6"/>
  <c r="D14" i="6"/>
  <c r="B14" i="6"/>
  <c r="D13" i="6"/>
  <c r="B13" i="6"/>
  <c r="D12" i="6"/>
  <c r="B12" i="6"/>
  <c r="D11" i="6"/>
  <c r="B11" i="6"/>
  <c r="D10" i="6"/>
  <c r="B10" i="6"/>
  <c r="D9" i="6"/>
  <c r="B9" i="6"/>
  <c r="D8" i="6"/>
  <c r="B8" i="6"/>
  <c r="D7" i="6"/>
  <c r="B7" i="6"/>
  <c r="D6" i="6"/>
  <c r="B6" i="6"/>
  <c r="D5" i="6"/>
  <c r="B5" i="6"/>
  <c r="G4" i="6"/>
  <c r="C4" i="6"/>
  <c r="G3" i="6"/>
  <c r="C3" i="6"/>
  <c r="I2" i="6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F2" i="5"/>
  <c r="E1" i="5"/>
  <c r="E12" i="5" s="1"/>
  <c r="E1" i="6"/>
  <c r="M8" i="7"/>
  <c r="M9" i="7"/>
  <c r="M7" i="7"/>
  <c r="L9" i="8"/>
  <c r="L13" i="8"/>
  <c r="L3" i="8"/>
  <c r="L33" i="8"/>
  <c r="L36" i="8"/>
  <c r="L31" i="8"/>
  <c r="L8" i="8"/>
  <c r="G2" i="5"/>
  <c r="L23" i="8"/>
  <c r="L35" i="8"/>
  <c r="L4" i="8"/>
  <c r="L17" i="8"/>
  <c r="L7" i="8"/>
  <c r="L11" i="8"/>
  <c r="L32" i="8"/>
  <c r="L19" i="8"/>
  <c r="L25" i="8"/>
  <c r="L4" i="7"/>
  <c r="L26" i="8"/>
  <c r="L24" i="7"/>
  <c r="L42" i="7"/>
  <c r="L16" i="8"/>
  <c r="L33" i="7"/>
  <c r="L28" i="7"/>
  <c r="L12" i="8"/>
  <c r="L38" i="7"/>
  <c r="L30" i="7"/>
  <c r="L21" i="8"/>
  <c r="L14" i="7"/>
  <c r="J2" i="6"/>
  <c r="L15" i="8"/>
  <c r="L37" i="7"/>
  <c r="L39" i="7"/>
  <c r="M3" i="7"/>
  <c r="L25" i="7"/>
  <c r="L22" i="7"/>
  <c r="L29" i="7"/>
  <c r="L26" i="7"/>
  <c r="L32" i="7"/>
  <c r="L16" i="7"/>
  <c r="L17" i="7"/>
  <c r="L21" i="7"/>
  <c r="L41" i="7"/>
  <c r="L31" i="7"/>
  <c r="L40" i="7"/>
  <c r="L20" i="7"/>
  <c r="L15" i="7"/>
  <c r="L36" i="7"/>
  <c r="L34" i="7"/>
  <c r="L6" i="7"/>
  <c r="L13" i="7"/>
  <c r="L35" i="7"/>
  <c r="L12" i="7"/>
  <c r="L23" i="7"/>
  <c r="L11" i="7"/>
  <c r="L19" i="7"/>
  <c r="L10" i="7"/>
  <c r="L27" i="7"/>
  <c r="L18" i="7"/>
  <c r="K3" i="7" l="1"/>
  <c r="F6" i="7"/>
  <c r="H6" i="7"/>
  <c r="E7" i="7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D8" i="7"/>
  <c r="F7" i="7"/>
  <c r="K6" i="7"/>
  <c r="H7" i="7"/>
  <c r="E45" i="6"/>
  <c r="E29" i="6"/>
  <c r="E13" i="6"/>
  <c r="G42" i="6"/>
  <c r="E33" i="6"/>
  <c r="E3" i="6"/>
  <c r="E14" i="6"/>
  <c r="H1" i="6"/>
  <c r="E41" i="6"/>
  <c r="E34" i="6"/>
  <c r="G36" i="6"/>
  <c r="G20" i="6"/>
  <c r="G29" i="6"/>
  <c r="E4" i="6"/>
  <c r="E38" i="6"/>
  <c r="E22" i="6"/>
  <c r="E6" i="6"/>
  <c r="G26" i="6"/>
  <c r="E42" i="6"/>
  <c r="E26" i="6"/>
  <c r="E10" i="6"/>
  <c r="E23" i="6"/>
  <c r="E25" i="6"/>
  <c r="E18" i="6"/>
  <c r="G45" i="6"/>
  <c r="E47" i="6"/>
  <c r="E31" i="6"/>
  <c r="E15" i="6"/>
  <c r="E49" i="6"/>
  <c r="E17" i="6"/>
  <c r="G10" i="6"/>
  <c r="G35" i="6"/>
  <c r="G19" i="6"/>
  <c r="E30" i="6"/>
  <c r="E48" i="6"/>
  <c r="E16" i="6"/>
  <c r="E43" i="6"/>
  <c r="E27" i="6"/>
  <c r="E40" i="6"/>
  <c r="E24" i="6"/>
  <c r="E8" i="6"/>
  <c r="E35" i="6"/>
  <c r="E19" i="6"/>
  <c r="E44" i="6"/>
  <c r="E28" i="6"/>
  <c r="E12" i="6"/>
  <c r="E37" i="6"/>
  <c r="E21" i="6"/>
  <c r="E5" i="6"/>
  <c r="E46" i="6"/>
  <c r="E39" i="6"/>
  <c r="E7" i="6"/>
  <c r="E32" i="6"/>
  <c r="E9" i="6"/>
  <c r="E11" i="6"/>
  <c r="E36" i="6"/>
  <c r="E20" i="6"/>
  <c r="G13" i="6"/>
  <c r="G18" i="6"/>
  <c r="G43" i="6"/>
  <c r="G5" i="6"/>
  <c r="G21" i="6"/>
  <c r="G37" i="6"/>
  <c r="G6" i="6"/>
  <c r="G14" i="6"/>
  <c r="G22" i="6"/>
  <c r="G30" i="6"/>
  <c r="G38" i="6"/>
  <c r="G46" i="6"/>
  <c r="G11" i="6"/>
  <c r="G44" i="6"/>
  <c r="G15" i="6"/>
  <c r="G23" i="6"/>
  <c r="G31" i="6"/>
  <c r="G47" i="6"/>
  <c r="G34" i="6"/>
  <c r="G27" i="6"/>
  <c r="G28" i="6"/>
  <c r="G7" i="6"/>
  <c r="G39" i="6"/>
  <c r="G8" i="6"/>
  <c r="G24" i="6"/>
  <c r="G32" i="6"/>
  <c r="G40" i="6"/>
  <c r="G48" i="6"/>
  <c r="G12" i="6"/>
  <c r="G9" i="6"/>
  <c r="G17" i="6"/>
  <c r="G25" i="6"/>
  <c r="G33" i="6"/>
  <c r="G41" i="6"/>
  <c r="G49" i="6"/>
  <c r="E9" i="5"/>
  <c r="E10" i="5"/>
  <c r="E5" i="5"/>
  <c r="E16" i="5"/>
  <c r="E11" i="5"/>
  <c r="E13" i="5"/>
  <c r="E4" i="5"/>
  <c r="E8" i="5"/>
  <c r="E3" i="5"/>
  <c r="E6" i="5"/>
  <c r="E7" i="5"/>
  <c r="E17" i="5"/>
  <c r="E14" i="5"/>
  <c r="E18" i="5"/>
  <c r="E2" i="5"/>
  <c r="E15" i="5"/>
  <c r="E22" i="3"/>
  <c r="D22" i="3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8" i="3"/>
  <c r="B127" i="2" s="1"/>
  <c r="D7" i="3"/>
  <c r="C94" i="2" s="1"/>
  <c r="C95" i="2"/>
  <c r="C97" i="2"/>
  <c r="D6" i="3"/>
  <c r="G12" i="5"/>
  <c r="D34" i="2" a="1"/>
  <c r="M4" i="7"/>
  <c r="B1" i="3"/>
  <c r="G6" i="5"/>
  <c r="F3" i="5"/>
  <c r="D21" i="3"/>
  <c r="C116" i="2" l="1"/>
  <c r="B115" i="2"/>
  <c r="B114" i="2"/>
  <c r="B165" i="2"/>
  <c r="K8" i="7"/>
  <c r="B159" i="2"/>
  <c r="C165" i="2"/>
  <c r="B140" i="2"/>
  <c r="C139" i="2"/>
  <c r="B138" i="2"/>
  <c r="B136" i="2"/>
  <c r="C155" i="2"/>
  <c r="C135" i="2"/>
  <c r="B113" i="2"/>
  <c r="C154" i="2"/>
  <c r="B135" i="2"/>
  <c r="B112" i="2"/>
  <c r="B154" i="2"/>
  <c r="B134" i="2"/>
  <c r="B109" i="2"/>
  <c r="C152" i="2"/>
  <c r="C130" i="2"/>
  <c r="B103" i="2"/>
  <c r="K7" i="7"/>
  <c r="C113" i="2"/>
  <c r="C151" i="2"/>
  <c r="B102" i="2"/>
  <c r="C150" i="2"/>
  <c r="B101" i="2"/>
  <c r="B150" i="2"/>
  <c r="C100" i="2"/>
  <c r="C148" i="2"/>
  <c r="C99" i="2"/>
  <c r="B147" i="2"/>
  <c r="C120" i="2"/>
  <c r="B99" i="2"/>
  <c r="B156" i="2"/>
  <c r="B151" i="2"/>
  <c r="B128" i="2"/>
  <c r="B124" i="2"/>
  <c r="C122" i="2"/>
  <c r="B144" i="2"/>
  <c r="C117" i="2"/>
  <c r="C98" i="2"/>
  <c r="B130" i="2"/>
  <c r="B129" i="2"/>
  <c r="C101" i="2"/>
  <c r="C167" i="2"/>
  <c r="B167" i="2"/>
  <c r="B143" i="2"/>
  <c r="B117" i="2"/>
  <c r="B98" i="2"/>
  <c r="C166" i="2"/>
  <c r="C131" i="2"/>
  <c r="D9" i="7"/>
  <c r="H8" i="7"/>
  <c r="F8" i="7"/>
  <c r="C163" i="2"/>
  <c r="C111" i="2"/>
  <c r="C159" i="2"/>
  <c r="C143" i="2"/>
  <c r="C109" i="2"/>
  <c r="C146" i="2"/>
  <c r="C125" i="2"/>
  <c r="C156" i="2"/>
  <c r="C141" i="2"/>
  <c r="C124" i="2"/>
  <c r="C104" i="2"/>
  <c r="C164" i="2"/>
  <c r="C129" i="2"/>
  <c r="C140" i="2"/>
  <c r="C123" i="2"/>
  <c r="B163" i="2"/>
  <c r="C147" i="2"/>
  <c r="C134" i="2"/>
  <c r="B122" i="2"/>
  <c r="C108" i="2"/>
  <c r="B96" i="2"/>
  <c r="H47" i="6"/>
  <c r="H31" i="6"/>
  <c r="H15" i="6"/>
  <c r="H35" i="6"/>
  <c r="H19" i="6"/>
  <c r="H44" i="6"/>
  <c r="H41" i="6"/>
  <c r="H18" i="6"/>
  <c r="H11" i="6"/>
  <c r="H4" i="6"/>
  <c r="H40" i="6"/>
  <c r="H24" i="6"/>
  <c r="H8" i="6"/>
  <c r="H28" i="6"/>
  <c r="H12" i="6"/>
  <c r="H43" i="6"/>
  <c r="H27" i="6"/>
  <c r="H36" i="6"/>
  <c r="H45" i="6"/>
  <c r="H29" i="6"/>
  <c r="H13" i="6"/>
  <c r="H49" i="6"/>
  <c r="H33" i="6"/>
  <c r="H17" i="6"/>
  <c r="H48" i="6"/>
  <c r="H32" i="6"/>
  <c r="H9" i="6"/>
  <c r="H42" i="6"/>
  <c r="H26" i="6"/>
  <c r="H10" i="6"/>
  <c r="H3" i="6"/>
  <c r="H38" i="6"/>
  <c r="H37" i="6"/>
  <c r="H21" i="6"/>
  <c r="H5" i="6"/>
  <c r="H46" i="6"/>
  <c r="H30" i="6"/>
  <c r="H14" i="6"/>
  <c r="H39" i="6"/>
  <c r="H23" i="6"/>
  <c r="H7" i="6"/>
  <c r="H16" i="6"/>
  <c r="H2" i="6"/>
  <c r="H25" i="6"/>
  <c r="H34" i="6"/>
  <c r="H20" i="6"/>
  <c r="H22" i="6"/>
  <c r="H6" i="6"/>
  <c r="C107" i="2"/>
  <c r="B95" i="2"/>
  <c r="B108" i="2"/>
  <c r="C133" i="2"/>
  <c r="C119" i="2"/>
  <c r="C157" i="2"/>
  <c r="C145" i="2"/>
  <c r="B133" i="2"/>
  <c r="B119" i="2"/>
  <c r="C106" i="2"/>
  <c r="B157" i="2"/>
  <c r="B145" i="2"/>
  <c r="C132" i="2"/>
  <c r="C118" i="2"/>
  <c r="B106" i="2"/>
  <c r="B94" i="2"/>
  <c r="C162" i="2"/>
  <c r="C138" i="2"/>
  <c r="C115" i="2"/>
  <c r="C103" i="2"/>
  <c r="C161" i="2"/>
  <c r="C149" i="2"/>
  <c r="C127" i="2"/>
  <c r="B161" i="2"/>
  <c r="B149" i="2"/>
  <c r="C136" i="2"/>
  <c r="C114" i="2"/>
  <c r="C102" i="2"/>
  <c r="E21" i="3"/>
  <c r="C39" i="2"/>
  <c r="C47" i="2"/>
  <c r="C55" i="2"/>
  <c r="C63" i="2"/>
  <c r="C71" i="2"/>
  <c r="D16" i="3"/>
  <c r="C40" i="2"/>
  <c r="C48" i="2"/>
  <c r="C56" i="2"/>
  <c r="C64" i="2"/>
  <c r="C72" i="2"/>
  <c r="D9" i="3"/>
  <c r="C34" i="2"/>
  <c r="C44" i="2"/>
  <c r="C54" i="2"/>
  <c r="C66" i="2"/>
  <c r="C35" i="2"/>
  <c r="C45" i="2"/>
  <c r="C67" i="2"/>
  <c r="C57" i="2"/>
  <c r="C36" i="2"/>
  <c r="C46" i="2"/>
  <c r="C68" i="2"/>
  <c r="C58" i="2"/>
  <c r="C37" i="2"/>
  <c r="C59" i="2"/>
  <c r="C69" i="2"/>
  <c r="C49" i="2"/>
  <c r="C38" i="2"/>
  <c r="C60" i="2"/>
  <c r="C70" i="2"/>
  <c r="C61" i="2"/>
  <c r="E20" i="3"/>
  <c r="D20" i="3"/>
  <c r="C62" i="2"/>
  <c r="C41" i="2"/>
  <c r="C42" i="2"/>
  <c r="C65" i="2"/>
  <c r="C43" i="2"/>
  <c r="C50" i="2"/>
  <c r="C73" i="2"/>
  <c r="C51" i="2"/>
  <c r="C74" i="2"/>
  <c r="C52" i="2"/>
  <c r="C53" i="2"/>
  <c r="C75" i="2"/>
  <c r="D47" i="2"/>
  <c r="D63" i="2"/>
  <c r="D44" i="2"/>
  <c r="D45" i="2"/>
  <c r="D61" i="2"/>
  <c r="D74" i="2"/>
  <c r="D56" i="2"/>
  <c r="D36" i="2"/>
  <c r="D60" i="2"/>
  <c r="D40" i="2"/>
  <c r="D48" i="2"/>
  <c r="D52" i="2"/>
  <c r="D67" i="2"/>
  <c r="D53" i="2"/>
  <c r="D72" i="2"/>
  <c r="D37" i="2"/>
  <c r="D49" i="2"/>
  <c r="D55" i="2"/>
  <c r="D73" i="2"/>
  <c r="D43" i="2"/>
  <c r="D62" i="2"/>
  <c r="D68" i="2"/>
  <c r="D38" i="2"/>
  <c r="D50" i="2"/>
  <c r="D57" i="2"/>
  <c r="D69" i="2"/>
  <c r="D51" i="2"/>
  <c r="D58" i="2"/>
  <c r="D75" i="2"/>
  <c r="D39" i="2"/>
  <c r="D64" i="2"/>
  <c r="D46" i="2"/>
  <c r="D65" i="2"/>
  <c r="D70" i="2"/>
  <c r="D71" i="2"/>
  <c r="D35" i="2"/>
  <c r="D66" i="2"/>
  <c r="D54" i="2"/>
  <c r="D34" i="2"/>
  <c r="D59" i="2"/>
  <c r="D41" i="2"/>
  <c r="D42" i="2"/>
  <c r="B110" i="2"/>
  <c r="B126" i="2"/>
  <c r="B142" i="2"/>
  <c r="B158" i="2"/>
  <c r="B105" i="2"/>
  <c r="B121" i="2"/>
  <c r="B137" i="2"/>
  <c r="B153" i="2"/>
  <c r="B100" i="2"/>
  <c r="B116" i="2"/>
  <c r="B132" i="2"/>
  <c r="B148" i="2"/>
  <c r="B164" i="2"/>
  <c r="B107" i="2"/>
  <c r="B123" i="2"/>
  <c r="B139" i="2"/>
  <c r="B155" i="2"/>
  <c r="B162" i="2"/>
  <c r="B141" i="2"/>
  <c r="B120" i="2"/>
  <c r="B160" i="2"/>
  <c r="B146" i="2"/>
  <c r="B125" i="2"/>
  <c r="B104" i="2"/>
  <c r="B152" i="2"/>
  <c r="B118" i="2"/>
  <c r="B166" i="2"/>
  <c r="B131" i="2"/>
  <c r="B111" i="2"/>
  <c r="B97" i="2"/>
  <c r="C160" i="2"/>
  <c r="C144" i="2"/>
  <c r="C128" i="2"/>
  <c r="C112" i="2"/>
  <c r="C96" i="2"/>
  <c r="C153" i="2"/>
  <c r="C137" i="2"/>
  <c r="C121" i="2"/>
  <c r="C105" i="2"/>
  <c r="C158" i="2"/>
  <c r="C142" i="2"/>
  <c r="C126" i="2"/>
  <c r="C110" i="2"/>
  <c r="J44" i="6"/>
  <c r="J19" i="6"/>
  <c r="J21" i="6"/>
  <c r="J13" i="6"/>
  <c r="J32" i="6"/>
  <c r="J12" i="6"/>
  <c r="J47" i="6"/>
  <c r="J46" i="6"/>
  <c r="J5" i="6"/>
  <c r="J42" i="6"/>
  <c r="J49" i="6"/>
  <c r="J15" i="6"/>
  <c r="J3" i="6"/>
  <c r="J33" i="6"/>
  <c r="J14" i="6"/>
  <c r="J39" i="6"/>
  <c r="J30" i="6"/>
  <c r="J45" i="6"/>
  <c r="J35" i="6"/>
  <c r="J41" i="6"/>
  <c r="J9" i="6"/>
  <c r="J31" i="6"/>
  <c r="J28" i="6"/>
  <c r="J43" i="6"/>
  <c r="J23" i="6"/>
  <c r="J17" i="6"/>
  <c r="J38" i="6"/>
  <c r="J10" i="6"/>
  <c r="J6" i="6"/>
  <c r="J48" i="6"/>
  <c r="J7" i="6"/>
  <c r="J37" i="6"/>
  <c r="J36" i="6"/>
  <c r="J11" i="6"/>
  <c r="J25" i="6"/>
  <c r="J4" i="6"/>
  <c r="J26" i="6"/>
  <c r="J34" i="6"/>
  <c r="J18" i="6"/>
  <c r="J29" i="6"/>
  <c r="J20" i="6"/>
  <c r="J27" i="6"/>
  <c r="J8" i="6"/>
  <c r="J24" i="6"/>
  <c r="J40" i="6"/>
  <c r="J22" i="6"/>
  <c r="G15" i="5"/>
  <c r="G4" i="5"/>
  <c r="G17" i="5"/>
  <c r="M6" i="7"/>
  <c r="G11" i="5"/>
  <c r="G13" i="5"/>
  <c r="G18" i="5"/>
  <c r="G14" i="5"/>
  <c r="I16" i="6"/>
  <c r="G10" i="5"/>
  <c r="G8" i="5"/>
  <c r="G3" i="5"/>
  <c r="G9" i="5"/>
  <c r="G5" i="5"/>
  <c r="G16" i="5"/>
  <c r="G7" i="5"/>
  <c r="D10" i="7" l="1"/>
  <c r="H9" i="7"/>
  <c r="F9" i="7"/>
  <c r="K9" i="7"/>
  <c r="E8" i="2"/>
  <c r="E80" i="2"/>
  <c r="E104" i="2"/>
  <c r="E120" i="2"/>
  <c r="E136" i="2"/>
  <c r="E152" i="2"/>
  <c r="E39" i="2"/>
  <c r="E47" i="2"/>
  <c r="E55" i="2"/>
  <c r="E63" i="2"/>
  <c r="E71" i="2"/>
  <c r="E9" i="2"/>
  <c r="E20" i="2"/>
  <c r="E28" i="2"/>
  <c r="E81" i="2"/>
  <c r="E99" i="2"/>
  <c r="E115" i="2"/>
  <c r="E131" i="2"/>
  <c r="E147" i="2"/>
  <c r="E163" i="2"/>
  <c r="E10" i="2"/>
  <c r="E82" i="2"/>
  <c r="E94" i="2"/>
  <c r="E110" i="2"/>
  <c r="E126" i="2"/>
  <c r="E142" i="2"/>
  <c r="E158" i="2"/>
  <c r="E34" i="2"/>
  <c r="E42" i="2"/>
  <c r="E50" i="2"/>
  <c r="E58" i="2"/>
  <c r="E66" i="2"/>
  <c r="E74" i="2"/>
  <c r="E15" i="2"/>
  <c r="E23" i="2"/>
  <c r="E31" i="2"/>
  <c r="E87" i="2"/>
  <c r="E101" i="2"/>
  <c r="E117" i="2"/>
  <c r="E133" i="2"/>
  <c r="E149" i="2"/>
  <c r="E165" i="2"/>
  <c r="E65" i="2"/>
  <c r="E2" i="2"/>
  <c r="E85" i="2"/>
  <c r="E151" i="2"/>
  <c r="E44" i="2"/>
  <c r="E54" i="2"/>
  <c r="E3" i="2"/>
  <c r="E19" i="2"/>
  <c r="E86" i="2"/>
  <c r="E103" i="2"/>
  <c r="E124" i="2"/>
  <c r="E138" i="2"/>
  <c r="E145" i="2"/>
  <c r="E159" i="2"/>
  <c r="E56" i="2"/>
  <c r="E4" i="2"/>
  <c r="E29" i="2"/>
  <c r="E88" i="2"/>
  <c r="E97" i="2"/>
  <c r="E111" i="2"/>
  <c r="E166" i="2"/>
  <c r="E89" i="2"/>
  <c r="E118" i="2"/>
  <c r="E139" i="2"/>
  <c r="E160" i="2"/>
  <c r="E35" i="2"/>
  <c r="E45" i="2"/>
  <c r="E67" i="2"/>
  <c r="E5" i="2"/>
  <c r="E132" i="2"/>
  <c r="E153" i="2"/>
  <c r="E57" i="2"/>
  <c r="E6" i="2"/>
  <c r="E21" i="2"/>
  <c r="E30" i="2"/>
  <c r="E90" i="2"/>
  <c r="E105" i="2"/>
  <c r="E112" i="2"/>
  <c r="E125" i="2"/>
  <c r="E146" i="2"/>
  <c r="E36" i="2"/>
  <c r="E46" i="2"/>
  <c r="E68" i="2"/>
  <c r="E7" i="2"/>
  <c r="E91" i="2"/>
  <c r="E98" i="2"/>
  <c r="E48" i="2"/>
  <c r="E11" i="2"/>
  <c r="E22" i="2"/>
  <c r="E92" i="2"/>
  <c r="E119" i="2"/>
  <c r="E140" i="2"/>
  <c r="E154" i="2"/>
  <c r="E161" i="2"/>
  <c r="E37" i="2"/>
  <c r="E59" i="2"/>
  <c r="E69" i="2"/>
  <c r="E12" i="2"/>
  <c r="E32" i="2"/>
  <c r="E93" i="2"/>
  <c r="E106" i="2"/>
  <c r="E113" i="2"/>
  <c r="E127" i="2"/>
  <c r="E49" i="2"/>
  <c r="E13" i="2"/>
  <c r="E134" i="2"/>
  <c r="E148" i="2"/>
  <c r="E155" i="2"/>
  <c r="E60" i="2"/>
  <c r="E16" i="2"/>
  <c r="E129" i="2"/>
  <c r="E27" i="2"/>
  <c r="E121" i="2"/>
  <c r="E130" i="2"/>
  <c r="E51" i="2"/>
  <c r="E38" i="2"/>
  <c r="E61" i="2"/>
  <c r="E17" i="2"/>
  <c r="E102" i="2"/>
  <c r="E157" i="2"/>
  <c r="E167" i="2"/>
  <c r="E78" i="2"/>
  <c r="E144" i="2"/>
  <c r="E40" i="2"/>
  <c r="E62" i="2"/>
  <c r="E18" i="2"/>
  <c r="E95" i="2"/>
  <c r="E122" i="2"/>
  <c r="E41" i="2"/>
  <c r="E64" i="2"/>
  <c r="E96" i="2"/>
  <c r="E114" i="2"/>
  <c r="E123" i="2"/>
  <c r="E141" i="2"/>
  <c r="E150" i="2"/>
  <c r="E70" i="2"/>
  <c r="E43" i="2"/>
  <c r="E72" i="2"/>
  <c r="E33" i="2"/>
  <c r="E162" i="2"/>
  <c r="E76" i="2"/>
  <c r="E107" i="2"/>
  <c r="E143" i="2"/>
  <c r="E73" i="2"/>
  <c r="E77" i="2"/>
  <c r="E116" i="2"/>
  <c r="E84" i="2"/>
  <c r="E135" i="2"/>
  <c r="E128" i="2"/>
  <c r="E53" i="2"/>
  <c r="E26" i="2"/>
  <c r="E24" i="2"/>
  <c r="E156" i="2"/>
  <c r="E137" i="2"/>
  <c r="E83" i="2"/>
  <c r="E52" i="2"/>
  <c r="E25" i="2"/>
  <c r="E75" i="2"/>
  <c r="E14" i="2"/>
  <c r="E108" i="2"/>
  <c r="E100" i="2"/>
  <c r="E109" i="2"/>
  <c r="E164" i="2"/>
  <c r="E79" i="2"/>
  <c r="K166" i="2"/>
  <c r="K89" i="2"/>
  <c r="L50" i="2"/>
  <c r="F141" i="2"/>
  <c r="F76" i="2"/>
  <c r="L89" i="2"/>
  <c r="K49" i="2"/>
  <c r="K71" i="2"/>
  <c r="F71" i="2"/>
  <c r="G49" i="2"/>
  <c r="K31" i="2"/>
  <c r="K106" i="2"/>
  <c r="K143" i="2"/>
  <c r="F100" i="2"/>
  <c r="K123" i="2"/>
  <c r="F161" i="2"/>
  <c r="K77" i="2"/>
  <c r="F135" i="2"/>
  <c r="L78" i="2"/>
  <c r="K33" i="2"/>
  <c r="F13" i="2"/>
  <c r="F134" i="2"/>
  <c r="K142" i="2"/>
  <c r="G128" i="2"/>
  <c r="K112" i="2"/>
  <c r="G141" i="2"/>
  <c r="G50" i="2"/>
  <c r="L25" i="2"/>
  <c r="K149" i="2"/>
  <c r="F109" i="2"/>
  <c r="G66" i="2"/>
  <c r="L101" i="2"/>
  <c r="L96" i="2"/>
  <c r="G79" i="2"/>
  <c r="G161" i="2"/>
  <c r="L111" i="2"/>
  <c r="G44" i="2"/>
  <c r="G162" i="2"/>
  <c r="G86" i="2"/>
  <c r="K82" i="2"/>
  <c r="G39" i="2"/>
  <c r="G69" i="2"/>
  <c r="K133" i="2"/>
  <c r="L163" i="2"/>
  <c r="K111" i="2"/>
  <c r="G143" i="2"/>
  <c r="L99" i="2"/>
  <c r="K68" i="2"/>
  <c r="L102" i="2"/>
  <c r="L10" i="2"/>
  <c r="F65" i="2"/>
  <c r="L103" i="2"/>
  <c r="G156" i="2"/>
  <c r="F45" i="2"/>
  <c r="L165" i="2"/>
  <c r="G51" i="2"/>
  <c r="L125" i="2"/>
  <c r="F166" i="2"/>
  <c r="L39" i="2"/>
  <c r="K50" i="2"/>
  <c r="K128" i="2"/>
  <c r="F48" i="2"/>
  <c r="K7" i="2"/>
  <c r="L51" i="2"/>
  <c r="F121" i="2"/>
  <c r="K58" i="2"/>
  <c r="F78" i="2"/>
  <c r="G91" i="2"/>
  <c r="L144" i="2"/>
  <c r="F60" i="2"/>
  <c r="L160" i="2"/>
  <c r="G134" i="2"/>
  <c r="F81" i="2"/>
  <c r="G110" i="2"/>
  <c r="L5" i="2"/>
  <c r="F51" i="2"/>
  <c r="G142" i="2"/>
  <c r="K67" i="2"/>
  <c r="L113" i="2"/>
  <c r="K108" i="2"/>
  <c r="F63" i="2"/>
  <c r="F59" i="2"/>
  <c r="G106" i="2"/>
  <c r="K101" i="2"/>
  <c r="L4" i="2"/>
  <c r="G118" i="2"/>
  <c r="L112" i="2"/>
  <c r="L161" i="2"/>
  <c r="K156" i="2"/>
  <c r="L9" i="2"/>
  <c r="K90" i="2"/>
  <c r="L118" i="2"/>
  <c r="K158" i="2"/>
  <c r="F12" i="2"/>
  <c r="F117" i="2"/>
  <c r="K147" i="2"/>
  <c r="F27" i="2"/>
  <c r="L154" i="2"/>
  <c r="F82" i="2"/>
  <c r="K92" i="2"/>
  <c r="L109" i="2"/>
  <c r="L79" i="2"/>
  <c r="K91" i="2"/>
  <c r="L74" i="2"/>
  <c r="K100" i="2"/>
  <c r="L32" i="2"/>
  <c r="G151" i="2"/>
  <c r="G36" i="2"/>
  <c r="F130" i="2"/>
  <c r="G99" i="2"/>
  <c r="L147" i="2"/>
  <c r="F9" i="2"/>
  <c r="G89" i="2"/>
  <c r="G149" i="2"/>
  <c r="L27" i="2"/>
  <c r="F47" i="2"/>
  <c r="F147" i="2"/>
  <c r="K145" i="2"/>
  <c r="L29" i="2"/>
  <c r="K104" i="2"/>
  <c r="F110" i="2"/>
  <c r="F3" i="2"/>
  <c r="F87" i="2"/>
  <c r="K6" i="2"/>
  <c r="L124" i="2"/>
  <c r="G72" i="2"/>
  <c r="G112" i="2"/>
  <c r="K119" i="2"/>
  <c r="G145" i="2"/>
  <c r="F167" i="2"/>
  <c r="G103" i="2"/>
  <c r="L156" i="2"/>
  <c r="G60" i="2"/>
  <c r="L72" i="2"/>
  <c r="G131" i="2"/>
  <c r="L16" i="2"/>
  <c r="L88" i="2"/>
  <c r="L57" i="2"/>
  <c r="K47" i="2"/>
  <c r="G139" i="2"/>
  <c r="G105" i="2"/>
  <c r="F22" i="2"/>
  <c r="G45" i="2"/>
  <c r="L47" i="2"/>
  <c r="L34" i="2"/>
  <c r="K8" i="2"/>
  <c r="K124" i="2"/>
  <c r="L107" i="2"/>
  <c r="L84" i="2"/>
  <c r="F92" i="2"/>
  <c r="L128" i="2"/>
  <c r="K141" i="2"/>
  <c r="G140" i="2"/>
  <c r="L73" i="2"/>
  <c r="F80" i="2"/>
  <c r="G114" i="2"/>
  <c r="G67" i="2"/>
  <c r="F57" i="2"/>
  <c r="K95" i="2"/>
  <c r="K45" i="2"/>
  <c r="L166" i="2"/>
  <c r="F2" i="2"/>
  <c r="K62" i="2"/>
  <c r="K131" i="2"/>
  <c r="L76" i="2"/>
  <c r="F115" i="2"/>
  <c r="G38" i="2"/>
  <c r="G88" i="2"/>
  <c r="L41" i="2"/>
  <c r="L67" i="2"/>
  <c r="F39" i="2"/>
  <c r="K22" i="2"/>
  <c r="L136" i="2"/>
  <c r="L43" i="2"/>
  <c r="L138" i="2"/>
  <c r="G56" i="2"/>
  <c r="F52" i="2"/>
  <c r="G40" i="2"/>
  <c r="F72" i="2"/>
  <c r="F128" i="2"/>
  <c r="G75" i="2"/>
  <c r="K75" i="2"/>
  <c r="F21" i="2"/>
  <c r="F67" i="2"/>
  <c r="L23" i="2"/>
  <c r="F165" i="2"/>
  <c r="L35" i="2"/>
  <c r="F122" i="2"/>
  <c r="G158" i="2"/>
  <c r="K167" i="2"/>
  <c r="L69" i="2"/>
  <c r="K13" i="2"/>
  <c r="F69" i="2"/>
  <c r="K155" i="2"/>
  <c r="F133" i="2"/>
  <c r="G153" i="2"/>
  <c r="F146" i="2"/>
  <c r="F64" i="2"/>
  <c r="K28" i="2"/>
  <c r="K73" i="2"/>
  <c r="L49" i="2"/>
  <c r="G121" i="2"/>
  <c r="L93" i="2"/>
  <c r="K115" i="2"/>
  <c r="L55" i="2"/>
  <c r="G93" i="2"/>
  <c r="K105" i="2"/>
  <c r="F37" i="2"/>
  <c r="L12" i="2"/>
  <c r="G94" i="2"/>
  <c r="J16" i="6"/>
  <c r="F6" i="2"/>
  <c r="F149" i="2"/>
  <c r="G58" i="2"/>
  <c r="L119" i="2"/>
  <c r="G97" i="2"/>
  <c r="L95" i="2"/>
  <c r="F90" i="2"/>
  <c r="K151" i="2"/>
  <c r="F25" i="2"/>
  <c r="F114" i="2"/>
  <c r="K163" i="2"/>
  <c r="F96" i="2"/>
  <c r="L127" i="2"/>
  <c r="K52" i="2"/>
  <c r="K24" i="2"/>
  <c r="K138" i="2"/>
  <c r="L53" i="2"/>
  <c r="L30" i="2"/>
  <c r="F156" i="2"/>
  <c r="L36" i="2"/>
  <c r="L94" i="2"/>
  <c r="K29" i="2"/>
  <c r="F84" i="2"/>
  <c r="G132" i="2"/>
  <c r="L140" i="2"/>
  <c r="G137" i="2"/>
  <c r="G124" i="2"/>
  <c r="L120" i="2"/>
  <c r="F62" i="2"/>
  <c r="F159" i="2"/>
  <c r="G100" i="2"/>
  <c r="L42" i="2"/>
  <c r="G55" i="2"/>
  <c r="L90" i="2"/>
  <c r="F34" i="2"/>
  <c r="F106" i="2"/>
  <c r="F85" i="2"/>
  <c r="F160" i="2"/>
  <c r="L22" i="2"/>
  <c r="K120" i="2"/>
  <c r="F142" i="2"/>
  <c r="L149" i="2"/>
  <c r="G117" i="2"/>
  <c r="K18" i="2"/>
  <c r="K114" i="2"/>
  <c r="L134" i="2"/>
  <c r="K19" i="2"/>
  <c r="K3" i="2"/>
  <c r="K15" i="2"/>
  <c r="K61" i="2"/>
  <c r="K54" i="2"/>
  <c r="G165" i="2"/>
  <c r="K78" i="2"/>
  <c r="F35" i="2"/>
  <c r="F29" i="2"/>
  <c r="L87" i="2"/>
  <c r="L104" i="2"/>
  <c r="F11" i="2"/>
  <c r="L85" i="2"/>
  <c r="F32" i="2"/>
  <c r="G119" i="2"/>
  <c r="G101" i="2"/>
  <c r="L66" i="2"/>
  <c r="L58" i="2"/>
  <c r="L60" i="2"/>
  <c r="L20" i="2"/>
  <c r="L123" i="2"/>
  <c r="G43" i="2"/>
  <c r="G42" i="2"/>
  <c r="F137" i="2"/>
  <c r="L141" i="2"/>
  <c r="F43" i="2"/>
  <c r="K109" i="2"/>
  <c r="F79" i="2"/>
  <c r="K96" i="2"/>
  <c r="F20" i="2"/>
  <c r="K16" i="2"/>
  <c r="K74" i="2"/>
  <c r="F91" i="2"/>
  <c r="K9" i="2"/>
  <c r="K76" i="2"/>
  <c r="L44" i="2"/>
  <c r="K146" i="2"/>
  <c r="K56" i="2"/>
  <c r="K152" i="2"/>
  <c r="K65" i="2"/>
  <c r="F123" i="2"/>
  <c r="L17" i="2"/>
  <c r="G57" i="2"/>
  <c r="G62" i="2"/>
  <c r="G54" i="2"/>
  <c r="K48" i="2"/>
  <c r="F55" i="2"/>
  <c r="K84" i="2"/>
  <c r="K83" i="2"/>
  <c r="K40" i="2"/>
  <c r="K43" i="2"/>
  <c r="G65" i="2"/>
  <c r="L148" i="2"/>
  <c r="G64" i="2"/>
  <c r="K93" i="2"/>
  <c r="K157" i="2"/>
  <c r="F125" i="2"/>
  <c r="L82" i="2"/>
  <c r="F36" i="2"/>
  <c r="L14" i="2"/>
  <c r="K110" i="2"/>
  <c r="G71" i="2"/>
  <c r="K60" i="2"/>
  <c r="K46" i="2"/>
  <c r="F111" i="2"/>
  <c r="F158" i="2"/>
  <c r="F8" i="2"/>
  <c r="G53" i="2"/>
  <c r="F70" i="2"/>
  <c r="G115" i="2"/>
  <c r="G87" i="2"/>
  <c r="K38" i="2"/>
  <c r="K126" i="2"/>
  <c r="K150" i="2"/>
  <c r="G147" i="2"/>
  <c r="G84" i="2"/>
  <c r="L126" i="2"/>
  <c r="F153" i="2"/>
  <c r="L108" i="2"/>
  <c r="F33" i="2"/>
  <c r="F83" i="2"/>
  <c r="G157" i="2"/>
  <c r="G34" i="2"/>
  <c r="K10" i="2"/>
  <c r="K23" i="2"/>
  <c r="G111" i="2"/>
  <c r="K27" i="2"/>
  <c r="K94" i="2"/>
  <c r="L70" i="2"/>
  <c r="G90" i="2"/>
  <c r="K140" i="2"/>
  <c r="F38" i="2"/>
  <c r="F112" i="2"/>
  <c r="F99" i="2"/>
  <c r="F24" i="2"/>
  <c r="K5" i="2"/>
  <c r="L71" i="2"/>
  <c r="F140" i="2"/>
  <c r="K122" i="2"/>
  <c r="K39" i="2"/>
  <c r="G70" i="2"/>
  <c r="L131" i="2"/>
  <c r="G52" i="2"/>
  <c r="K113" i="2"/>
  <c r="F40" i="2"/>
  <c r="F26" i="2"/>
  <c r="F162" i="2"/>
  <c r="G83" i="2"/>
  <c r="G152" i="2"/>
  <c r="G96" i="2"/>
  <c r="F17" i="2"/>
  <c r="L139" i="2"/>
  <c r="K165" i="2"/>
  <c r="F107" i="2"/>
  <c r="G133" i="2"/>
  <c r="K4" i="2"/>
  <c r="F126" i="2"/>
  <c r="G167" i="2"/>
  <c r="L100" i="2"/>
  <c r="G95" i="2"/>
  <c r="G136" i="2"/>
  <c r="L162" i="2"/>
  <c r="F154" i="2"/>
  <c r="L97" i="2"/>
  <c r="K41" i="2"/>
  <c r="G85" i="2"/>
  <c r="K86" i="2"/>
  <c r="L86" i="2"/>
  <c r="K97" i="2"/>
  <c r="G159" i="2"/>
  <c r="L151" i="2"/>
  <c r="G123" i="2"/>
  <c r="F131" i="2"/>
  <c r="L92" i="2"/>
  <c r="F113" i="2"/>
  <c r="F132" i="2"/>
  <c r="F14" i="2"/>
  <c r="G61" i="2"/>
  <c r="L145" i="2"/>
  <c r="G47" i="2"/>
  <c r="K35" i="2"/>
  <c r="K107" i="2"/>
  <c r="G77" i="2"/>
  <c r="F104" i="2"/>
  <c r="L152" i="2"/>
  <c r="K144" i="2"/>
  <c r="K136" i="2"/>
  <c r="F23" i="2"/>
  <c r="F61" i="2"/>
  <c r="G92" i="2"/>
  <c r="F95" i="2"/>
  <c r="K70" i="2"/>
  <c r="L80" i="2"/>
  <c r="F77" i="2"/>
  <c r="F127" i="2"/>
  <c r="K51" i="2"/>
  <c r="L48" i="2"/>
  <c r="G122" i="2"/>
  <c r="F93" i="2"/>
  <c r="K148" i="2"/>
  <c r="L130" i="2"/>
  <c r="F129" i="2"/>
  <c r="L153" i="2"/>
  <c r="L26" i="2"/>
  <c r="F74" i="2"/>
  <c r="G74" i="2"/>
  <c r="F118" i="2"/>
  <c r="K118" i="2"/>
  <c r="L28" i="2"/>
  <c r="L31" i="2"/>
  <c r="L7" i="2"/>
  <c r="F145" i="2"/>
  <c r="L18" i="2"/>
  <c r="K37" i="2"/>
  <c r="G155" i="2"/>
  <c r="F94" i="2"/>
  <c r="G68" i="2"/>
  <c r="F18" i="2"/>
  <c r="F101" i="2"/>
  <c r="F124" i="2"/>
  <c r="K127" i="2"/>
  <c r="F5" i="2"/>
  <c r="G129" i="2"/>
  <c r="K12" i="2"/>
  <c r="K72" i="2"/>
  <c r="L15" i="2"/>
  <c r="G35" i="2"/>
  <c r="K44" i="2"/>
  <c r="L52" i="2"/>
  <c r="L46" i="2"/>
  <c r="G63" i="2"/>
  <c r="F44" i="2"/>
  <c r="L63" i="2"/>
  <c r="G116" i="2"/>
  <c r="F31" i="2"/>
  <c r="L24" i="2"/>
  <c r="K14" i="2"/>
  <c r="K42" i="2"/>
  <c r="K64" i="2"/>
  <c r="L116" i="2"/>
  <c r="K85" i="2"/>
  <c r="F46" i="2"/>
  <c r="L133" i="2"/>
  <c r="F143" i="2"/>
  <c r="K116" i="2"/>
  <c r="K30" i="2"/>
  <c r="L2" i="2"/>
  <c r="F50" i="2"/>
  <c r="F53" i="2"/>
  <c r="K53" i="2"/>
  <c r="K154" i="2"/>
  <c r="K103" i="2"/>
  <c r="L114" i="2"/>
  <c r="F119" i="2"/>
  <c r="G144" i="2"/>
  <c r="K55" i="2"/>
  <c r="K21" i="2"/>
  <c r="F88" i="2"/>
  <c r="K32" i="2"/>
  <c r="K34" i="2"/>
  <c r="L65" i="2"/>
  <c r="L13" i="2"/>
  <c r="F164" i="2"/>
  <c r="F163" i="2"/>
  <c r="F97" i="2"/>
  <c r="K79" i="2"/>
  <c r="L91" i="2"/>
  <c r="L81" i="2"/>
  <c r="G125" i="2"/>
  <c r="K36" i="2"/>
  <c r="F73" i="2"/>
  <c r="F16" i="2"/>
  <c r="L68" i="2"/>
  <c r="L115" i="2"/>
  <c r="G150" i="2"/>
  <c r="L150" i="2"/>
  <c r="K162" i="2"/>
  <c r="K161" i="2"/>
  <c r="F150" i="2"/>
  <c r="K2" i="2"/>
  <c r="K130" i="2"/>
  <c r="K66" i="2"/>
  <c r="L59" i="2"/>
  <c r="K139" i="2"/>
  <c r="L110" i="2"/>
  <c r="L159" i="2"/>
  <c r="L38" i="2"/>
  <c r="L135" i="2"/>
  <c r="G46" i="2"/>
  <c r="G81" i="2"/>
  <c r="L117" i="2"/>
  <c r="G108" i="2"/>
  <c r="K160" i="2"/>
  <c r="L77" i="2"/>
  <c r="F136" i="2"/>
  <c r="F102" i="2"/>
  <c r="L37" i="2"/>
  <c r="F10" i="2"/>
  <c r="G166" i="2"/>
  <c r="F152" i="2"/>
  <c r="L105" i="2"/>
  <c r="L56" i="2"/>
  <c r="G98" i="2"/>
  <c r="F41" i="2"/>
  <c r="K57" i="2"/>
  <c r="K159" i="2"/>
  <c r="G160" i="2"/>
  <c r="L8" i="2"/>
  <c r="G148" i="2"/>
  <c r="G146" i="2"/>
  <c r="K87" i="2"/>
  <c r="L142" i="2"/>
  <c r="G102" i="2"/>
  <c r="L45" i="2"/>
  <c r="L121" i="2"/>
  <c r="G104" i="2"/>
  <c r="F144" i="2"/>
  <c r="G127" i="2"/>
  <c r="L40" i="2"/>
  <c r="K99" i="2"/>
  <c r="L155" i="2"/>
  <c r="L75" i="2"/>
  <c r="L122" i="2"/>
  <c r="K132" i="2"/>
  <c r="F120" i="2"/>
  <c r="F4" i="2"/>
  <c r="L6" i="2"/>
  <c r="G163" i="2"/>
  <c r="G76" i="2"/>
  <c r="K102" i="2"/>
  <c r="L158" i="2"/>
  <c r="K98" i="2"/>
  <c r="F30" i="2"/>
  <c r="L3" i="2"/>
  <c r="G82" i="2"/>
  <c r="K135" i="2"/>
  <c r="F15" i="2"/>
  <c r="K80" i="2"/>
  <c r="K121" i="2"/>
  <c r="G126" i="2"/>
  <c r="F116" i="2"/>
  <c r="L98" i="2"/>
  <c r="L19" i="2"/>
  <c r="F54" i="2"/>
  <c r="G78" i="2"/>
  <c r="G120" i="2"/>
  <c r="G48" i="2"/>
  <c r="F139" i="2"/>
  <c r="L21" i="2"/>
  <c r="K88" i="2"/>
  <c r="G135" i="2"/>
  <c r="G164" i="2"/>
  <c r="K69" i="2"/>
  <c r="F19" i="2"/>
  <c r="F56" i="2"/>
  <c r="G113" i="2"/>
  <c r="F66" i="2"/>
  <c r="F108" i="2"/>
  <c r="F28" i="2"/>
  <c r="F42" i="2"/>
  <c r="G73" i="2"/>
  <c r="G138" i="2"/>
  <c r="L54" i="2"/>
  <c r="L157" i="2"/>
  <c r="K17" i="2"/>
  <c r="K153" i="2"/>
  <c r="L33" i="2"/>
  <c r="F138" i="2"/>
  <c r="L64" i="2"/>
  <c r="G80" i="2"/>
  <c r="K81" i="2"/>
  <c r="G109" i="2"/>
  <c r="F86" i="2"/>
  <c r="L143" i="2"/>
  <c r="K25" i="2"/>
  <c r="K26" i="2"/>
  <c r="F148" i="2"/>
  <c r="G59" i="2"/>
  <c r="G37" i="2"/>
  <c r="L62" i="2"/>
  <c r="K134" i="2"/>
  <c r="F151" i="2"/>
  <c r="L61" i="2"/>
  <c r="F49" i="2"/>
  <c r="K117" i="2"/>
  <c r="L164" i="2"/>
  <c r="F157" i="2"/>
  <c r="K164" i="2"/>
  <c r="K137" i="2"/>
  <c r="F105" i="2"/>
  <c r="L83" i="2"/>
  <c r="L132" i="2"/>
  <c r="F89" i="2"/>
  <c r="L129" i="2"/>
  <c r="G154" i="2"/>
  <c r="F155" i="2"/>
  <c r="L106" i="2"/>
  <c r="K63" i="2"/>
  <c r="G41" i="2"/>
  <c r="K125" i="2"/>
  <c r="F75" i="2"/>
  <c r="G130" i="2"/>
  <c r="F68" i="2"/>
  <c r="L137" i="2"/>
  <c r="F7" i="2"/>
  <c r="F103" i="2"/>
  <c r="L146" i="2"/>
  <c r="F58" i="2"/>
  <c r="K20" i="2"/>
  <c r="K129" i="2"/>
  <c r="F98" i="2"/>
  <c r="G107" i="2"/>
  <c r="L167" i="2"/>
  <c r="K59" i="2"/>
  <c r="D11" i="7" l="1"/>
  <c r="H10" i="7"/>
  <c r="F10" i="7"/>
  <c r="K10" i="7"/>
  <c r="M10" i="7"/>
  <c r="D2" i="4" a="1"/>
  <c r="H11" i="7" l="1"/>
  <c r="F11" i="7"/>
  <c r="D12" i="7"/>
  <c r="K11" i="7"/>
  <c r="D64" i="4"/>
  <c r="D93" i="4"/>
  <c r="D13" i="4"/>
  <c r="D24" i="4"/>
  <c r="D111" i="4"/>
  <c r="D46" i="4"/>
  <c r="D125" i="4"/>
  <c r="D124" i="4"/>
  <c r="D105" i="4"/>
  <c r="D38" i="4"/>
  <c r="D83" i="4"/>
  <c r="D107" i="4"/>
  <c r="D31" i="4"/>
  <c r="D11" i="4"/>
  <c r="D112" i="4"/>
  <c r="D25" i="4"/>
  <c r="D26" i="4"/>
  <c r="D36" i="4"/>
  <c r="D20" i="4"/>
  <c r="D98" i="4"/>
  <c r="D118" i="4"/>
  <c r="D8" i="4"/>
  <c r="D76" i="4"/>
  <c r="D103" i="4"/>
  <c r="D15" i="4"/>
  <c r="D21" i="4"/>
  <c r="D2" i="4"/>
  <c r="D18" i="4"/>
  <c r="D55" i="4"/>
  <c r="D120" i="4"/>
  <c r="D86" i="4"/>
  <c r="D104" i="4"/>
  <c r="D5" i="4"/>
  <c r="D30" i="4"/>
  <c r="D88" i="4"/>
  <c r="D48" i="4"/>
  <c r="D113" i="4"/>
  <c r="D34" i="4"/>
  <c r="D91" i="4"/>
  <c r="D10" i="4"/>
  <c r="D116" i="4"/>
  <c r="D67" i="4"/>
  <c r="D97" i="4"/>
  <c r="D29" i="4"/>
  <c r="D14" i="4"/>
  <c r="D77" i="4"/>
  <c r="D70" i="4"/>
  <c r="D81" i="4"/>
  <c r="D80" i="4"/>
  <c r="D122" i="4"/>
  <c r="D117" i="4"/>
  <c r="D96" i="4"/>
  <c r="D47" i="4"/>
  <c r="D63" i="4"/>
  <c r="D123" i="4"/>
  <c r="D51" i="4"/>
  <c r="D28" i="4"/>
  <c r="D6" i="4"/>
  <c r="D101" i="4"/>
  <c r="D4" i="4"/>
  <c r="D35" i="4"/>
  <c r="D71" i="4"/>
  <c r="D94" i="4"/>
  <c r="D121" i="4"/>
  <c r="D110" i="4"/>
  <c r="D102" i="4"/>
  <c r="D106" i="4"/>
  <c r="D12" i="4"/>
  <c r="D114" i="4"/>
  <c r="D44" i="4"/>
  <c r="D75" i="4"/>
  <c r="D89" i="4"/>
  <c r="D22" i="4"/>
  <c r="D40" i="4"/>
  <c r="D85" i="4"/>
  <c r="D72" i="4"/>
  <c r="D43" i="4"/>
  <c r="D16" i="4"/>
  <c r="D53" i="4"/>
  <c r="D50" i="4"/>
  <c r="D57" i="4"/>
  <c r="D82" i="4"/>
  <c r="D119" i="4"/>
  <c r="D79" i="4"/>
  <c r="D109" i="4"/>
  <c r="D100" i="4"/>
  <c r="D61" i="4"/>
  <c r="D73" i="4"/>
  <c r="D78" i="4"/>
  <c r="D66" i="4"/>
  <c r="D95" i="4"/>
  <c r="D62" i="4"/>
  <c r="D37" i="4"/>
  <c r="D19" i="4"/>
  <c r="D65" i="4"/>
  <c r="D3" i="4"/>
  <c r="D108" i="4"/>
  <c r="D92" i="4"/>
  <c r="D7" i="4"/>
  <c r="D69" i="4"/>
  <c r="D49" i="4"/>
  <c r="D68" i="4"/>
  <c r="D41" i="4"/>
  <c r="D39" i="4"/>
  <c r="D42" i="4"/>
  <c r="D99" i="4"/>
  <c r="D58" i="4"/>
  <c r="D87" i="4"/>
  <c r="D33" i="4"/>
  <c r="D59" i="4"/>
  <c r="D84" i="4"/>
  <c r="D115" i="4"/>
  <c r="D9" i="4"/>
  <c r="D32" i="4"/>
  <c r="D17" i="4"/>
  <c r="D56" i="4"/>
  <c r="D90" i="4"/>
  <c r="D52" i="4"/>
  <c r="D23" i="4"/>
  <c r="D27" i="4"/>
  <c r="D126" i="4"/>
  <c r="D74" i="4"/>
  <c r="D60" i="4"/>
  <c r="D45" i="4"/>
  <c r="D54" i="4"/>
  <c r="F90" i="4"/>
  <c r="E54" i="4"/>
  <c r="F93" i="4"/>
  <c r="E121" i="4"/>
  <c r="E34" i="4"/>
  <c r="G79" i="4"/>
  <c r="H98" i="4"/>
  <c r="F118" i="4"/>
  <c r="F69" i="4"/>
  <c r="H18" i="4"/>
  <c r="F2" i="4"/>
  <c r="E33" i="4"/>
  <c r="F35" i="4"/>
  <c r="G74" i="4"/>
  <c r="G30" i="4"/>
  <c r="E80" i="4"/>
  <c r="H27" i="4"/>
  <c r="H77" i="4"/>
  <c r="E45" i="4"/>
  <c r="G84" i="4"/>
  <c r="E25" i="4"/>
  <c r="E104" i="4"/>
  <c r="G39" i="4"/>
  <c r="G95" i="4"/>
  <c r="F95" i="4"/>
  <c r="G12" i="4"/>
  <c r="E8" i="4"/>
  <c r="F50" i="4"/>
  <c r="F28" i="4"/>
  <c r="G53" i="4"/>
  <c r="H63" i="4"/>
  <c r="G119" i="4"/>
  <c r="G35" i="4"/>
  <c r="H41" i="4"/>
  <c r="E35" i="4"/>
  <c r="H71" i="4"/>
  <c r="G126" i="4"/>
  <c r="E49" i="4"/>
  <c r="H35" i="4"/>
  <c r="F111" i="4"/>
  <c r="F110" i="4"/>
  <c r="H73" i="4"/>
  <c r="B6" i="4"/>
  <c r="G13" i="4"/>
  <c r="F102" i="4"/>
  <c r="G4" i="4"/>
  <c r="E52" i="4"/>
  <c r="H6" i="4"/>
  <c r="F61" i="4"/>
  <c r="E105" i="4"/>
  <c r="H101" i="4"/>
  <c r="H60" i="4"/>
  <c r="H83" i="4"/>
  <c r="H4" i="4"/>
  <c r="F63" i="4"/>
  <c r="E38" i="4"/>
  <c r="H54" i="4"/>
  <c r="G93" i="4"/>
  <c r="H86" i="4"/>
  <c r="H94" i="4"/>
  <c r="H103" i="4"/>
  <c r="G15" i="4"/>
  <c r="E90" i="4"/>
  <c r="H8" i="4"/>
  <c r="F104" i="4"/>
  <c r="E30" i="4"/>
  <c r="G25" i="4"/>
  <c r="G109" i="4"/>
  <c r="F75" i="4"/>
  <c r="H39" i="4"/>
  <c r="F65" i="4"/>
  <c r="F32" i="4"/>
  <c r="H28" i="4"/>
  <c r="E91" i="4"/>
  <c r="H81" i="4"/>
  <c r="F40" i="4"/>
  <c r="F9" i="4"/>
  <c r="H113" i="4"/>
  <c r="F105" i="4"/>
  <c r="F20" i="4"/>
  <c r="G81" i="4"/>
  <c r="E106" i="4"/>
  <c r="F59" i="4"/>
  <c r="G46" i="4"/>
  <c r="G88" i="4"/>
  <c r="E77" i="4"/>
  <c r="E93" i="4"/>
  <c r="G87" i="4"/>
  <c r="G102" i="4"/>
  <c r="E64" i="4"/>
  <c r="F49" i="4"/>
  <c r="H82" i="4"/>
  <c r="H17" i="4"/>
  <c r="H106" i="4"/>
  <c r="E53" i="4"/>
  <c r="F72" i="4"/>
  <c r="G27" i="4"/>
  <c r="F15" i="4"/>
  <c r="G29" i="4"/>
  <c r="H67" i="4"/>
  <c r="E57" i="4"/>
  <c r="F26" i="4"/>
  <c r="E5" i="4"/>
  <c r="E27" i="4"/>
  <c r="G56" i="4"/>
  <c r="F7" i="4"/>
  <c r="E108" i="4"/>
  <c r="H111" i="4"/>
  <c r="E18" i="4"/>
  <c r="F99" i="4"/>
  <c r="G45" i="4"/>
  <c r="E13" i="4"/>
  <c r="H110" i="4"/>
  <c r="F71" i="4"/>
  <c r="E95" i="4"/>
  <c r="H56" i="4"/>
  <c r="E26" i="4"/>
  <c r="H123" i="4"/>
  <c r="F31" i="4"/>
  <c r="G72" i="4"/>
  <c r="E70" i="4"/>
  <c r="E24" i="4"/>
  <c r="F79" i="4"/>
  <c r="E124" i="4"/>
  <c r="G38" i="4"/>
  <c r="G76" i="4"/>
  <c r="H97" i="4"/>
  <c r="E114" i="4"/>
  <c r="E123" i="4"/>
  <c r="H14" i="4"/>
  <c r="G97" i="4"/>
  <c r="F48" i="4"/>
  <c r="F89" i="4"/>
  <c r="H44" i="4"/>
  <c r="G37" i="4"/>
  <c r="G31" i="4"/>
  <c r="E69" i="4"/>
  <c r="F22" i="4"/>
  <c r="H10" i="4"/>
  <c r="F38" i="4"/>
  <c r="H23" i="4"/>
  <c r="F62" i="4"/>
  <c r="G11" i="4"/>
  <c r="F126" i="4"/>
  <c r="F4" i="4"/>
  <c r="E71" i="4"/>
  <c r="H46" i="4"/>
  <c r="E29" i="4"/>
  <c r="E73" i="4"/>
  <c r="H49" i="4"/>
  <c r="E47" i="4"/>
  <c r="E63" i="4"/>
  <c r="G75" i="4"/>
  <c r="F81" i="4"/>
  <c r="E101" i="4"/>
  <c r="H47" i="4"/>
  <c r="F114" i="4"/>
  <c r="E46" i="4"/>
  <c r="E48" i="4"/>
  <c r="E39" i="4"/>
  <c r="H75" i="4"/>
  <c r="G51" i="4"/>
  <c r="H120" i="4"/>
  <c r="F70" i="4"/>
  <c r="E86" i="4"/>
  <c r="G124" i="4"/>
  <c r="G71" i="4"/>
  <c r="F29" i="4"/>
  <c r="H125" i="4"/>
  <c r="G57" i="4"/>
  <c r="F57" i="4"/>
  <c r="G49" i="4"/>
  <c r="E55" i="4"/>
  <c r="G62" i="4"/>
  <c r="H116" i="4"/>
  <c r="E76" i="4"/>
  <c r="E117" i="4"/>
  <c r="F34" i="4"/>
  <c r="E110" i="4"/>
  <c r="F77" i="4"/>
  <c r="G107" i="4"/>
  <c r="F108" i="4"/>
  <c r="F17" i="4"/>
  <c r="G6" i="4"/>
  <c r="H57" i="4"/>
  <c r="H72" i="4"/>
  <c r="F68" i="4"/>
  <c r="H79" i="4"/>
  <c r="G82" i="4"/>
  <c r="E68" i="4"/>
  <c r="H5" i="4"/>
  <c r="F115" i="4"/>
  <c r="F76" i="4"/>
  <c r="F12" i="4"/>
  <c r="G16" i="4"/>
  <c r="G85" i="4"/>
  <c r="H99" i="4"/>
  <c r="F80" i="4"/>
  <c r="H16" i="4"/>
  <c r="H102" i="4"/>
  <c r="H108" i="4"/>
  <c r="G14" i="4"/>
  <c r="G116" i="4"/>
  <c r="F39" i="4"/>
  <c r="F10" i="4"/>
  <c r="G21" i="4"/>
  <c r="G26" i="4"/>
  <c r="H74" i="4"/>
  <c r="G92" i="4"/>
  <c r="H13" i="4"/>
  <c r="H124" i="4"/>
  <c r="H59" i="4"/>
  <c r="F44" i="4"/>
  <c r="G40" i="4"/>
  <c r="E126" i="4"/>
  <c r="H105" i="4"/>
  <c r="F94" i="4"/>
  <c r="G23" i="4"/>
  <c r="G60" i="4"/>
  <c r="H38" i="4"/>
  <c r="F11" i="4"/>
  <c r="G65" i="4"/>
  <c r="G18" i="4"/>
  <c r="H31" i="4"/>
  <c r="E11" i="4"/>
  <c r="E56" i="4"/>
  <c r="E112" i="4"/>
  <c r="G33" i="4"/>
  <c r="G67" i="4"/>
  <c r="H50" i="4"/>
  <c r="F74" i="4"/>
  <c r="E102" i="4"/>
  <c r="E83" i="4"/>
  <c r="E44" i="4"/>
  <c r="F52" i="4"/>
  <c r="G96" i="4"/>
  <c r="E97" i="4"/>
  <c r="F14" i="4"/>
  <c r="H33" i="4"/>
  <c r="H55" i="4"/>
  <c r="F55" i="4"/>
  <c r="E113" i="4"/>
  <c r="G64" i="4"/>
  <c r="F27" i="4"/>
  <c r="G104" i="4"/>
  <c r="H48" i="4"/>
  <c r="F107" i="4"/>
  <c r="E7" i="4"/>
  <c r="H122" i="4"/>
  <c r="G2" i="4"/>
  <c r="G54" i="4"/>
  <c r="E116" i="4"/>
  <c r="F47" i="4"/>
  <c r="G22" i="4"/>
  <c r="F41" i="4"/>
  <c r="E58" i="4"/>
  <c r="E59" i="4"/>
  <c r="F43" i="4"/>
  <c r="G73" i="4"/>
  <c r="E37" i="4"/>
  <c r="G32" i="4"/>
  <c r="G99" i="4"/>
  <c r="E115" i="4"/>
  <c r="E61" i="4"/>
  <c r="H93" i="4"/>
  <c r="G47" i="4"/>
  <c r="G115" i="4"/>
  <c r="E118" i="4"/>
  <c r="E111" i="4"/>
  <c r="E12" i="4"/>
  <c r="H64" i="4"/>
  <c r="F46" i="4"/>
  <c r="G120" i="4"/>
  <c r="G83" i="4"/>
  <c r="G55" i="4"/>
  <c r="F66" i="4"/>
  <c r="H43" i="4"/>
  <c r="G8" i="4"/>
  <c r="E125" i="4"/>
  <c r="E20" i="4"/>
  <c r="G86" i="4"/>
  <c r="H3" i="4"/>
  <c r="E14" i="4"/>
  <c r="F82" i="4"/>
  <c r="F83" i="4"/>
  <c r="G58" i="4"/>
  <c r="F84" i="4"/>
  <c r="H9" i="4"/>
  <c r="H19" i="4"/>
  <c r="E51" i="4"/>
  <c r="E10" i="4"/>
  <c r="E81" i="4"/>
  <c r="G101" i="4"/>
  <c r="H24" i="4"/>
  <c r="F97" i="4"/>
  <c r="H112" i="4"/>
  <c r="H62" i="4"/>
  <c r="G117" i="4"/>
  <c r="H45" i="4"/>
  <c r="E79" i="4"/>
  <c r="F103" i="4"/>
  <c r="G122" i="4"/>
  <c r="F37" i="4"/>
  <c r="G105" i="4"/>
  <c r="G5" i="4"/>
  <c r="H66" i="4"/>
  <c r="G70" i="4"/>
  <c r="H104" i="4"/>
  <c r="H95" i="4"/>
  <c r="E40" i="4"/>
  <c r="H85" i="4"/>
  <c r="H20" i="4"/>
  <c r="H91" i="4"/>
  <c r="G66" i="4"/>
  <c r="G118" i="4"/>
  <c r="H30" i="4"/>
  <c r="E94" i="4"/>
  <c r="E84" i="4"/>
  <c r="F58" i="4"/>
  <c r="E66" i="4"/>
  <c r="G77" i="4"/>
  <c r="F21" i="4"/>
  <c r="G80" i="4"/>
  <c r="H25" i="4"/>
  <c r="G103" i="4"/>
  <c r="H96" i="4"/>
  <c r="F36" i="4"/>
  <c r="G20" i="4"/>
  <c r="E122" i="4"/>
  <c r="E62" i="4"/>
  <c r="H37" i="4"/>
  <c r="G10" i="4"/>
  <c r="E28" i="4"/>
  <c r="E50" i="4"/>
  <c r="E100" i="4"/>
  <c r="G42" i="4"/>
  <c r="F8" i="4"/>
  <c r="E32" i="4"/>
  <c r="E6" i="4"/>
  <c r="H34" i="4"/>
  <c r="H118" i="4"/>
  <c r="H42" i="4"/>
  <c r="H58" i="4"/>
  <c r="M11" i="7"/>
  <c r="E87" i="4"/>
  <c r="H88" i="4"/>
  <c r="E107" i="4"/>
  <c r="G19" i="4"/>
  <c r="H76" i="4"/>
  <c r="F119" i="4"/>
  <c r="H15" i="4"/>
  <c r="H117" i="4"/>
  <c r="G24" i="4"/>
  <c r="G123" i="4"/>
  <c r="G110" i="4"/>
  <c r="F3" i="4"/>
  <c r="H52" i="4"/>
  <c r="G63" i="4"/>
  <c r="E99" i="4"/>
  <c r="F23" i="4"/>
  <c r="F124" i="4"/>
  <c r="F56" i="4"/>
  <c r="G98" i="4"/>
  <c r="F113" i="4"/>
  <c r="H90" i="4"/>
  <c r="H80" i="4"/>
  <c r="G111" i="4"/>
  <c r="H40" i="4"/>
  <c r="F5" i="4"/>
  <c r="F73" i="4"/>
  <c r="G44" i="4"/>
  <c r="F88" i="4"/>
  <c r="G48" i="4"/>
  <c r="G125" i="4"/>
  <c r="G68" i="4"/>
  <c r="G78" i="4"/>
  <c r="G36" i="4"/>
  <c r="E119" i="4"/>
  <c r="E88" i="4"/>
  <c r="F92" i="4"/>
  <c r="H107" i="4"/>
  <c r="E3" i="4"/>
  <c r="H126" i="4"/>
  <c r="E65" i="4"/>
  <c r="H22" i="4"/>
  <c r="H61" i="4"/>
  <c r="G43" i="4"/>
  <c r="G7" i="4"/>
  <c r="H69" i="4"/>
  <c r="F25" i="4"/>
  <c r="G108" i="4"/>
  <c r="G114" i="4"/>
  <c r="E23" i="4"/>
  <c r="F30" i="4"/>
  <c r="F112" i="4"/>
  <c r="E96" i="4"/>
  <c r="F78" i="4"/>
  <c r="E21" i="4"/>
  <c r="E31" i="4"/>
  <c r="H114" i="4"/>
  <c r="F121" i="4"/>
  <c r="F100" i="4"/>
  <c r="F123" i="4"/>
  <c r="H7" i="4"/>
  <c r="H36" i="4"/>
  <c r="G41" i="4"/>
  <c r="H89" i="4"/>
  <c r="H51" i="4"/>
  <c r="G9" i="4"/>
  <c r="E17" i="4"/>
  <c r="G89" i="4"/>
  <c r="H92" i="4"/>
  <c r="F24" i="4"/>
  <c r="G113" i="4"/>
  <c r="F6" i="4"/>
  <c r="F54" i="4"/>
  <c r="G106" i="4"/>
  <c r="G59" i="4"/>
  <c r="G112" i="4"/>
  <c r="G121" i="4"/>
  <c r="E85" i="4"/>
  <c r="H84" i="4"/>
  <c r="E89" i="4"/>
  <c r="H2" i="4"/>
  <c r="F67" i="4"/>
  <c r="E67" i="4"/>
  <c r="H100" i="4"/>
  <c r="H70" i="4"/>
  <c r="F101" i="4"/>
  <c r="F19" i="4"/>
  <c r="F51" i="4"/>
  <c r="H65" i="4"/>
  <c r="G52" i="4"/>
  <c r="E43" i="4"/>
  <c r="G91" i="4"/>
  <c r="G69" i="4"/>
  <c r="G17" i="4"/>
  <c r="H29" i="4"/>
  <c r="F18" i="4"/>
  <c r="F109" i="4"/>
  <c r="H119" i="4"/>
  <c r="E16" i="4"/>
  <c r="G34" i="4"/>
  <c r="F120" i="4"/>
  <c r="F42" i="4"/>
  <c r="E19" i="4"/>
  <c r="E98" i="4"/>
  <c r="F125" i="4"/>
  <c r="G90" i="4"/>
  <c r="E103" i="4"/>
  <c r="F33" i="4"/>
  <c r="G3" i="4"/>
  <c r="E36" i="4"/>
  <c r="E42" i="4"/>
  <c r="E41" i="4"/>
  <c r="E22" i="4"/>
  <c r="H109" i="4"/>
  <c r="H32" i="4"/>
  <c r="E72" i="4"/>
  <c r="H53" i="4"/>
  <c r="F16" i="4"/>
  <c r="F98" i="4"/>
  <c r="E4" i="4"/>
  <c r="E9" i="4"/>
  <c r="F64" i="4"/>
  <c r="F86" i="4"/>
  <c r="H115" i="4"/>
  <c r="E74" i="4"/>
  <c r="F116" i="4"/>
  <c r="F85" i="4"/>
  <c r="G28" i="4"/>
  <c r="G50" i="4"/>
  <c r="G61" i="4"/>
  <c r="E82" i="4"/>
  <c r="E2" i="4"/>
  <c r="E92" i="4"/>
  <c r="F122" i="4"/>
  <c r="G100" i="4"/>
  <c r="F53" i="4"/>
  <c r="H68" i="4"/>
  <c r="F96" i="4"/>
  <c r="F106" i="4"/>
  <c r="H26" i="4"/>
  <c r="F117" i="4"/>
  <c r="F60" i="4"/>
  <c r="E78" i="4"/>
  <c r="H21" i="4"/>
  <c r="F87" i="4"/>
  <c r="G94" i="4"/>
  <c r="F13" i="4"/>
  <c r="H11" i="4"/>
  <c r="E15" i="4"/>
  <c r="E60" i="4"/>
  <c r="H121" i="4"/>
  <c r="H12" i="4"/>
  <c r="E75" i="4"/>
  <c r="F45" i="4"/>
  <c r="F91" i="4"/>
  <c r="H87" i="4"/>
  <c r="E120" i="4"/>
  <c r="H78" i="4"/>
  <c r="E109" i="4"/>
  <c r="D13" i="7" l="1"/>
  <c r="H12" i="7"/>
  <c r="F12" i="7"/>
  <c r="K12" i="7"/>
  <c r="M12" i="7"/>
  <c r="K13" i="7" l="1"/>
  <c r="D14" i="7"/>
  <c r="H13" i="7"/>
  <c r="F13" i="7"/>
  <c r="H14" i="7" l="1"/>
  <c r="F14" i="7"/>
  <c r="K14" i="7"/>
  <c r="D15" i="7"/>
  <c r="M13" i="7"/>
  <c r="D16" i="7" l="1"/>
  <c r="H15" i="7"/>
  <c r="F15" i="7"/>
  <c r="K15" i="7"/>
  <c r="M15" i="7"/>
  <c r="M14" i="7"/>
  <c r="F16" i="7" l="1"/>
  <c r="K16" i="7"/>
  <c r="H16" i="7"/>
  <c r="D17" i="7"/>
  <c r="M16" i="7"/>
  <c r="F17" i="7" l="1"/>
  <c r="D18" i="7"/>
  <c r="H17" i="7"/>
  <c r="K17" i="7"/>
  <c r="M17" i="7"/>
  <c r="H18" i="7" l="1"/>
  <c r="D19" i="7"/>
  <c r="F18" i="7"/>
  <c r="K18" i="7"/>
  <c r="H19" i="7" l="1"/>
  <c r="F19" i="7"/>
  <c r="D20" i="7"/>
  <c r="K19" i="7"/>
  <c r="M18" i="7"/>
  <c r="M19" i="7"/>
  <c r="F20" i="7" l="1"/>
  <c r="D21" i="7"/>
  <c r="H20" i="7"/>
  <c r="K20" i="7"/>
  <c r="M20" i="7"/>
  <c r="K21" i="7" l="1"/>
  <c r="H21" i="7"/>
  <c r="F21" i="7"/>
  <c r="D22" i="7"/>
  <c r="M21" i="7"/>
  <c r="D23" i="7" l="1"/>
  <c r="K22" i="7"/>
  <c r="H22" i="7"/>
  <c r="F22" i="7"/>
  <c r="M22" i="7"/>
  <c r="F23" i="7" l="1"/>
  <c r="K23" i="7"/>
  <c r="H23" i="7"/>
  <c r="D24" i="7"/>
  <c r="M23" i="7"/>
  <c r="D25" i="7" l="1"/>
  <c r="H24" i="7"/>
  <c r="F24" i="7"/>
  <c r="K24" i="7"/>
  <c r="M24" i="7"/>
  <c r="H25" i="7" l="1"/>
  <c r="F25" i="7"/>
  <c r="D26" i="7"/>
  <c r="K25" i="7"/>
  <c r="M25" i="7"/>
  <c r="D27" i="7" l="1"/>
  <c r="H26" i="7"/>
  <c r="F26" i="7"/>
  <c r="K26" i="7"/>
  <c r="M26" i="7"/>
  <c r="F27" i="7" l="1"/>
  <c r="D28" i="7"/>
  <c r="K27" i="7"/>
  <c r="H27" i="7"/>
  <c r="M27" i="7"/>
  <c r="H28" i="7" l="1"/>
  <c r="D29" i="7"/>
  <c r="F28" i="7"/>
  <c r="K28" i="7"/>
  <c r="M28" i="7"/>
  <c r="K29" i="7" l="1"/>
  <c r="D30" i="7"/>
  <c r="H29" i="7"/>
  <c r="F29" i="7"/>
  <c r="M29" i="7"/>
  <c r="H30" i="7" l="1"/>
  <c r="F30" i="7"/>
  <c r="D31" i="7"/>
  <c r="K30" i="7"/>
  <c r="M30" i="7"/>
  <c r="H31" i="7" l="1"/>
  <c r="D32" i="7"/>
  <c r="F31" i="7"/>
  <c r="K31" i="7"/>
  <c r="M31" i="7"/>
  <c r="K32" i="7" l="1"/>
  <c r="H32" i="7"/>
  <c r="D33" i="7"/>
  <c r="F32" i="7"/>
  <c r="M32" i="7"/>
  <c r="D34" i="7" l="1"/>
  <c r="F33" i="7"/>
  <c r="H33" i="7"/>
  <c r="K33" i="7"/>
  <c r="H34" i="7" l="1"/>
  <c r="F34" i="7"/>
  <c r="D35" i="7"/>
  <c r="K34" i="7"/>
  <c r="M33" i="7"/>
  <c r="H35" i="7" l="1"/>
  <c r="F35" i="7"/>
  <c r="D36" i="7"/>
  <c r="K35" i="7"/>
  <c r="M34" i="7"/>
  <c r="F36" i="7" l="1"/>
  <c r="D37" i="7"/>
  <c r="H36" i="7"/>
  <c r="K36" i="7"/>
  <c r="M35" i="7"/>
  <c r="M36" i="7"/>
  <c r="H37" i="7" l="1"/>
  <c r="F37" i="7"/>
  <c r="D38" i="7"/>
  <c r="K37" i="7"/>
  <c r="K38" i="7" l="1"/>
  <c r="D39" i="7"/>
  <c r="H38" i="7"/>
  <c r="F38" i="7"/>
  <c r="M38" i="7"/>
  <c r="M37" i="7"/>
  <c r="F39" i="7" l="1"/>
  <c r="H39" i="7"/>
  <c r="K39" i="7"/>
  <c r="D40" i="7"/>
  <c r="M39" i="7"/>
  <c r="D41" i="7" l="1"/>
  <c r="H40" i="7"/>
  <c r="F40" i="7"/>
  <c r="K40" i="7"/>
  <c r="M40" i="7"/>
  <c r="K41" i="7" l="1"/>
  <c r="H41" i="7"/>
  <c r="D42" i="7"/>
  <c r="F41" i="7"/>
  <c r="M41" i="7"/>
  <c r="H42" i="7" l="1"/>
  <c r="F42" i="7"/>
  <c r="K42" i="7"/>
  <c r="A7" i="4"/>
  <c r="C28" i="3"/>
  <c r="D14" i="3"/>
  <c r="D31" i="3" s="1"/>
  <c r="B7" i="4"/>
  <c r="D15" i="3"/>
  <c r="C27" i="3"/>
  <c r="I1" i="4" a="1"/>
  <c r="D30" i="3"/>
  <c r="I118" i="4" l="1"/>
  <c r="I89" i="4"/>
  <c r="I80" i="4"/>
  <c r="I57" i="4"/>
  <c r="I72" i="4"/>
  <c r="I37" i="4"/>
  <c r="I13" i="4"/>
  <c r="I5" i="4"/>
  <c r="I114" i="4"/>
  <c r="I81" i="4"/>
  <c r="I38" i="4"/>
  <c r="I30" i="4"/>
  <c r="I50" i="4"/>
  <c r="I78" i="4"/>
  <c r="I49" i="4"/>
  <c r="I71" i="4"/>
  <c r="I26" i="4"/>
  <c r="I76" i="4"/>
  <c r="I21" i="4"/>
  <c r="I44" i="4"/>
  <c r="I79" i="4"/>
  <c r="I126" i="4"/>
  <c r="I40" i="4"/>
  <c r="I2" i="4"/>
  <c r="I64" i="4"/>
  <c r="I88" i="4"/>
  <c r="I82" i="4"/>
  <c r="I77" i="4"/>
  <c r="I34" i="4"/>
  <c r="I65" i="4"/>
  <c r="I97" i="4"/>
  <c r="I113" i="4"/>
  <c r="I56" i="4"/>
  <c r="I73" i="4"/>
  <c r="I41" i="4"/>
  <c r="I11" i="4"/>
  <c r="I99" i="4"/>
  <c r="I4" i="4"/>
  <c r="I20" i="4"/>
  <c r="I17" i="4"/>
  <c r="I8" i="4"/>
  <c r="I100" i="4"/>
  <c r="I46" i="4"/>
  <c r="I24" i="4"/>
  <c r="I6" i="4"/>
  <c r="I121" i="4"/>
  <c r="I125" i="4"/>
  <c r="I75" i="4"/>
  <c r="I16" i="4"/>
  <c r="I35" i="4"/>
  <c r="I95" i="4"/>
  <c r="I107" i="4"/>
  <c r="I109" i="4"/>
  <c r="I36" i="4"/>
  <c r="I96" i="4"/>
  <c r="I19" i="4"/>
  <c r="I53" i="4"/>
  <c r="I69" i="4"/>
  <c r="I27" i="4"/>
  <c r="I7" i="4"/>
  <c r="I54" i="4"/>
  <c r="I86" i="4"/>
  <c r="I47" i="4"/>
  <c r="I117" i="4"/>
  <c r="I59" i="4"/>
  <c r="I83" i="4"/>
  <c r="I62" i="4"/>
  <c r="I119" i="4"/>
  <c r="I84" i="4"/>
  <c r="I123" i="4"/>
  <c r="I111" i="4"/>
  <c r="I25" i="4"/>
  <c r="I85" i="4"/>
  <c r="I45" i="4"/>
  <c r="I42" i="4"/>
  <c r="I102" i="4"/>
  <c r="I32" i="4"/>
  <c r="I94" i="4"/>
  <c r="I3" i="4"/>
  <c r="I58" i="4"/>
  <c r="I60" i="4"/>
  <c r="I112" i="4"/>
  <c r="I116" i="4"/>
  <c r="I51" i="4"/>
  <c r="I18" i="4"/>
  <c r="I93" i="4"/>
  <c r="I9" i="4"/>
  <c r="I1" i="4"/>
  <c r="I31" i="4"/>
  <c r="I63" i="4"/>
  <c r="I22" i="4"/>
  <c r="I29" i="4"/>
  <c r="I74" i="4"/>
  <c r="I103" i="4"/>
  <c r="I106" i="4"/>
  <c r="I110" i="4"/>
  <c r="I23" i="4"/>
  <c r="I15" i="4"/>
  <c r="I124" i="4"/>
  <c r="I87" i="4"/>
  <c r="I33" i="4"/>
  <c r="I28" i="4"/>
  <c r="I61" i="4"/>
  <c r="I43" i="4"/>
  <c r="I101" i="4"/>
  <c r="I68" i="4"/>
  <c r="I92" i="4"/>
  <c r="I120" i="4"/>
  <c r="I66" i="4"/>
  <c r="I12" i="4"/>
  <c r="I39" i="4"/>
  <c r="I14" i="4"/>
  <c r="I122" i="4"/>
  <c r="I105" i="4"/>
  <c r="I98" i="4"/>
  <c r="I70" i="4"/>
  <c r="I90" i="4"/>
  <c r="I115" i="4"/>
  <c r="I48" i="4"/>
  <c r="I55" i="4"/>
  <c r="I10" i="4"/>
  <c r="I108" i="4"/>
  <c r="I91" i="4"/>
  <c r="I104" i="4"/>
  <c r="I52" i="4"/>
  <c r="I67" i="4"/>
  <c r="D27" i="3"/>
  <c r="D28" i="3"/>
  <c r="D29" i="3"/>
  <c r="M42" i="7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<sst xmlns="http://schemas.openxmlformats.org/spreadsheetml/2006/main" count="394" uniqueCount="164">
  <si>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</si>
  <si>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</si>
  <si>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</si>
  <si>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</si>
  <si>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</si>
  <si>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</si>
  <si>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</si>
  <si>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</si>
  <si>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</si>
  <si>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</si>
  <si>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</si>
  <si>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</si>
  <si>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</si>
  <si>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</si>
  <si>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</si>
  <si>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</si>
  <si>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</si>
  <si>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</si>
  <si>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</si>
  <si>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</si>
  <si>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</si>
  <si>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</si>
  <si>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</si>
  <si>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</si>
  <si>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</si>
  <si>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</si>
  <si>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</si>
  <si>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</si>
  <si>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</si>
  <si>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</si>
  <si>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</si>
  <si>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</si>
  <si>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</si>
  <si>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</si>
  <si>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</si>
  <si>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</si>
  <si>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</si>
  <si>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</si>
  <si>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</si>
  <si>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</si>
  <si>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</si>
  <si>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</si>
  <si>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</si>
  <si>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</si>
  <si>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</si>
  <si>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</si>
  <si>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</si>
  <si>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</si>
  <si>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</si>
  <si>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</si>
  <si>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</si>
  <si>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</si>
  <si>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</si>
  <si>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</si>
  <si>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</si>
  <si>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</si>
  <si>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</si>
  <si>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</si>
  <si>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</si>
  <si>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</si>
  <si>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</si>
  <si>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</si>
  <si>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</si>
  <si>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</si>
  <si>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</si>
  <si>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</si>
  <si>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</si>
  <si>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</si>
  <si>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</si>
  <si>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</si>
  <si>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</si>
  <si>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</si>
  <si>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</si>
  <si>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</si>
  <si>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</si>
  <si>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</si>
  <si>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</si>
  <si>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</si>
  <si>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</si>
  <si>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</si>
  <si>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</si>
  <si>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</si>
  <si>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</si>
  <si>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</si>
  <si>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</si>
  <si>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</si>
  <si>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</si>
  <si>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</si>
  <si>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</si>
  <si>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</si>
  <si>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</si>
  <si>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</si>
  <si>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</si>
  <si>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</si>
  <si>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</si>
  <si>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</si>
  <si>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MonotonicLogCubicNaturalSpline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</si>
  <si>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</si>
  <si>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</si>
  <si>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</si>
  <si>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</si>
  <si>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</si>
  <si>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</si>
  <si>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</si>
  <si>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</si>
  <si>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</si>
  <si>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</si>
  <si>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</si>
  <si>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</si>
  <si>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</si>
  <si>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UnitedKingdom::Exchange</t>
  </si>
  <si>
    <t>Index</t>
  </si>
  <si>
    <t>Quote Object ID</t>
  </si>
  <si>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</si>
  <si>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</si>
  <si>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</si>
  <si>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</si>
  <si>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</si>
  <si>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</si>
  <si>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</si>
  <si>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</si>
  <si>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</si>
  <si>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</si>
  <si>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</si>
  <si>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</si>
  <si>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</si>
  <si>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</si>
  <si>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</si>
  <si>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Synthetic</t>
  </si>
  <si>
    <t>0D</t>
  </si>
  <si>
    <t>F1</t>
  </si>
  <si>
    <t>1D</t>
  </si>
  <si>
    <t>3L</t>
  </si>
  <si>
    <t>Fwd start</t>
  </si>
  <si>
    <t>Freq</t>
  </si>
  <si>
    <t>Business Day Convention</t>
  </si>
  <si>
    <t>Day Count Convention</t>
  </si>
  <si>
    <t>Spread</t>
  </si>
  <si>
    <t>Modified Following</t>
  </si>
  <si>
    <t>12L</t>
  </si>
  <si>
    <t>12E</t>
  </si>
  <si>
    <t>SB</t>
  </si>
  <si>
    <t>ADDITIONAL SETTINGS</t>
  </si>
  <si>
    <t xml:space="preserve"> </t>
  </si>
  <si>
    <t>FamilyName</t>
  </si>
  <si>
    <t>Libor</t>
  </si>
  <si>
    <t>QuoteSuffix</t>
  </si>
  <si>
    <t>_Quote</t>
  </si>
  <si>
    <t>Serialize</t>
  </si>
  <si>
    <t>SerializationPath</t>
  </si>
  <si>
    <t>FileOverwrite</t>
  </si>
  <si>
    <t>BondBasisDayCounter</t>
  </si>
  <si>
    <t>30/360 (Bond Basis)</t>
  </si>
  <si>
    <t>MoneyMarketDayCounter</t>
  </si>
  <si>
    <t>Actual/360</t>
  </si>
  <si>
    <t>Discounting</t>
  </si>
  <si>
    <t>Discounting2</t>
  </si>
  <si>
    <t>UsdON</t>
  </si>
  <si>
    <t>UsdSTD</t>
  </si>
  <si>
    <t>USD_020_ForwardSwapQuotes</t>
  </si>
  <si>
    <t>Swap index</t>
  </si>
  <si>
    <t>6L</t>
  </si>
  <si>
    <t>1w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</si>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</sst>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mm/dd/yy;@"/>
    <numFmt numFmtId="174" formatCode="[$-409]d\-mmm\-yy;@"/>
    <numFmt numFmtId="175" formatCode="General_)"/>
    <numFmt numFmtId="176" formatCode="#,##0.0;#,##0.0"/>
    <numFmt numFmtId="177" formatCode="&quot;£&quot;#,##0;[Red]\-&quot;£&quot;#,##0"/>
  </numFmts>
  <fonts count="23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i/>
      <sz val="8"/>
      <name val="Microsoft Sans Serif"/>
      <family val="2"/>
    </font>
    <font>
      <sz val="8"/>
      <name val="Microsoft Sans Serif"/>
      <family val="2"/>
    </font>
    <font>
      <sz val="8"/>
      <color indexed="10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5" fontId="13" fillId="0" borderId="0"/>
    <xf numFmtId="176" fontId="14" fillId="10" borderId="0">
      <alignment horizontal="center"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16" fillId="0" borderId="0"/>
    <xf numFmtId="0" fontId="1" fillId="0" borderId="0"/>
    <xf numFmtId="9" fontId="16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6">
    <xf numFmtId="0" fontId="0" fillId="0" borderId="0" xfId="0"/>
    <xf numFmtId="0" fontId="4" fillId="0" borderId="0" xfId="0" applyFont="1"/>
    <xf numFmtId="0" fontId="4" fillId="2" borderId="0" xfId="0" applyFont="1" applyFill="1" applyBorder="1" applyAlignment="1">
      <alignment horizontal="center"/>
    </xf>
    <xf numFmtId="0" fontId="4" fillId="7" borderId="0" xfId="1" applyFont="1" applyFill="1"/>
    <xf numFmtId="0" fontId="4" fillId="2" borderId="15" xfId="1" applyFont="1" applyFill="1" applyBorder="1"/>
    <xf numFmtId="0" fontId="3" fillId="4" borderId="24" xfId="0" applyFont="1" applyFill="1" applyBorder="1" applyAlignment="1">
      <alignment horizontal="right"/>
    </xf>
    <xf numFmtId="165" fontId="4" fillId="5" borderId="19" xfId="0" applyNumberFormat="1" applyFont="1" applyFill="1" applyBorder="1" applyAlignment="1">
      <alignment horizontal="center"/>
    </xf>
    <xf numFmtId="165" fontId="4" fillId="2" borderId="22" xfId="1" applyNumberFormat="1" applyFont="1" applyFill="1" applyBorder="1" applyAlignment="1">
      <alignment horizontal="center"/>
    </xf>
    <xf numFmtId="0" fontId="4" fillId="2" borderId="5" xfId="1" applyFont="1" applyFill="1" applyBorder="1"/>
    <xf numFmtId="0" fontId="4" fillId="0" borderId="0" xfId="1" applyFont="1"/>
    <xf numFmtId="0" fontId="3" fillId="2" borderId="0" xfId="1" applyFont="1" applyFill="1" applyBorder="1"/>
    <xf numFmtId="0" fontId="4" fillId="2" borderId="0" xfId="1" applyFont="1" applyFill="1" applyBorder="1"/>
    <xf numFmtId="0" fontId="4" fillId="4" borderId="25" xfId="1" applyFont="1" applyFill="1" applyBorder="1"/>
    <xf numFmtId="0" fontId="4" fillId="2" borderId="18" xfId="1" applyFont="1" applyFill="1" applyBorder="1" applyAlignment="1">
      <alignment horizontal="center"/>
    </xf>
    <xf numFmtId="0" fontId="4" fillId="4" borderId="24" xfId="1" applyFont="1" applyFill="1" applyBorder="1"/>
    <xf numFmtId="0" fontId="4" fillId="2" borderId="20" xfId="0" applyFont="1" applyFill="1" applyBorder="1" applyAlignment="1">
      <alignment horizontal="center"/>
    </xf>
    <xf numFmtId="0" fontId="4" fillId="4" borderId="24" xfId="0" applyFont="1" applyFill="1" applyBorder="1"/>
    <xf numFmtId="171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5" xfId="0" applyFont="1" applyFill="1" applyBorder="1" applyAlignment="1">
      <alignment horizontal="right"/>
    </xf>
    <xf numFmtId="166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6" fontId="4" fillId="5" borderId="18" xfId="0" applyNumberFormat="1" applyFont="1" applyFill="1" applyBorder="1" applyAlignment="1">
      <alignment horizontal="center"/>
    </xf>
    <xf numFmtId="3" fontId="4" fillId="5" borderId="20" xfId="0" applyNumberFormat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11" fontId="4" fillId="5" borderId="19" xfId="0" applyNumberFormat="1" applyFont="1" applyFill="1" applyBorder="1" applyAlignment="1">
      <alignment horizontal="center"/>
    </xf>
    <xf numFmtId="172" fontId="4" fillId="5" borderId="19" xfId="0" applyNumberFormat="1" applyFont="1" applyFill="1" applyBorder="1" applyAlignment="1">
      <alignment horizontal="center"/>
    </xf>
    <xf numFmtId="172" fontId="4" fillId="2" borderId="20" xfId="1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2" fontId="4" fillId="2" borderId="25" xfId="0" applyNumberFormat="1" applyFont="1" applyFill="1" applyBorder="1" applyAlignment="1">
      <alignment horizontal="right"/>
    </xf>
    <xf numFmtId="168" fontId="4" fillId="2" borderId="18" xfId="0" applyNumberFormat="1" applyFont="1" applyFill="1" applyBorder="1" applyAlignment="1">
      <alignment horizontal="center"/>
    </xf>
    <xf numFmtId="172" fontId="4" fillId="2" borderId="24" xfId="0" applyNumberFormat="1" applyFont="1" applyFill="1" applyBorder="1" applyAlignment="1">
      <alignment horizontal="right"/>
    </xf>
    <xf numFmtId="167" fontId="4" fillId="2" borderId="28" xfId="0" applyNumberFormat="1" applyFont="1" applyFill="1" applyBorder="1" applyAlignment="1">
      <alignment horizontal="righ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15" xfId="0" applyFont="1" applyFill="1" applyBorder="1"/>
    <xf numFmtId="0" fontId="4" fillId="2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4" fillId="2" borderId="5" xfId="0" applyFont="1" applyFill="1" applyBorder="1"/>
    <xf numFmtId="0" fontId="4" fillId="2" borderId="15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10" fillId="6" borderId="31" xfId="0" applyNumberFormat="1" applyFont="1" applyFill="1" applyBorder="1" applyAlignment="1" applyProtection="1">
      <alignment horizontal="center" vertical="center"/>
    </xf>
    <xf numFmtId="0" fontId="11" fillId="6" borderId="23" xfId="0" applyNumberFormat="1" applyFont="1" applyFill="1" applyBorder="1" applyAlignment="1" applyProtection="1">
      <alignment horizontal="left" vertical="center"/>
    </xf>
    <xf numFmtId="0" fontId="3" fillId="2" borderId="29" xfId="0" applyFont="1" applyFill="1" applyBorder="1" applyAlignment="1">
      <alignment horizontal="center" vertical="center" wrapText="1"/>
    </xf>
    <xf numFmtId="173" fontId="4" fillId="9" borderId="28" xfId="0" applyNumberFormat="1" applyFont="1" applyFill="1" applyBorder="1" applyAlignment="1">
      <alignment horizontal="left"/>
    </xf>
    <xf numFmtId="173" fontId="4" fillId="2" borderId="28" xfId="0" applyNumberFormat="1" applyFont="1" applyFill="1" applyBorder="1" applyAlignment="1">
      <alignment horizontal="left"/>
    </xf>
    <xf numFmtId="0" fontId="4" fillId="9" borderId="22" xfId="0" applyNumberFormat="1" applyFont="1" applyFill="1" applyBorder="1" applyAlignment="1">
      <alignment horizontal="left"/>
    </xf>
    <xf numFmtId="174" fontId="11" fillId="6" borderId="31" xfId="0" applyNumberFormat="1" applyFont="1" applyFill="1" applyBorder="1" applyAlignment="1" applyProtection="1">
      <alignment horizontal="left"/>
    </xf>
    <xf numFmtId="0" fontId="3" fillId="2" borderId="29" xfId="0" applyFont="1" applyFill="1" applyBorder="1" applyAlignment="1">
      <alignment horizontal="center"/>
    </xf>
    <xf numFmtId="173" fontId="4" fillId="2" borderId="28" xfId="0" applyNumberFormat="1" applyFont="1" applyFill="1" applyBorder="1" applyAlignment="1"/>
    <xf numFmtId="0" fontId="4" fillId="2" borderId="22" xfId="0" applyNumberFormat="1" applyFont="1" applyFill="1" applyBorder="1" applyAlignment="1">
      <alignment horizontal="left"/>
    </xf>
    <xf numFmtId="0" fontId="4" fillId="2" borderId="16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26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4" xfId="0" applyFont="1" applyFill="1" applyBorder="1"/>
    <xf numFmtId="0" fontId="2" fillId="0" borderId="34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4" xfId="0" applyFont="1" applyBorder="1"/>
    <xf numFmtId="0" fontId="4" fillId="2" borderId="27" xfId="0" applyFont="1" applyFill="1" applyBorder="1"/>
    <xf numFmtId="0" fontId="4" fillId="2" borderId="2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10" fillId="6" borderId="25" xfId="0" applyNumberFormat="1" applyFont="1" applyFill="1" applyBorder="1" applyAlignment="1" applyProtection="1">
      <alignment horizontal="center" vertical="center"/>
    </xf>
    <xf numFmtId="0" fontId="11" fillId="6" borderId="18" xfId="0" applyNumberFormat="1" applyFont="1" applyFill="1" applyBorder="1" applyAlignment="1" applyProtection="1">
      <alignment vertical="center"/>
    </xf>
    <xf numFmtId="0" fontId="4" fillId="2" borderId="25" xfId="0" applyNumberFormat="1" applyFont="1" applyFill="1" applyBorder="1" applyAlignment="1">
      <alignment horizontal="left"/>
    </xf>
    <xf numFmtId="0" fontId="4" fillId="2" borderId="17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>
      <alignment horizontal="left"/>
    </xf>
    <xf numFmtId="0" fontId="4" fillId="2" borderId="25" xfId="0" applyNumberFormat="1" applyFont="1" applyFill="1" applyBorder="1" applyAlignment="1">
      <alignment horizontal="center"/>
    </xf>
    <xf numFmtId="0" fontId="11" fillId="6" borderId="25" xfId="0" applyNumberFormat="1" applyFont="1" applyFill="1" applyBorder="1" applyAlignment="1" applyProtection="1">
      <alignment vertical="center"/>
    </xf>
    <xf numFmtId="0" fontId="4" fillId="2" borderId="28" xfId="0" applyNumberFormat="1" applyFont="1" applyFill="1" applyBorder="1" applyAlignment="1">
      <alignment horizontal="left"/>
    </xf>
    <xf numFmtId="0" fontId="4" fillId="2" borderId="21" xfId="0" applyNumberFormat="1" applyFont="1" applyFill="1" applyBorder="1" applyAlignment="1">
      <alignment horizontal="left"/>
    </xf>
    <xf numFmtId="0" fontId="4" fillId="2" borderId="28" xfId="0" applyNumberFormat="1" applyFont="1" applyFill="1" applyBorder="1" applyAlignment="1">
      <alignment horizontal="center"/>
    </xf>
    <xf numFmtId="0" fontId="11" fillId="6" borderId="28" xfId="0" applyNumberFormat="1" applyFont="1" applyFill="1" applyBorder="1" applyAlignment="1" applyProtection="1">
      <alignment vertical="center"/>
    </xf>
    <xf numFmtId="0" fontId="4" fillId="2" borderId="24" xfId="0" applyNumberFormat="1" applyFont="1" applyFill="1" applyBorder="1" applyAlignment="1">
      <alignment horizontal="left"/>
    </xf>
    <xf numFmtId="0" fontId="4" fillId="2" borderId="19" xfId="0" applyNumberFormat="1" applyFont="1" applyFill="1" applyBorder="1" applyAlignment="1">
      <alignment horizontal="left"/>
    </xf>
    <xf numFmtId="0" fontId="4" fillId="2" borderId="20" xfId="0" applyNumberFormat="1" applyFont="1" applyFill="1" applyBorder="1" applyAlignment="1">
      <alignment horizontal="left"/>
    </xf>
    <xf numFmtId="0" fontId="4" fillId="2" borderId="24" xfId="0" applyNumberFormat="1" applyFont="1" applyFill="1" applyBorder="1" applyAlignment="1">
      <alignment horizontal="center"/>
    </xf>
    <xf numFmtId="0" fontId="11" fillId="6" borderId="24" xfId="0" applyNumberFormat="1" applyFont="1" applyFill="1" applyBorder="1" applyAlignment="1" applyProtection="1"/>
    <xf numFmtId="0" fontId="4" fillId="2" borderId="23" xfId="0" applyNumberFormat="1" applyFont="1" applyFill="1" applyBorder="1" applyAlignment="1">
      <alignment horizontal="left"/>
    </xf>
    <xf numFmtId="0" fontId="4" fillId="2" borderId="29" xfId="0" applyNumberFormat="1" applyFont="1" applyFill="1" applyBorder="1" applyAlignment="1">
      <alignment horizontal="left"/>
    </xf>
    <xf numFmtId="0" fontId="4" fillId="2" borderId="31" xfId="0" applyNumberFormat="1" applyFont="1" applyFill="1" applyBorder="1" applyAlignment="1">
      <alignment horizontal="left"/>
    </xf>
    <xf numFmtId="0" fontId="4" fillId="2" borderId="23" xfId="0" applyNumberFormat="1" applyFont="1" applyFill="1" applyBorder="1" applyAlignment="1">
      <alignment horizontal="center"/>
    </xf>
    <xf numFmtId="0" fontId="11" fillId="6" borderId="23" xfId="0" applyNumberFormat="1" applyFont="1" applyFill="1" applyBorder="1" applyAlignment="1" applyProtection="1"/>
    <xf numFmtId="0" fontId="11" fillId="6" borderId="25" xfId="0" applyNumberFormat="1" applyFont="1" applyFill="1" applyBorder="1" applyAlignment="1" applyProtection="1"/>
    <xf numFmtId="0" fontId="11" fillId="6" borderId="28" xfId="0" applyNumberFormat="1" applyFont="1" applyFill="1" applyBorder="1" applyAlignment="1" applyProtection="1"/>
    <xf numFmtId="0" fontId="4" fillId="2" borderId="6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5" fillId="2" borderId="27" xfId="0" applyFont="1" applyFill="1" applyBorder="1"/>
    <xf numFmtId="0" fontId="15" fillId="2" borderId="5" xfId="0" applyFont="1" applyFill="1" applyBorder="1"/>
    <xf numFmtId="0" fontId="9" fillId="2" borderId="23" xfId="0" applyFont="1" applyFill="1" applyBorder="1" applyAlignment="1">
      <alignment horizontal="left" vertical="center"/>
    </xf>
    <xf numFmtId="0" fontId="10" fillId="6" borderId="23" xfId="0" applyNumberFormat="1" applyFont="1" applyFill="1" applyBorder="1" applyAlignment="1" applyProtection="1">
      <alignment horizontal="center" vertical="center"/>
    </xf>
    <xf numFmtId="0" fontId="10" fillId="6" borderId="23" xfId="0" applyNumberFormat="1" applyFont="1" applyFill="1" applyBorder="1" applyAlignment="1" applyProtection="1">
      <alignment horizontal="left" vertical="center"/>
    </xf>
    <xf numFmtId="0" fontId="4" fillId="0" borderId="23" xfId="0" applyFont="1" applyBorder="1" applyAlignment="1">
      <alignment horizontal="left"/>
    </xf>
    <xf numFmtId="0" fontId="4" fillId="2" borderId="23" xfId="0" applyFont="1" applyFill="1" applyBorder="1"/>
    <xf numFmtId="174" fontId="6" fillId="6" borderId="23" xfId="0" applyNumberFormat="1" applyFont="1" applyFill="1" applyBorder="1" applyAlignment="1" applyProtection="1">
      <alignment horizontal="left"/>
    </xf>
    <xf numFmtId="0" fontId="4" fillId="9" borderId="23" xfId="0" applyNumberFormat="1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165" fontId="4" fillId="2" borderId="23" xfId="0" applyNumberFormat="1" applyFont="1" applyFill="1" applyBorder="1" applyAlignment="1"/>
    <xf numFmtId="0" fontId="4" fillId="2" borderId="23" xfId="0" applyFont="1" applyFill="1" applyBorder="1" applyAlignment="1"/>
    <xf numFmtId="0" fontId="4" fillId="2" borderId="23" xfId="0" applyNumberFormat="1" applyFont="1" applyFill="1" applyBorder="1" applyAlignment="1"/>
    <xf numFmtId="0" fontId="4" fillId="2" borderId="28" xfId="0" applyFont="1" applyFill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2" fillId="0" borderId="15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6" xfId="0" applyFont="1" applyBorder="1"/>
    <xf numFmtId="0" fontId="2" fillId="0" borderId="7" xfId="0" applyFont="1" applyBorder="1"/>
    <xf numFmtId="0" fontId="4" fillId="2" borderId="7" xfId="0" applyFont="1" applyFill="1" applyBorder="1" applyAlignment="1">
      <alignment horizontal="left"/>
    </xf>
    <xf numFmtId="0" fontId="4" fillId="11" borderId="26" xfId="1" applyFont="1" applyFill="1" applyBorder="1"/>
    <xf numFmtId="0" fontId="4" fillId="11" borderId="27" xfId="1" applyFont="1" applyFill="1" applyBorder="1"/>
    <xf numFmtId="0" fontId="4" fillId="11" borderId="15" xfId="1" applyFont="1" applyFill="1" applyBorder="1"/>
    <xf numFmtId="0" fontId="4" fillId="11" borderId="5" xfId="1" applyFont="1" applyFill="1" applyBorder="1"/>
    <xf numFmtId="0" fontId="4" fillId="11" borderId="16" xfId="1" applyFont="1" applyFill="1" applyBorder="1"/>
    <xf numFmtId="0" fontId="4" fillId="11" borderId="7" xfId="1" applyFont="1" applyFill="1" applyBorder="1"/>
    <xf numFmtId="0" fontId="10" fillId="2" borderId="15" xfId="9" applyFont="1" applyFill="1" applyBorder="1"/>
    <xf numFmtId="0" fontId="10" fillId="2" borderId="0" xfId="9" applyFont="1" applyFill="1" applyBorder="1"/>
    <xf numFmtId="0" fontId="10" fillId="2" borderId="5" xfId="9" applyFont="1" applyFill="1" applyBorder="1"/>
    <xf numFmtId="0" fontId="10" fillId="4" borderId="23" xfId="9" applyNumberFormat="1" applyFont="1" applyFill="1" applyBorder="1"/>
    <xf numFmtId="171" fontId="10" fillId="6" borderId="31" xfId="9" applyNumberFormat="1" applyFont="1" applyFill="1" applyBorder="1" applyAlignment="1" applyProtection="1">
      <alignment horizontal="center"/>
    </xf>
    <xf numFmtId="15" fontId="10" fillId="2" borderId="5" xfId="9" applyNumberFormat="1" applyFont="1" applyFill="1" applyBorder="1"/>
    <xf numFmtId="171" fontId="10" fillId="6" borderId="31" xfId="9" quotePrefix="1" applyNumberFormat="1" applyFont="1" applyFill="1" applyBorder="1" applyAlignment="1" applyProtection="1">
      <alignment horizontal="left"/>
    </xf>
    <xf numFmtId="171" fontId="10" fillId="6" borderId="31" xfId="9" quotePrefix="1" applyNumberFormat="1" applyFont="1" applyFill="1" applyBorder="1" applyAlignment="1" applyProtection="1">
      <alignment horizontal="center"/>
    </xf>
    <xf numFmtId="0" fontId="10" fillId="2" borderId="16" xfId="9" applyFont="1" applyFill="1" applyBorder="1"/>
    <xf numFmtId="0" fontId="10" fillId="2" borderId="6" xfId="9" applyFont="1" applyFill="1" applyBorder="1"/>
    <xf numFmtId="0" fontId="10" fillId="2" borderId="7" xfId="9" applyFont="1" applyFill="1" applyBorder="1"/>
    <xf numFmtId="0" fontId="17" fillId="2" borderId="15" xfId="9" applyFont="1" applyFill="1" applyBorder="1"/>
    <xf numFmtId="0" fontId="17" fillId="2" borderId="0" xfId="9" applyFont="1" applyFill="1" applyBorder="1"/>
    <xf numFmtId="0" fontId="17" fillId="2" borderId="5" xfId="9" applyFont="1" applyFill="1" applyBorder="1"/>
    <xf numFmtId="0" fontId="18" fillId="4" borderId="23" xfId="9" applyFont="1" applyFill="1" applyBorder="1"/>
    <xf numFmtId="0" fontId="16" fillId="2" borderId="16" xfId="9" applyFill="1" applyBorder="1"/>
    <xf numFmtId="0" fontId="16" fillId="2" borderId="6" xfId="9" applyFill="1" applyBorder="1"/>
    <xf numFmtId="0" fontId="16" fillId="2" borderId="7" xfId="9" applyFill="1" applyBorder="1"/>
    <xf numFmtId="0" fontId="8" fillId="8" borderId="32" xfId="1" applyFont="1" applyFill="1" applyBorder="1" applyAlignment="1">
      <alignment horizontal="centerContinuous" vertical="center"/>
    </xf>
    <xf numFmtId="0" fontId="8" fillId="8" borderId="35" xfId="1" applyFont="1" applyFill="1" applyBorder="1" applyAlignment="1">
      <alignment horizontal="centerContinuous" vertical="center"/>
    </xf>
    <xf numFmtId="0" fontId="8" fillId="8" borderId="33" xfId="1" applyFont="1" applyFill="1" applyBorder="1" applyAlignment="1">
      <alignment horizontal="centerContinuous" vertical="center"/>
    </xf>
    <xf numFmtId="0" fontId="4" fillId="2" borderId="26" xfId="10" applyFont="1" applyFill="1" applyBorder="1" applyAlignment="1">
      <alignment horizontal="left"/>
    </xf>
    <xf numFmtId="0" fontId="4" fillId="2" borderId="34" xfId="10" applyFont="1" applyFill="1" applyBorder="1"/>
    <xf numFmtId="0" fontId="4" fillId="0" borderId="34" xfId="10" applyFont="1" applyBorder="1"/>
    <xf numFmtId="0" fontId="4" fillId="2" borderId="27" xfId="10" applyFont="1" applyFill="1" applyBorder="1"/>
    <xf numFmtId="0" fontId="4" fillId="0" borderId="0" xfId="10" applyFont="1"/>
    <xf numFmtId="0" fontId="4" fillId="2" borderId="15" xfId="10" applyFont="1" applyFill="1" applyBorder="1" applyAlignment="1">
      <alignment horizontal="center"/>
    </xf>
    <xf numFmtId="0" fontId="3" fillId="2" borderId="23" xfId="10" applyFont="1" applyFill="1" applyBorder="1" applyAlignment="1">
      <alignment horizontal="center" vertical="center" wrapText="1"/>
    </xf>
    <xf numFmtId="0" fontId="9" fillId="2" borderId="25" xfId="10" applyFont="1" applyFill="1" applyBorder="1" applyAlignment="1">
      <alignment vertical="center"/>
    </xf>
    <xf numFmtId="0" fontId="10" fillId="6" borderId="23" xfId="10" applyNumberFormat="1" applyFont="1" applyFill="1" applyBorder="1" applyAlignment="1" applyProtection="1">
      <alignment horizontal="center" vertical="center"/>
    </xf>
    <xf numFmtId="0" fontId="10" fillId="6" borderId="23" xfId="10" applyNumberFormat="1" applyFont="1" applyFill="1" applyBorder="1" applyAlignment="1" applyProtection="1">
      <alignment vertical="center"/>
    </xf>
    <xf numFmtId="0" fontId="4" fillId="2" borderId="5" xfId="10" applyFont="1" applyFill="1" applyBorder="1"/>
    <xf numFmtId="0" fontId="4" fillId="0" borderId="36" xfId="10" applyFont="1" applyBorder="1" applyAlignment="1">
      <alignment horizontal="center" vertical="center"/>
    </xf>
    <xf numFmtId="0" fontId="4" fillId="0" borderId="37" xfId="10" applyFont="1" applyBorder="1" applyAlignment="1">
      <alignment horizontal="center" vertical="center"/>
    </xf>
    <xf numFmtId="0" fontId="4" fillId="0" borderId="38" xfId="10" applyFont="1" applyBorder="1" applyAlignment="1">
      <alignment horizontal="center" vertical="center"/>
    </xf>
    <xf numFmtId="49" fontId="4" fillId="0" borderId="23" xfId="11" applyNumberFormat="1" applyFont="1" applyFill="1" applyBorder="1" applyAlignment="1">
      <alignment horizontal="center"/>
    </xf>
    <xf numFmtId="0" fontId="4" fillId="2" borderId="23" xfId="10" applyNumberFormat="1" applyFont="1" applyFill="1" applyBorder="1" applyAlignment="1">
      <alignment horizontal="center"/>
    </xf>
    <xf numFmtId="0" fontId="4" fillId="9" borderId="23" xfId="10" applyNumberFormat="1" applyFont="1" applyFill="1" applyBorder="1" applyAlignment="1">
      <alignment horizontal="center"/>
    </xf>
    <xf numFmtId="165" fontId="4" fillId="2" borderId="23" xfId="11" applyNumberFormat="1" applyFont="1" applyFill="1" applyBorder="1" applyAlignment="1">
      <alignment horizontal="left"/>
    </xf>
    <xf numFmtId="0" fontId="6" fillId="2" borderId="23" xfId="10" applyNumberFormat="1" applyFont="1" applyFill="1" applyBorder="1" applyAlignment="1"/>
    <xf numFmtId="0" fontId="4" fillId="2" borderId="23" xfId="10" applyNumberFormat="1" applyFont="1" applyFill="1" applyBorder="1" applyAlignment="1">
      <alignment horizontal="left"/>
    </xf>
    <xf numFmtId="0" fontId="11" fillId="6" borderId="23" xfId="10" applyNumberFormat="1" applyFont="1" applyFill="1" applyBorder="1" applyAlignment="1" applyProtection="1"/>
    <xf numFmtId="0" fontId="4" fillId="0" borderId="15" xfId="10" applyFont="1" applyBorder="1" applyAlignment="1">
      <alignment horizontal="center"/>
    </xf>
    <xf numFmtId="0" fontId="4" fillId="0" borderId="0" xfId="10" applyFont="1" applyBorder="1" applyAlignment="1">
      <alignment horizontal="center"/>
    </xf>
    <xf numFmtId="0" fontId="4" fillId="0" borderId="5" xfId="10" applyFont="1" applyBorder="1" applyAlignment="1">
      <alignment horizontal="center"/>
    </xf>
    <xf numFmtId="0" fontId="4" fillId="2" borderId="23" xfId="10" applyNumberFormat="1" applyFont="1" applyFill="1" applyBorder="1" applyAlignment="1"/>
    <xf numFmtId="0" fontId="4" fillId="0" borderId="16" xfId="10" applyFont="1" applyBorder="1" applyAlignment="1">
      <alignment horizontal="center"/>
    </xf>
    <xf numFmtId="0" fontId="4" fillId="0" borderId="6" xfId="10" applyFont="1" applyBorder="1" applyAlignment="1">
      <alignment horizontal="center"/>
    </xf>
    <xf numFmtId="0" fontId="4" fillId="0" borderId="7" xfId="10" applyFont="1" applyBorder="1" applyAlignment="1">
      <alignment horizontal="center"/>
    </xf>
    <xf numFmtId="0" fontId="4" fillId="2" borderId="16" xfId="10" applyFont="1" applyFill="1" applyBorder="1"/>
    <xf numFmtId="0" fontId="4" fillId="2" borderId="6" xfId="10" applyFont="1" applyFill="1" applyBorder="1"/>
    <xf numFmtId="0" fontId="4" fillId="2" borderId="6" xfId="10" applyFont="1" applyFill="1" applyBorder="1" applyAlignment="1">
      <alignment horizontal="left"/>
    </xf>
    <xf numFmtId="0" fontId="4" fillId="2" borderId="7" xfId="10" applyFont="1" applyFill="1" applyBorder="1"/>
    <xf numFmtId="0" fontId="4" fillId="0" borderId="0" xfId="1" applyFont="1" applyFill="1"/>
    <xf numFmtId="0" fontId="20" fillId="0" borderId="0" xfId="0" applyFont="1"/>
    <xf numFmtId="0" fontId="19" fillId="3" borderId="1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168" fontId="20" fillId="0" borderId="0" xfId="0" applyNumberFormat="1" applyFont="1"/>
    <xf numFmtId="0" fontId="19" fillId="4" borderId="12" xfId="0" applyFont="1" applyFill="1" applyBorder="1" applyAlignment="1">
      <alignment horizontal="right"/>
    </xf>
    <xf numFmtId="3" fontId="20" fillId="5" borderId="13" xfId="0" applyNumberFormat="1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165" fontId="20" fillId="2" borderId="0" xfId="0" applyNumberFormat="1" applyFont="1" applyFill="1" applyBorder="1" applyAlignment="1">
      <alignment horizontal="left"/>
    </xf>
    <xf numFmtId="0" fontId="19" fillId="4" borderId="8" xfId="0" applyFont="1" applyFill="1" applyBorder="1" applyAlignment="1">
      <alignment horizontal="right"/>
    </xf>
    <xf numFmtId="3" fontId="20" fillId="5" borderId="9" xfId="0" applyNumberFormat="1" applyFont="1" applyFill="1" applyBorder="1" applyAlignment="1">
      <alignment horizontal="center"/>
    </xf>
    <xf numFmtId="0" fontId="20" fillId="5" borderId="9" xfId="0" applyFont="1" applyFill="1" applyBorder="1" applyAlignment="1">
      <alignment horizontal="center"/>
    </xf>
    <xf numFmtId="0" fontId="21" fillId="6" borderId="9" xfId="0" applyFont="1" applyFill="1" applyBorder="1" applyAlignment="1">
      <alignment horizontal="left"/>
    </xf>
    <xf numFmtId="0" fontId="20" fillId="0" borderId="10" xfId="0" applyFont="1" applyBorder="1"/>
    <xf numFmtId="0" fontId="21" fillId="6" borderId="11" xfId="0" applyFont="1" applyFill="1" applyBorder="1" applyAlignment="1">
      <alignment horizontal="left"/>
    </xf>
    <xf numFmtId="0" fontId="20" fillId="2" borderId="16" xfId="0" applyFont="1" applyFill="1" applyBorder="1" applyAlignment="1">
      <alignment horizontal="left"/>
    </xf>
    <xf numFmtId="165" fontId="20" fillId="2" borderId="6" xfId="0" applyNumberFormat="1" applyFont="1" applyFill="1" applyBorder="1" applyAlignment="1">
      <alignment horizontal="left"/>
    </xf>
    <xf numFmtId="0" fontId="20" fillId="0" borderId="0" xfId="0" applyFont="1" applyAlignment="1">
      <alignment horizontal="left"/>
    </xf>
    <xf numFmtId="167" fontId="20" fillId="2" borderId="0" xfId="0" applyNumberFormat="1" applyFont="1" applyFill="1" applyBorder="1" applyAlignment="1">
      <alignment horizontal="right"/>
    </xf>
    <xf numFmtId="167" fontId="20" fillId="2" borderId="5" xfId="0" applyNumberFormat="1" applyFont="1" applyFill="1" applyBorder="1" applyAlignment="1">
      <alignment horizontal="right"/>
    </xf>
    <xf numFmtId="167" fontId="20" fillId="2" borderId="6" xfId="0" applyNumberFormat="1" applyFont="1" applyFill="1" applyBorder="1" applyAlignment="1">
      <alignment horizontal="right"/>
    </xf>
    <xf numFmtId="167" fontId="20" fillId="2" borderId="7" xfId="0" applyNumberFormat="1" applyFont="1" applyFill="1" applyBorder="1" applyAlignment="1">
      <alignment horizontal="right"/>
    </xf>
    <xf numFmtId="167" fontId="0" fillId="0" borderId="0" xfId="0" applyNumberFormat="1"/>
    <xf numFmtId="0" fontId="19" fillId="3" borderId="23" xfId="0" applyFont="1" applyFill="1" applyBorder="1" applyAlignment="1">
      <alignment horizontal="center" vertical="center" wrapText="1"/>
    </xf>
    <xf numFmtId="0" fontId="22" fillId="0" borderId="0" xfId="0" applyFont="1"/>
    <xf numFmtId="0" fontId="19" fillId="2" borderId="19" xfId="0" applyFont="1" applyFill="1" applyBorder="1" applyAlignment="1">
      <alignment horizontal="center" vertical="center" textRotation="90"/>
    </xf>
    <xf numFmtId="0" fontId="20" fillId="2" borderId="0" xfId="0" applyNumberFormat="1" applyFont="1" applyFill="1" applyBorder="1" applyAlignment="1">
      <alignment horizontal="center"/>
    </xf>
    <xf numFmtId="0" fontId="20" fillId="2" borderId="0" xfId="0" applyFont="1" applyFill="1" applyBorder="1" applyAlignment="1">
      <alignment horizontal="left"/>
    </xf>
    <xf numFmtId="165" fontId="20" fillId="2" borderId="0" xfId="2" applyNumberFormat="1" applyFont="1" applyFill="1" applyBorder="1" applyAlignment="1">
      <alignment horizontal="right"/>
    </xf>
    <xf numFmtId="0" fontId="20" fillId="2" borderId="0" xfId="0" applyFont="1" applyFill="1" applyBorder="1" applyAlignment="1">
      <alignment horizontal="center"/>
    </xf>
    <xf numFmtId="167" fontId="20" fillId="2" borderId="20" xfId="0" applyNumberFormat="1" applyFont="1" applyFill="1" applyBorder="1" applyAlignment="1">
      <alignment horizontal="right"/>
    </xf>
    <xf numFmtId="0" fontId="19" fillId="2" borderId="21" xfId="0" applyFont="1" applyFill="1" applyBorder="1" applyAlignment="1">
      <alignment horizontal="center" vertical="center" textRotation="90"/>
    </xf>
    <xf numFmtId="0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left"/>
    </xf>
    <xf numFmtId="165" fontId="20" fillId="2" borderId="2" xfId="2" applyNumberFormat="1" applyFont="1" applyFill="1" applyBorder="1" applyAlignment="1">
      <alignment horizontal="right"/>
    </xf>
    <xf numFmtId="0" fontId="20" fillId="2" borderId="2" xfId="0" applyFont="1" applyFill="1" applyBorder="1" applyAlignment="1">
      <alignment horizontal="center"/>
    </xf>
    <xf numFmtId="167" fontId="20" fillId="2" borderId="2" xfId="0" applyNumberFormat="1" applyFont="1" applyFill="1" applyBorder="1" applyAlignment="1">
      <alignment horizontal="right"/>
    </xf>
    <xf numFmtId="167" fontId="20" fillId="2" borderId="22" xfId="0" applyNumberFormat="1" applyFont="1" applyFill="1" applyBorder="1" applyAlignment="1">
      <alignment horizontal="right"/>
    </xf>
    <xf numFmtId="0" fontId="20" fillId="2" borderId="19" xfId="0" applyNumberFormat="1" applyFont="1" applyFill="1" applyBorder="1" applyAlignment="1">
      <alignment horizontal="center"/>
    </xf>
    <xf numFmtId="0" fontId="20" fillId="2" borderId="21" xfId="0" applyNumberFormat="1" applyFont="1" applyFill="1" applyBorder="1" applyAlignment="1">
      <alignment horizontal="center"/>
    </xf>
    <xf numFmtId="0" fontId="20" fillId="2" borderId="1" xfId="0" applyNumberFormat="1" applyFont="1" applyFill="1" applyBorder="1" applyAlignment="1">
      <alignment horizontal="center"/>
    </xf>
    <xf numFmtId="164" fontId="20" fillId="2" borderId="0" xfId="0" applyNumberFormat="1" applyFont="1" applyFill="1" applyBorder="1" applyAlignment="1">
      <alignment horizontal="right"/>
    </xf>
    <xf numFmtId="164" fontId="20" fillId="2" borderId="2" xfId="0" applyNumberFormat="1" applyFont="1" applyFill="1" applyBorder="1" applyAlignment="1">
      <alignment horizontal="right"/>
    </xf>
    <xf numFmtId="10" fontId="22" fillId="0" borderId="0" xfId="0" applyNumberFormat="1" applyFont="1"/>
    <xf numFmtId="0" fontId="20" fillId="2" borderId="17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left"/>
    </xf>
    <xf numFmtId="165" fontId="20" fillId="2" borderId="1" xfId="2" applyNumberFormat="1" applyFont="1" applyFill="1" applyBorder="1" applyAlignment="1">
      <alignment horizontal="right"/>
    </xf>
    <xf numFmtId="0" fontId="20" fillId="2" borderId="1" xfId="0" applyFont="1" applyFill="1" applyBorder="1" applyAlignment="1">
      <alignment horizontal="center"/>
    </xf>
    <xf numFmtId="167" fontId="20" fillId="2" borderId="1" xfId="0" applyNumberFormat="1" applyFont="1" applyFill="1" applyBorder="1" applyAlignment="1">
      <alignment horizontal="right"/>
    </xf>
    <xf numFmtId="167" fontId="20" fillId="2" borderId="18" xfId="0" applyNumberFormat="1" applyFont="1" applyFill="1" applyBorder="1" applyAlignment="1">
      <alignment horizontal="right"/>
    </xf>
    <xf numFmtId="165" fontId="22" fillId="0" borderId="0" xfId="0" applyNumberFormat="1" applyFont="1"/>
    <xf numFmtId="169" fontId="22" fillId="0" borderId="0" xfId="0" applyNumberFormat="1" applyFont="1"/>
    <xf numFmtId="165" fontId="20" fillId="0" borderId="0" xfId="0" applyNumberFormat="1" applyFont="1"/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8" fillId="8" borderId="32" xfId="1" applyFont="1" applyFill="1" applyBorder="1" applyAlignment="1">
      <alignment horizontal="center"/>
    </xf>
    <xf numFmtId="0" fontId="8" fillId="8" borderId="35" xfId="1" applyFont="1" applyFill="1" applyBorder="1" applyAlignment="1">
      <alignment horizontal="center"/>
    </xf>
    <xf numFmtId="0" fontId="8" fillId="8" borderId="33" xfId="1" applyFont="1" applyFill="1" applyBorder="1" applyAlignment="1">
      <alignment horizontal="center"/>
    </xf>
    <xf numFmtId="0" fontId="19" fillId="3" borderId="29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</cellXfs>
  <cellStyles count="15">
    <cellStyle name="Migliaia (0)_AZIONI" xfId="3"/>
    <cellStyle name="Migliaia_AZIONI" xfId="4"/>
    <cellStyle name="Normal" xfId="0" builtinId="0"/>
    <cellStyle name="Normal 2" xfId="9"/>
    <cellStyle name="Normal 2 2" xfId="10"/>
    <cellStyle name="Normal 3" xfId="12"/>
    <cellStyle name="Normal_SwaptionATMVols" xfId="1"/>
    <cellStyle name="Normale_AZIONI" xfId="5"/>
    <cellStyle name="Percent" xfId="2" builtinId="5"/>
    <cellStyle name="Percent 2" xfId="11"/>
    <cellStyle name="Percent 3" xfId="13"/>
    <cellStyle name="Percent 4" xfId="14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9"/>
  <sheetViews>
    <sheetView workbookViewId="0">
      <selection activeCell="D11" sqref="D11"/>
    </sheetView>
  </sheetViews>
  <sheetFormatPr defaultColWidth="8" defaultRowHeight="11.25" x14ac:dyDescent="0.2"/>
  <cols>
    <col min="1" max="1" width="6.140625" style="9" customWidth="1"/>
    <col min="2" max="2" width="8.42578125" style="9" customWidth="1"/>
    <col min="3" max="3" width="18" style="9" bestFit="1" customWidth="1"/>
    <col min="4" max="4" width="23.85546875" style="9" bestFit="1" customWidth="1"/>
    <col min="5" max="5" width="22" style="9" bestFit="1" customWidth="1"/>
    <col min="6" max="6" width="7.28515625" style="9" customWidth="1"/>
    <col min="7" max="7" width="2.7109375" style="9" customWidth="1"/>
    <col min="8" max="9" width="8.7109375" style="9" customWidth="1"/>
    <col min="10" max="11" width="2.7109375" style="9" customWidth="1"/>
    <col min="12" max="12" width="18.7109375" style="9" customWidth="1"/>
    <col min="13" max="13" width="48.7109375" style="9" customWidth="1"/>
    <col min="14" max="14" width="2.7109375" style="9" customWidth="1"/>
    <col min="15" max="16384" width="8" style="9"/>
  </cols>
  <sheetData>
    <row r="1" spans="1:33" s="181" customFormat="1" ht="12" thickBot="1" x14ac:dyDescent="0.25">
      <c r="A1" s="3"/>
      <c r="B1" s="3" t="str">
        <f>_xll.qlxlVersion(TRUE,Trigger)</f>
        <v>QuantLibXL 1.4.0 - MS VC++ 9.0 - Multithreaded Dynamic Runtime library - Release Configuration - Apr 29 2014 14:47:17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181" customFormat="1" ht="18.75" thickBot="1" x14ac:dyDescent="0.3">
      <c r="A2" s="3"/>
      <c r="B2" s="235" t="s">
        <v>22</v>
      </c>
      <c r="C2" s="236"/>
      <c r="D2" s="236"/>
      <c r="E2" s="236"/>
      <c r="F2" s="237"/>
      <c r="G2" s="3"/>
      <c r="H2" s="3"/>
      <c r="I2" s="3"/>
      <c r="J2" s="3"/>
      <c r="K2" s="238"/>
      <c r="L2" s="239"/>
      <c r="M2" s="239"/>
      <c r="N2" s="24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2" thickBot="1" x14ac:dyDescent="0.25">
      <c r="A3" s="3"/>
      <c r="B3" s="4"/>
      <c r="C3" s="10"/>
      <c r="D3" s="11"/>
      <c r="E3" s="11"/>
      <c r="F3" s="8"/>
      <c r="G3" s="3"/>
      <c r="H3" s="3"/>
      <c r="I3" s="3"/>
      <c r="J3" s="3"/>
      <c r="K3" s="128"/>
      <c r="L3" s="129"/>
      <c r="M3" s="129"/>
      <c r="N3" s="13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4"/>
      <c r="C4" s="12" t="s">
        <v>5</v>
      </c>
      <c r="D4" s="13" t="s">
        <v>106</v>
      </c>
      <c r="E4" s="11"/>
      <c r="F4" s="8"/>
      <c r="G4" s="3"/>
      <c r="H4" s="122" t="s">
        <v>103</v>
      </c>
      <c r="I4" s="123"/>
      <c r="J4" s="3"/>
      <c r="K4" s="128"/>
      <c r="L4" s="131" t="s">
        <v>148</v>
      </c>
      <c r="M4" s="132" t="b">
        <v>0</v>
      </c>
      <c r="N4" s="13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4"/>
      <c r="C5" s="14" t="s">
        <v>99</v>
      </c>
      <c r="D5" s="15">
        <v>12</v>
      </c>
      <c r="E5" s="11"/>
      <c r="F5" s="8"/>
      <c r="G5" s="3"/>
      <c r="H5" s="124" t="s">
        <v>6</v>
      </c>
      <c r="I5" s="125" t="s">
        <v>55</v>
      </c>
      <c r="J5" s="3"/>
      <c r="K5" s="128"/>
      <c r="L5" s="131" t="s">
        <v>149</v>
      </c>
      <c r="M5" s="134"/>
      <c r="N5" s="13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4"/>
      <c r="C6" s="14" t="s">
        <v>94</v>
      </c>
      <c r="D6" s="15" t="str">
        <f>_xll.qlPeriodEquivalent(D5&amp;"M")</f>
        <v>1Y</v>
      </c>
      <c r="E6" s="11"/>
      <c r="F6" s="8"/>
      <c r="G6" s="3"/>
      <c r="H6" s="124" t="s">
        <v>104</v>
      </c>
      <c r="I6" s="125"/>
      <c r="J6" s="3"/>
      <c r="K6" s="128"/>
      <c r="L6" s="131" t="s">
        <v>150</v>
      </c>
      <c r="M6" s="135" t="b">
        <v>1</v>
      </c>
      <c r="N6" s="13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4"/>
      <c r="C7" s="14" t="s">
        <v>100</v>
      </c>
      <c r="D7" s="15" t="str">
        <f>Months&amp;IF(UPPER(Currency)="EUR","E","L")</f>
        <v>12L</v>
      </c>
      <c r="E7" s="11"/>
      <c r="F7" s="8"/>
      <c r="G7" s="3"/>
      <c r="H7" s="124" t="s">
        <v>105</v>
      </c>
      <c r="I7" s="125"/>
      <c r="J7" s="3"/>
      <c r="K7" s="136"/>
      <c r="L7" s="137"/>
      <c r="M7" s="137"/>
      <c r="N7" s="13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2" thickBot="1" x14ac:dyDescent="0.25">
      <c r="A8" s="3"/>
      <c r="B8" s="4"/>
      <c r="C8" s="14" t="s">
        <v>101</v>
      </c>
      <c r="D8" s="15" t="str">
        <f>VLOOKUP(Currency,H4:I8,2)</f>
        <v>AM</v>
      </c>
      <c r="E8" s="11"/>
      <c r="F8" s="8"/>
      <c r="G8" s="3"/>
      <c r="H8" s="126" t="s">
        <v>106</v>
      </c>
      <c r="I8" s="127" t="s">
        <v>107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6.5" customHeight="1" thickBot="1" x14ac:dyDescent="0.25">
      <c r="A9" s="3"/>
      <c r="B9" s="4"/>
      <c r="C9" s="14" t="s">
        <v>38</v>
      </c>
      <c r="D9" s="15" t="str">
        <f>Currency&amp;"_YC"&amp;IndexTenor&amp;"RH"</f>
        <v>USD_YC1YRH</v>
      </c>
      <c r="E9" s="11"/>
      <c r="F9" s="8"/>
      <c r="G9" s="3"/>
      <c r="H9" s="3"/>
      <c r="I9" s="3"/>
      <c r="J9" s="3"/>
      <c r="K9" s="146" t="s">
        <v>142</v>
      </c>
      <c r="L9" s="147"/>
      <c r="M9" s="147"/>
      <c r="N9" s="148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2.75" x14ac:dyDescent="0.2">
      <c r="A10" s="3"/>
      <c r="B10" s="4"/>
      <c r="C10" s="16" t="s">
        <v>28</v>
      </c>
      <c r="D10" s="15" t="b">
        <v>1</v>
      </c>
      <c r="E10" s="11"/>
      <c r="F10" s="8"/>
      <c r="G10" s="3"/>
      <c r="H10" s="3"/>
      <c r="I10" s="3"/>
      <c r="J10" s="3"/>
      <c r="K10" s="139"/>
      <c r="L10" s="140"/>
      <c r="M10" s="140"/>
      <c r="N10" s="14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4"/>
      <c r="C11" s="16" t="s">
        <v>21</v>
      </c>
      <c r="D11" s="17"/>
      <c r="E11" s="11"/>
      <c r="F11" s="8"/>
      <c r="G11" s="3"/>
      <c r="H11" s="3"/>
      <c r="I11" s="3"/>
      <c r="J11" s="3"/>
      <c r="K11" s="139"/>
      <c r="L11" s="142" t="s">
        <v>144</v>
      </c>
      <c r="M11" s="132" t="s">
        <v>145</v>
      </c>
      <c r="N11" s="14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4"/>
      <c r="C12" s="18" t="s">
        <v>80</v>
      </c>
      <c r="D12" s="19" t="b">
        <v>0</v>
      </c>
      <c r="E12" s="11"/>
      <c r="F12" s="8"/>
      <c r="G12" s="3"/>
      <c r="H12" s="3"/>
      <c r="I12" s="3"/>
      <c r="J12" s="3"/>
      <c r="K12" s="139"/>
      <c r="L12" s="142" t="s">
        <v>146</v>
      </c>
      <c r="M12" s="135" t="s">
        <v>147</v>
      </c>
      <c r="N12" s="14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4"/>
      <c r="C13" s="20"/>
      <c r="D13" s="20"/>
      <c r="E13" s="11"/>
      <c r="F13" s="8"/>
      <c r="G13" s="3"/>
      <c r="H13" s="3"/>
      <c r="I13" s="3"/>
      <c r="J13" s="3"/>
      <c r="K13" s="139"/>
      <c r="L13" s="142" t="s">
        <v>151</v>
      </c>
      <c r="M13" s="132" t="s">
        <v>152</v>
      </c>
      <c r="N13" s="14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4"/>
      <c r="C14" s="21" t="s">
        <v>29</v>
      </c>
      <c r="D14" s="22" t="str">
        <f>_xll.qlPiecewiseYieldCurve(D16,NDays,Calendar,RateHelpersSelected,DayCounter,,,Accuracy,TraitsID,InterpolatorID,Permanent,,ObjectOverwrite)</f>
        <v>_USDYC1Y#0001</v>
      </c>
      <c r="E14" s="11"/>
      <c r="F14" s="8"/>
      <c r="G14" s="3"/>
      <c r="H14" s="3"/>
      <c r="I14" s="3"/>
      <c r="J14" s="3"/>
      <c r="K14" s="139"/>
      <c r="L14" s="142" t="s">
        <v>153</v>
      </c>
      <c r="M14" s="132" t="s">
        <v>154</v>
      </c>
      <c r="N14" s="14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2.75" x14ac:dyDescent="0.2">
      <c r="A15" s="3"/>
      <c r="B15" s="4"/>
      <c r="C15" s="23" t="s">
        <v>30</v>
      </c>
      <c r="D15" s="24" t="str">
        <f>_xll.ohRangeRetrieveError(YieldCurve)</f>
        <v/>
      </c>
      <c r="E15" s="11" t="s">
        <v>143</v>
      </c>
      <c r="F15" s="8"/>
      <c r="G15" s="3"/>
      <c r="H15" s="3"/>
      <c r="I15" s="3"/>
      <c r="J15" s="3"/>
      <c r="K15" s="139"/>
      <c r="L15" s="142" t="s">
        <v>155</v>
      </c>
      <c r="M15" s="135" t="s">
        <v>157</v>
      </c>
      <c r="N15" s="14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.75" x14ac:dyDescent="0.2">
      <c r="A16" s="3"/>
      <c r="B16" s="4"/>
      <c r="C16" s="21" t="s">
        <v>24</v>
      </c>
      <c r="D16" s="25" t="str">
        <f>"_"&amp;Currency&amp;"YC"&amp;IndexTenor</f>
        <v>_USDYC1Y</v>
      </c>
      <c r="E16" s="11"/>
      <c r="F16" s="8"/>
      <c r="G16" s="3"/>
      <c r="H16" s="3"/>
      <c r="I16" s="3"/>
      <c r="J16" s="3"/>
      <c r="K16" s="139"/>
      <c r="L16" s="142" t="s">
        <v>156</v>
      </c>
      <c r="M16" s="135" t="s">
        <v>158</v>
      </c>
      <c r="N16" s="14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3.5" thickBot="1" x14ac:dyDescent="0.25">
      <c r="A17" s="3"/>
      <c r="B17" s="4"/>
      <c r="C17" s="5" t="s">
        <v>25</v>
      </c>
      <c r="D17" s="26">
        <v>2</v>
      </c>
      <c r="E17" s="11"/>
      <c r="F17" s="8"/>
      <c r="G17" s="3"/>
      <c r="H17" s="3"/>
      <c r="I17" s="3"/>
      <c r="J17" s="3"/>
      <c r="K17" s="143"/>
      <c r="L17" s="144"/>
      <c r="M17" s="144"/>
      <c r="N17" s="14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4"/>
      <c r="C18" s="5" t="s">
        <v>4</v>
      </c>
      <c r="D18" s="27" t="s">
        <v>110</v>
      </c>
      <c r="E18" s="11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4"/>
      <c r="C19" s="5" t="s">
        <v>23</v>
      </c>
      <c r="D19" s="27"/>
      <c r="E19" s="11"/>
      <c r="F19" s="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4"/>
      <c r="C20" s="5" t="s">
        <v>97</v>
      </c>
      <c r="D20" s="28" t="str">
        <f>Currency&amp;"TOY_SYNTH"&amp;IndexTenor&amp;"_Quote"</f>
        <v>USDTOY_SYNTH1Y_Quote</v>
      </c>
      <c r="E20" s="13" t="str">
        <f>Currency&amp;"TOY2_SYNTH"&amp;IndexTenor&amp;"_Quote"</f>
        <v>USDTOY2_SYNTH1Y_Quote</v>
      </c>
      <c r="F20" s="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4"/>
      <c r="C21" s="5" t="s">
        <v>98</v>
      </c>
      <c r="D21" s="29">
        <f>DATE(YEAR(_xll.qlSettingsEvaluationDate(Trigger)),12,31)</f>
        <v>42004</v>
      </c>
      <c r="E21" s="30">
        <f>DATE(YEAR(D21+1),12,31)</f>
        <v>42369</v>
      </c>
      <c r="F21" s="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4"/>
      <c r="C22" s="5" t="s">
        <v>108</v>
      </c>
      <c r="D22" s="6" t="e">
        <f>NA()</f>
        <v>#N/A</v>
      </c>
      <c r="E22" s="7" t="e">
        <f>NA()</f>
        <v>#N/A</v>
      </c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4"/>
      <c r="C23" s="5" t="s">
        <v>37</v>
      </c>
      <c r="D23" s="31"/>
      <c r="E23" s="11"/>
      <c r="F23" s="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4"/>
      <c r="C24" s="5" t="s">
        <v>26</v>
      </c>
      <c r="D24" s="32" t="s">
        <v>95</v>
      </c>
      <c r="E24" s="11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4"/>
      <c r="C25" s="23" t="s">
        <v>27</v>
      </c>
      <c r="D25" s="33" t="s">
        <v>96</v>
      </c>
      <c r="E25" s="11"/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4"/>
      <c r="C26" s="20"/>
      <c r="D26" s="20"/>
      <c r="E26" s="11"/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4"/>
      <c r="C27" s="34">
        <f>_xll.qlTermStructureReferenceDate(YieldCurve)</f>
        <v>41767</v>
      </c>
      <c r="D27" s="35">
        <f>MAX(_xll.ohPack(Selected!I1:I126))</f>
        <v>1</v>
      </c>
      <c r="E27" s="11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4"/>
      <c r="C28" s="36">
        <f>MAX(_xll.ohPack(Selected!H2:H126))</f>
        <v>60030</v>
      </c>
      <c r="D28" s="15">
        <f>MIN(_xll.ohPack(Selected!I1:I126))</f>
        <v>0.1591194926185916</v>
      </c>
      <c r="E28" s="11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4"/>
      <c r="C29" s="36" t="s">
        <v>30</v>
      </c>
      <c r="D29" s="15" t="str">
        <f>_xll.ohRangeRetrieveError(Selected!I1)</f>
        <v/>
      </c>
      <c r="E29" s="11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1.25" customHeight="1" x14ac:dyDescent="0.2">
      <c r="A30" s="3"/>
      <c r="B30" s="4"/>
      <c r="C30" s="37" t="str">
        <f>Currency&amp;IndexTenor</f>
        <v>USD1Y</v>
      </c>
      <c r="D30" s="19" t="b">
        <f>_xll.qlRelinkableHandleLinkTo(C30,YieldCurve)</f>
        <v>1</v>
      </c>
      <c r="E30" s="11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2" thickBot="1" x14ac:dyDescent="0.25">
      <c r="A31" s="3"/>
      <c r="B31" s="38"/>
      <c r="C31" s="39"/>
      <c r="D31" s="39" t="b">
        <f>_xll.qlExtrapolatorEnableExtrapolation(YieldCurve,TRUE)</f>
        <v>1</v>
      </c>
      <c r="E31" s="39"/>
      <c r="F31" s="40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s="181" customFormat="1" x14ac:dyDescent="0.2"/>
  </sheetData>
  <mergeCells count="2">
    <mergeCell ref="B2:F2"/>
    <mergeCell ref="K2:N2"/>
  </mergeCells>
  <phoneticPr fontId="2" type="noConversion"/>
  <dataValidations count="6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7"/>
  <sheetViews>
    <sheetView topLeftCell="E1" workbookViewId="0">
      <selection activeCell="H4" sqref="H4:H15"/>
    </sheetView>
  </sheetViews>
  <sheetFormatPr defaultRowHeight="13.5" x14ac:dyDescent="0.25"/>
  <cols>
    <col min="1" max="1" width="7" style="182" hidden="1" customWidth="1"/>
    <col min="2" max="2" width="10.85546875" style="199" hidden="1" customWidth="1"/>
    <col min="3" max="3" width="7.5703125" style="199" hidden="1" customWidth="1"/>
    <col min="4" max="4" width="6" style="199" hidden="1" customWidth="1"/>
    <col min="5" max="5" width="23.28515625" style="199" bestFit="1" customWidth="1"/>
    <col min="6" max="7" width="8" style="199" bestFit="1" customWidth="1"/>
    <col min="8" max="8" width="6.85546875" style="199" bestFit="1" customWidth="1"/>
    <col min="9" max="9" width="7.140625" style="199" customWidth="1"/>
    <col min="10" max="10" width="7.85546875" style="199" bestFit="1" customWidth="1"/>
    <col min="11" max="12" width="17.28515625" style="199" bestFit="1" customWidth="1"/>
    <col min="13" max="13" width="3" style="206" bestFit="1" customWidth="1"/>
    <col min="14" max="14" width="13.5703125" style="182" bestFit="1" customWidth="1"/>
    <col min="15" max="15" width="28.140625" style="182" bestFit="1" customWidth="1"/>
    <col min="16" max="16" width="3.5703125" style="182" customWidth="1"/>
    <col min="17" max="16384" width="9.140625" style="182"/>
  </cols>
  <sheetData>
    <row r="1" spans="2:14" ht="33.75" x14ac:dyDescent="0.25">
      <c r="B1" s="241" t="s">
        <v>88</v>
      </c>
      <c r="C1" s="242"/>
      <c r="D1" s="243"/>
      <c r="E1" s="205" t="s">
        <v>34</v>
      </c>
      <c r="F1" s="205" t="s">
        <v>31</v>
      </c>
      <c r="G1" s="205" t="s">
        <v>58</v>
      </c>
      <c r="H1" s="205" t="s">
        <v>2</v>
      </c>
      <c r="I1" s="205" t="s">
        <v>3</v>
      </c>
      <c r="J1" s="205" t="s">
        <v>109</v>
      </c>
      <c r="K1" s="205" t="s">
        <v>0</v>
      </c>
      <c r="L1" s="205" t="s">
        <v>1</v>
      </c>
    </row>
    <row r="2" spans="2:14" ht="11.25" customHeight="1" x14ac:dyDescent="0.2">
      <c r="B2" s="207"/>
      <c r="C2" s="208"/>
      <c r="D2" s="209" t="s">
        <v>7</v>
      </c>
      <c r="E2" s="209" t="str">
        <f t="shared" ref="E2:E65" si="0">RateHelperPrefix&amp;"_"&amp;$B2&amp;$C2&amp;$D2</f>
        <v>USD_YC1YRH_OND</v>
      </c>
      <c r="F2" s="210" t="e">
        <f>_xll.qlRateHelperQuoteValue($E2,Trigger)</f>
        <v>#NUM!</v>
      </c>
      <c r="G2" s="210"/>
      <c r="H2" s="211" t="b">
        <v>0</v>
      </c>
      <c r="I2" s="211">
        <v>10</v>
      </c>
      <c r="J2" s="211">
        <v>1</v>
      </c>
      <c r="K2" s="200" t="e">
        <f>_xll.qlRateHelperEarliestDate($E2,Trigger)</f>
        <v>#NUM!</v>
      </c>
      <c r="L2" s="212" t="e">
        <f>_xll.qlRateHelperLatestDate($E2,Trigger)</f>
        <v>#NUM!</v>
      </c>
      <c r="M2" s="182">
        <v>10</v>
      </c>
      <c r="N2" s="182" t="s">
        <v>89</v>
      </c>
    </row>
    <row r="3" spans="2:14" ht="11.25" x14ac:dyDescent="0.2">
      <c r="B3" s="207"/>
      <c r="C3" s="208"/>
      <c r="D3" s="209" t="s">
        <v>8</v>
      </c>
      <c r="E3" s="209" t="str">
        <f t="shared" si="0"/>
        <v>USD_YC1YRH_TND</v>
      </c>
      <c r="F3" s="210" t="e">
        <f>_xll.qlRateHelperQuoteValue($E3,Trigger)</f>
        <v>#NUM!</v>
      </c>
      <c r="G3" s="210"/>
      <c r="H3" s="211" t="b">
        <v>0</v>
      </c>
      <c r="I3" s="211">
        <v>10</v>
      </c>
      <c r="J3" s="211">
        <v>1</v>
      </c>
      <c r="K3" s="200" t="e">
        <f>_xll.qlRateHelperEarliestDate($E3,Trigger)</f>
        <v>#NUM!</v>
      </c>
      <c r="L3" s="212" t="e">
        <f>_xll.qlRateHelperLatestDate($E3,Trigger)</f>
        <v>#NUM!</v>
      </c>
      <c r="M3" s="182">
        <v>20</v>
      </c>
      <c r="N3" s="182" t="s">
        <v>90</v>
      </c>
    </row>
    <row r="4" spans="2:14" ht="11.25" x14ac:dyDescent="0.2">
      <c r="B4" s="207"/>
      <c r="C4" s="208"/>
      <c r="D4" s="209" t="s">
        <v>9</v>
      </c>
      <c r="E4" s="209" t="str">
        <f t="shared" si="0"/>
        <v>USD_YC1YRH_SND</v>
      </c>
      <c r="F4" s="210">
        <f>_xll.qlRateHelperQuoteValue($E4,Trigger)</f>
        <v>5.0220000000000004E-3</v>
      </c>
      <c r="G4" s="210"/>
      <c r="H4" s="211" t="b">
        <v>1</v>
      </c>
      <c r="I4" s="211">
        <v>10</v>
      </c>
      <c r="J4" s="211">
        <v>1</v>
      </c>
      <c r="K4" s="200">
        <f>_xll.qlRateHelperEarliestDate($E4,Trigger)</f>
        <v>41767</v>
      </c>
      <c r="L4" s="212">
        <f>_xll.qlRateHelperLatestDate($E4,Trigger)</f>
        <v>41768</v>
      </c>
      <c r="M4" s="182">
        <v>30</v>
      </c>
      <c r="N4" s="182" t="s">
        <v>91</v>
      </c>
    </row>
    <row r="5" spans="2:14" ht="11.25" x14ac:dyDescent="0.2">
      <c r="B5" s="207"/>
      <c r="C5" s="208"/>
      <c r="D5" s="209" t="s">
        <v>10</v>
      </c>
      <c r="E5" s="209" t="str">
        <f t="shared" si="0"/>
        <v>USD_YC1YRH_SWD</v>
      </c>
      <c r="F5" s="210">
        <f>_xll.qlRateHelperQuoteValue($E5,Trigger)</f>
        <v>5.0220000000000004E-3</v>
      </c>
      <c r="G5" s="210"/>
      <c r="H5" s="211" t="b">
        <v>1</v>
      </c>
      <c r="I5" s="211">
        <v>10</v>
      </c>
      <c r="J5" s="211">
        <v>1</v>
      </c>
      <c r="K5" s="200">
        <f>_xll.qlRateHelperEarliestDate($E5,Trigger)</f>
        <v>41767</v>
      </c>
      <c r="L5" s="212">
        <f>_xll.qlRateHelperLatestDate($E5,Trigger)</f>
        <v>41774</v>
      </c>
      <c r="M5" s="182">
        <v>40</v>
      </c>
      <c r="N5" s="182" t="s">
        <v>102</v>
      </c>
    </row>
    <row r="6" spans="2:14" ht="11.25" x14ac:dyDescent="0.2">
      <c r="B6" s="207"/>
      <c r="C6" s="208"/>
      <c r="D6" s="209" t="s">
        <v>11</v>
      </c>
      <c r="E6" s="209" t="str">
        <f t="shared" si="0"/>
        <v>USD_YC1YRH_2WD</v>
      </c>
      <c r="F6" s="210">
        <f>_xll.qlRateHelperQuoteValue($E6,Trigger)</f>
        <v>5.0220000000000004E-3</v>
      </c>
      <c r="G6" s="210"/>
      <c r="H6" s="211" t="b">
        <v>1</v>
      </c>
      <c r="I6" s="211">
        <v>10</v>
      </c>
      <c r="J6" s="211">
        <v>1</v>
      </c>
      <c r="K6" s="200">
        <f>_xll.qlRateHelperEarliestDate($E6,Trigger)</f>
        <v>41767</v>
      </c>
      <c r="L6" s="212">
        <f>_xll.qlRateHelperLatestDate($E6,Trigger)</f>
        <v>41781</v>
      </c>
      <c r="M6" s="182">
        <v>50</v>
      </c>
      <c r="N6" s="182" t="s">
        <v>92</v>
      </c>
    </row>
    <row r="7" spans="2:14" ht="11.25" x14ac:dyDescent="0.2">
      <c r="B7" s="207"/>
      <c r="C7" s="208"/>
      <c r="D7" s="209" t="s">
        <v>12</v>
      </c>
      <c r="E7" s="209" t="str">
        <f t="shared" si="0"/>
        <v>USD_YC1YRH_3WD</v>
      </c>
      <c r="F7" s="210">
        <f>_xll.qlRateHelperQuoteValue($E7,Trigger)</f>
        <v>5.0220000000000004E-3</v>
      </c>
      <c r="G7" s="210"/>
      <c r="H7" s="211" t="b">
        <v>1</v>
      </c>
      <c r="I7" s="211">
        <v>10</v>
      </c>
      <c r="J7" s="211">
        <v>1</v>
      </c>
      <c r="K7" s="200">
        <f>_xll.qlRateHelperEarliestDate($E7,Trigger)</f>
        <v>41767</v>
      </c>
      <c r="L7" s="212">
        <f>_xll.qlRateHelperLatestDate($E7,Trigger)</f>
        <v>41788</v>
      </c>
      <c r="M7" s="182">
        <v>60</v>
      </c>
      <c r="N7" s="182" t="s">
        <v>93</v>
      </c>
    </row>
    <row r="8" spans="2:14" x14ac:dyDescent="0.25">
      <c r="B8" s="207"/>
      <c r="C8" s="208"/>
      <c r="D8" s="209" t="s">
        <v>13</v>
      </c>
      <c r="E8" s="209" t="str">
        <f t="shared" si="0"/>
        <v>USD_YC1YRH_1MD</v>
      </c>
      <c r="F8" s="210">
        <f>_xll.qlRateHelperQuoteValue($E8,Trigger)</f>
        <v>5.0220000000000004E-3</v>
      </c>
      <c r="G8" s="210"/>
      <c r="H8" s="211" t="b">
        <v>1</v>
      </c>
      <c r="I8" s="211">
        <v>10</v>
      </c>
      <c r="J8" s="211">
        <v>1</v>
      </c>
      <c r="K8" s="200">
        <f>_xll.qlRateHelperEarliestDate($E8,Trigger)</f>
        <v>41767</v>
      </c>
      <c r="L8" s="212">
        <f>_xll.qlRateHelperLatestDate($E8,Trigger)</f>
        <v>41799</v>
      </c>
    </row>
    <row r="9" spans="2:14" x14ac:dyDescent="0.25">
      <c r="B9" s="207"/>
      <c r="C9" s="208"/>
      <c r="D9" s="209" t="s">
        <v>14</v>
      </c>
      <c r="E9" s="209" t="str">
        <f t="shared" si="0"/>
        <v>USD_YC1YRH_2MD</v>
      </c>
      <c r="F9" s="210">
        <f>_xll.qlRateHelperQuoteValue($E9,Trigger)</f>
        <v>5.0619999999999997E-3</v>
      </c>
      <c r="G9" s="210"/>
      <c r="H9" s="211" t="b">
        <v>1</v>
      </c>
      <c r="I9" s="211">
        <v>10</v>
      </c>
      <c r="J9" s="211">
        <v>1</v>
      </c>
      <c r="K9" s="200">
        <f>_xll.qlRateHelperEarliestDate($E9,Trigger)</f>
        <v>41767</v>
      </c>
      <c r="L9" s="212">
        <f>_xll.qlRateHelperLatestDate($E9,Trigger)</f>
        <v>41828</v>
      </c>
    </row>
    <row r="10" spans="2:14" x14ac:dyDescent="0.25">
      <c r="B10" s="207"/>
      <c r="C10" s="208"/>
      <c r="D10" s="209" t="s">
        <v>15</v>
      </c>
      <c r="E10" s="209" t="str">
        <f t="shared" si="0"/>
        <v>USD_YC1YRH_3MD</v>
      </c>
      <c r="F10" s="210">
        <f>_xll.qlRateHelperQuoteValue($E10,Trigger)</f>
        <v>5.0920000000000002E-3</v>
      </c>
      <c r="G10" s="210"/>
      <c r="H10" s="211" t="b">
        <v>1</v>
      </c>
      <c r="I10" s="211">
        <v>10</v>
      </c>
      <c r="J10" s="211">
        <v>1</v>
      </c>
      <c r="K10" s="200">
        <f>_xll.qlRateHelperEarliestDate($E10,Trigger)</f>
        <v>41767</v>
      </c>
      <c r="L10" s="212">
        <f>_xll.qlRateHelperLatestDate($E10,Trigger)</f>
        <v>41859</v>
      </c>
    </row>
    <row r="11" spans="2:14" x14ac:dyDescent="0.25">
      <c r="B11" s="207"/>
      <c r="C11" s="208"/>
      <c r="D11" s="209" t="s">
        <v>16</v>
      </c>
      <c r="E11" s="209" t="str">
        <f t="shared" si="0"/>
        <v>USD_YC1YRH_4MD</v>
      </c>
      <c r="F11" s="210">
        <f>_xll.qlRateHelperQuoteValue($E11,Trigger)</f>
        <v>5.1219999999999998E-3</v>
      </c>
      <c r="G11" s="210"/>
      <c r="H11" s="211" t="b">
        <v>1</v>
      </c>
      <c r="I11" s="211">
        <v>10</v>
      </c>
      <c r="J11" s="211">
        <v>1</v>
      </c>
      <c r="K11" s="200">
        <f>_xll.qlRateHelperEarliestDate($E11,Trigger)</f>
        <v>41767</v>
      </c>
      <c r="L11" s="212">
        <f>_xll.qlRateHelperLatestDate($E11,Trigger)</f>
        <v>41890</v>
      </c>
    </row>
    <row r="12" spans="2:14" x14ac:dyDescent="0.25">
      <c r="B12" s="207"/>
      <c r="C12" s="208"/>
      <c r="D12" s="209" t="s">
        <v>17</v>
      </c>
      <c r="E12" s="209" t="str">
        <f t="shared" si="0"/>
        <v>USD_YC1YRH_5MD</v>
      </c>
      <c r="F12" s="210">
        <f>_xll.qlRateHelperQuoteValue($E12,Trigger)</f>
        <v>5.1419999999999999E-3</v>
      </c>
      <c r="G12" s="210"/>
      <c r="H12" s="211" t="b">
        <v>1</v>
      </c>
      <c r="I12" s="211">
        <v>10</v>
      </c>
      <c r="J12" s="211">
        <v>1</v>
      </c>
      <c r="K12" s="200">
        <f>_xll.qlRateHelperEarliestDate($E12,Trigger)</f>
        <v>41767</v>
      </c>
      <c r="L12" s="212">
        <f>_xll.qlRateHelperLatestDate($E12,Trigger)</f>
        <v>41920</v>
      </c>
    </row>
    <row r="13" spans="2:14" x14ac:dyDescent="0.25">
      <c r="B13" s="207"/>
      <c r="C13" s="208"/>
      <c r="D13" s="209" t="s">
        <v>18</v>
      </c>
      <c r="E13" s="209" t="str">
        <f t="shared" si="0"/>
        <v>USD_YC1YRH_6MD</v>
      </c>
      <c r="F13" s="210">
        <f>_xll.qlRateHelperQuoteValue($E13,Trigger)</f>
        <v>5.1619999999999999E-3</v>
      </c>
      <c r="G13" s="210"/>
      <c r="H13" s="211" t="b">
        <v>1</v>
      </c>
      <c r="I13" s="211">
        <v>60</v>
      </c>
      <c r="J13" s="211">
        <v>1</v>
      </c>
      <c r="K13" s="200">
        <f>_xll.qlRateHelperEarliestDate($E13,Trigger)</f>
        <v>41767</v>
      </c>
      <c r="L13" s="212">
        <f>_xll.qlRateHelperLatestDate($E13,Trigger)</f>
        <v>41953</v>
      </c>
    </row>
    <row r="14" spans="2:14" x14ac:dyDescent="0.25">
      <c r="B14" s="207"/>
      <c r="C14" s="208"/>
      <c r="D14" s="209" t="s">
        <v>19</v>
      </c>
      <c r="E14" s="209" t="str">
        <f t="shared" si="0"/>
        <v>USD_YC1YRH_9MD</v>
      </c>
      <c r="F14" s="210">
        <f>_xll.qlRateHelperQuoteValue($E14,Trigger)</f>
        <v>5.2719999999999998E-3</v>
      </c>
      <c r="G14" s="210"/>
      <c r="H14" s="211" t="b">
        <v>1</v>
      </c>
      <c r="I14" s="211">
        <v>10</v>
      </c>
      <c r="J14" s="211">
        <v>1</v>
      </c>
      <c r="K14" s="200">
        <f>_xll.qlRateHelperEarliestDate($E14,Trigger)</f>
        <v>41767</v>
      </c>
      <c r="L14" s="212">
        <f>_xll.qlRateHelperLatestDate($E14,Trigger)</f>
        <v>42044</v>
      </c>
    </row>
    <row r="15" spans="2:14" x14ac:dyDescent="0.25">
      <c r="B15" s="213"/>
      <c r="C15" s="214"/>
      <c r="D15" s="215" t="s">
        <v>20</v>
      </c>
      <c r="E15" s="215" t="str">
        <f t="shared" si="0"/>
        <v>USD_YC1YRH_1YD</v>
      </c>
      <c r="F15" s="216">
        <f>_xll.qlRateHelperQuoteValue($E15,Trigger)</f>
        <v>5.4720000000000003E-3</v>
      </c>
      <c r="G15" s="216"/>
      <c r="H15" s="217" t="b">
        <v>1</v>
      </c>
      <c r="I15" s="217">
        <v>10</v>
      </c>
      <c r="J15" s="217">
        <v>1</v>
      </c>
      <c r="K15" s="218">
        <f>_xll.qlRateHelperEarliestDate($E15,Trigger)</f>
        <v>41767</v>
      </c>
      <c r="L15" s="219">
        <f>_xll.qlRateHelperLatestDate($E15,Trigger)</f>
        <v>42132</v>
      </c>
    </row>
    <row r="16" spans="2:14" x14ac:dyDescent="0.25">
      <c r="B16" s="220">
        <v>1</v>
      </c>
      <c r="C16" s="208" t="s">
        <v>57</v>
      </c>
      <c r="D16" s="209" t="str">
        <f t="shared" ref="D16:D33" si="1">(B16+Months)&amp;"F"</f>
        <v>13F</v>
      </c>
      <c r="E16" s="209" t="str">
        <f t="shared" si="0"/>
        <v>USD_YC1YRH_1X13F</v>
      </c>
      <c r="F16" s="210" t="e">
        <f>_xll.qlRateHelperQuoteValue($E16,Trigger)</f>
        <v>#NUM!</v>
      </c>
      <c r="G16" s="210"/>
      <c r="H16" s="211" t="b">
        <v>0</v>
      </c>
      <c r="I16" s="211">
        <v>20</v>
      </c>
      <c r="J16" s="211">
        <v>7</v>
      </c>
      <c r="K16" s="200" t="e">
        <f>_xll.qlRateHelperEarliestDate($E16,Trigger)</f>
        <v>#NUM!</v>
      </c>
      <c r="L16" s="212" t="e">
        <f>_xll.qlRateHelperLatestDate($E16,Trigger)</f>
        <v>#NUM!</v>
      </c>
    </row>
    <row r="17" spans="2:12" x14ac:dyDescent="0.25">
      <c r="B17" s="220">
        <v>2</v>
      </c>
      <c r="C17" s="208" t="s">
        <v>57</v>
      </c>
      <c r="D17" s="209" t="str">
        <f t="shared" si="1"/>
        <v>14F</v>
      </c>
      <c r="E17" s="209" t="str">
        <f t="shared" si="0"/>
        <v>USD_YC1YRH_2X14F</v>
      </c>
      <c r="F17" s="210" t="e">
        <f>_xll.qlRateHelperQuoteValue($E17,Trigger)</f>
        <v>#NUM!</v>
      </c>
      <c r="G17" s="210"/>
      <c r="H17" s="211" t="b">
        <v>0</v>
      </c>
      <c r="I17" s="211">
        <v>20</v>
      </c>
      <c r="J17" s="211">
        <v>7</v>
      </c>
      <c r="K17" s="200" t="e">
        <f>_xll.qlRateHelperEarliestDate($E17,Trigger)</f>
        <v>#NUM!</v>
      </c>
      <c r="L17" s="212" t="e">
        <f>_xll.qlRateHelperLatestDate($E17,Trigger)</f>
        <v>#NUM!</v>
      </c>
    </row>
    <row r="18" spans="2:12" x14ac:dyDescent="0.25">
      <c r="B18" s="220">
        <v>3</v>
      </c>
      <c r="C18" s="208" t="s">
        <v>57</v>
      </c>
      <c r="D18" s="209" t="str">
        <f t="shared" si="1"/>
        <v>15F</v>
      </c>
      <c r="E18" s="209" t="str">
        <f t="shared" si="0"/>
        <v>USD_YC1YRH_3X15F</v>
      </c>
      <c r="F18" s="210" t="e">
        <f>_xll.qlRateHelperQuoteValue($E18,Trigger)</f>
        <v>#NUM!</v>
      </c>
      <c r="G18" s="210"/>
      <c r="H18" s="211" t="b">
        <v>0</v>
      </c>
      <c r="I18" s="211">
        <v>20</v>
      </c>
      <c r="J18" s="211">
        <v>7</v>
      </c>
      <c r="K18" s="200" t="e">
        <f>_xll.qlRateHelperEarliestDate($E18,Trigger)</f>
        <v>#NUM!</v>
      </c>
      <c r="L18" s="212" t="e">
        <f>_xll.qlRateHelperLatestDate($E18,Trigger)</f>
        <v>#NUM!</v>
      </c>
    </row>
    <row r="19" spans="2:12" x14ac:dyDescent="0.25">
      <c r="B19" s="220">
        <v>4</v>
      </c>
      <c r="C19" s="208" t="s">
        <v>57</v>
      </c>
      <c r="D19" s="209" t="str">
        <f t="shared" si="1"/>
        <v>16F</v>
      </c>
      <c r="E19" s="209" t="str">
        <f t="shared" si="0"/>
        <v>USD_YC1YRH_4X16F</v>
      </c>
      <c r="F19" s="210" t="e">
        <f>_xll.qlRateHelperQuoteValue($E19,Trigger)</f>
        <v>#NUM!</v>
      </c>
      <c r="G19" s="210"/>
      <c r="H19" s="211" t="b">
        <v>0</v>
      </c>
      <c r="I19" s="211">
        <v>20</v>
      </c>
      <c r="J19" s="211">
        <v>7</v>
      </c>
      <c r="K19" s="200" t="e">
        <f>_xll.qlRateHelperEarliestDate($E19,Trigger)</f>
        <v>#NUM!</v>
      </c>
      <c r="L19" s="212" t="e">
        <f>_xll.qlRateHelperLatestDate($E19,Trigger)</f>
        <v>#NUM!</v>
      </c>
    </row>
    <row r="20" spans="2:12" x14ac:dyDescent="0.25">
      <c r="B20" s="220">
        <v>5</v>
      </c>
      <c r="C20" s="208" t="s">
        <v>57</v>
      </c>
      <c r="D20" s="209" t="str">
        <f t="shared" si="1"/>
        <v>17F</v>
      </c>
      <c r="E20" s="209" t="str">
        <f t="shared" si="0"/>
        <v>USD_YC1YRH_5X17F</v>
      </c>
      <c r="F20" s="210" t="e">
        <f>_xll.qlRateHelperQuoteValue($E20,Trigger)</f>
        <v>#NUM!</v>
      </c>
      <c r="G20" s="210"/>
      <c r="H20" s="211" t="b">
        <v>0</v>
      </c>
      <c r="I20" s="211">
        <v>20</v>
      </c>
      <c r="J20" s="211">
        <v>7</v>
      </c>
      <c r="K20" s="200" t="e">
        <f>_xll.qlRateHelperEarliestDate($E20,Trigger)</f>
        <v>#NUM!</v>
      </c>
      <c r="L20" s="212" t="e">
        <f>_xll.qlRateHelperLatestDate($E20,Trigger)</f>
        <v>#NUM!</v>
      </c>
    </row>
    <row r="21" spans="2:12" x14ac:dyDescent="0.25">
      <c r="B21" s="220">
        <v>6</v>
      </c>
      <c r="C21" s="208" t="s">
        <v>57</v>
      </c>
      <c r="D21" s="209" t="str">
        <f t="shared" si="1"/>
        <v>18F</v>
      </c>
      <c r="E21" s="209" t="str">
        <f t="shared" si="0"/>
        <v>USD_YC1YRH_6X18F</v>
      </c>
      <c r="F21" s="210" t="e">
        <f>_xll.qlRateHelperQuoteValue($E21,Trigger)</f>
        <v>#NUM!</v>
      </c>
      <c r="G21" s="210"/>
      <c r="H21" s="211" t="b">
        <v>0</v>
      </c>
      <c r="I21" s="211">
        <v>20</v>
      </c>
      <c r="J21" s="211">
        <v>7</v>
      </c>
      <c r="K21" s="200" t="e">
        <f>_xll.qlRateHelperEarliestDate($E21,Trigger)</f>
        <v>#NUM!</v>
      </c>
      <c r="L21" s="212" t="e">
        <f>_xll.qlRateHelperLatestDate($E21,Trigger)</f>
        <v>#NUM!</v>
      </c>
    </row>
    <row r="22" spans="2:12" x14ac:dyDescent="0.25">
      <c r="B22" s="220">
        <v>7</v>
      </c>
      <c r="C22" s="208" t="s">
        <v>57</v>
      </c>
      <c r="D22" s="209" t="str">
        <f t="shared" si="1"/>
        <v>19F</v>
      </c>
      <c r="E22" s="209" t="str">
        <f t="shared" si="0"/>
        <v>USD_YC1YRH_7X19F</v>
      </c>
      <c r="F22" s="210" t="e">
        <f>_xll.qlRateHelperQuoteValue($E22,Trigger)</f>
        <v>#NUM!</v>
      </c>
      <c r="G22" s="210"/>
      <c r="H22" s="211" t="b">
        <v>0</v>
      </c>
      <c r="I22" s="211">
        <v>20</v>
      </c>
      <c r="J22" s="211">
        <v>7</v>
      </c>
      <c r="K22" s="200" t="e">
        <f>_xll.qlRateHelperEarliestDate($E22,Trigger)</f>
        <v>#NUM!</v>
      </c>
      <c r="L22" s="212" t="e">
        <f>_xll.qlRateHelperLatestDate($E22,Trigger)</f>
        <v>#NUM!</v>
      </c>
    </row>
    <row r="23" spans="2:12" x14ac:dyDescent="0.25">
      <c r="B23" s="220">
        <v>8</v>
      </c>
      <c r="C23" s="208" t="s">
        <v>57</v>
      </c>
      <c r="D23" s="209" t="str">
        <f t="shared" si="1"/>
        <v>20F</v>
      </c>
      <c r="E23" s="209" t="str">
        <f t="shared" si="0"/>
        <v>USD_YC1YRH_8X20F</v>
      </c>
      <c r="F23" s="210" t="e">
        <f>_xll.qlRateHelperQuoteValue($E23,Trigger)</f>
        <v>#NUM!</v>
      </c>
      <c r="G23" s="210"/>
      <c r="H23" s="211" t="b">
        <v>0</v>
      </c>
      <c r="I23" s="211">
        <v>20</v>
      </c>
      <c r="J23" s="211">
        <v>7</v>
      </c>
      <c r="K23" s="200" t="e">
        <f>_xll.qlRateHelperEarliestDate($E23,Trigger)</f>
        <v>#NUM!</v>
      </c>
      <c r="L23" s="212" t="e">
        <f>_xll.qlRateHelperLatestDate($E23,Trigger)</f>
        <v>#NUM!</v>
      </c>
    </row>
    <row r="24" spans="2:12" x14ac:dyDescent="0.25">
      <c r="B24" s="220">
        <v>9</v>
      </c>
      <c r="C24" s="208" t="s">
        <v>57</v>
      </c>
      <c r="D24" s="209" t="str">
        <f t="shared" si="1"/>
        <v>21F</v>
      </c>
      <c r="E24" s="209" t="str">
        <f t="shared" si="0"/>
        <v>USD_YC1YRH_9X21F</v>
      </c>
      <c r="F24" s="210" t="e">
        <f>_xll.qlRateHelperQuoteValue($E24,Trigger)</f>
        <v>#NUM!</v>
      </c>
      <c r="G24" s="210"/>
      <c r="H24" s="211" t="b">
        <v>0</v>
      </c>
      <c r="I24" s="211">
        <v>20</v>
      </c>
      <c r="J24" s="211">
        <v>7</v>
      </c>
      <c r="K24" s="200" t="e">
        <f>_xll.qlRateHelperEarliestDate($E24,Trigger)</f>
        <v>#NUM!</v>
      </c>
      <c r="L24" s="212" t="e">
        <f>_xll.qlRateHelperLatestDate($E24,Trigger)</f>
        <v>#NUM!</v>
      </c>
    </row>
    <row r="25" spans="2:12" x14ac:dyDescent="0.25">
      <c r="B25" s="220">
        <v>10</v>
      </c>
      <c r="C25" s="208" t="s">
        <v>57</v>
      </c>
      <c r="D25" s="209" t="str">
        <f t="shared" si="1"/>
        <v>22F</v>
      </c>
      <c r="E25" s="209" t="str">
        <f t="shared" si="0"/>
        <v>USD_YC1YRH_10X22F</v>
      </c>
      <c r="F25" s="210" t="e">
        <f>_xll.qlRateHelperQuoteValue($E25,Trigger)</f>
        <v>#NUM!</v>
      </c>
      <c r="G25" s="210"/>
      <c r="H25" s="211" t="b">
        <v>0</v>
      </c>
      <c r="I25" s="211">
        <v>20</v>
      </c>
      <c r="J25" s="211">
        <v>7</v>
      </c>
      <c r="K25" s="200" t="e">
        <f>_xll.qlRateHelperEarliestDate($E25,Trigger)</f>
        <v>#NUM!</v>
      </c>
      <c r="L25" s="212" t="e">
        <f>_xll.qlRateHelperLatestDate($E25,Trigger)</f>
        <v>#NUM!</v>
      </c>
    </row>
    <row r="26" spans="2:12" x14ac:dyDescent="0.25">
      <c r="B26" s="220">
        <v>11</v>
      </c>
      <c r="C26" s="208" t="s">
        <v>57</v>
      </c>
      <c r="D26" s="209" t="str">
        <f t="shared" si="1"/>
        <v>23F</v>
      </c>
      <c r="E26" s="209" t="str">
        <f t="shared" si="0"/>
        <v>USD_YC1YRH_11X23F</v>
      </c>
      <c r="F26" s="210" t="e">
        <f>_xll.qlRateHelperQuoteValue($E26,Trigger)</f>
        <v>#NUM!</v>
      </c>
      <c r="G26" s="210"/>
      <c r="H26" s="211" t="b">
        <v>0</v>
      </c>
      <c r="I26" s="211">
        <v>20</v>
      </c>
      <c r="J26" s="211">
        <v>7</v>
      </c>
      <c r="K26" s="200" t="e">
        <f>_xll.qlRateHelperEarliestDate($E26,Trigger)</f>
        <v>#NUM!</v>
      </c>
      <c r="L26" s="212" t="e">
        <f>_xll.qlRateHelperLatestDate($E26,Trigger)</f>
        <v>#NUM!</v>
      </c>
    </row>
    <row r="27" spans="2:12" x14ac:dyDescent="0.25">
      <c r="B27" s="220">
        <v>12</v>
      </c>
      <c r="C27" s="208" t="s">
        <v>57</v>
      </c>
      <c r="D27" s="209" t="str">
        <f t="shared" si="1"/>
        <v>24F</v>
      </c>
      <c r="E27" s="209" t="str">
        <f t="shared" si="0"/>
        <v>USD_YC1YRH_12X24F</v>
      </c>
      <c r="F27" s="210" t="e">
        <f>_xll.qlRateHelperQuoteValue($E27,Trigger)</f>
        <v>#NUM!</v>
      </c>
      <c r="G27" s="210"/>
      <c r="H27" s="211" t="b">
        <v>0</v>
      </c>
      <c r="I27" s="211">
        <v>20</v>
      </c>
      <c r="J27" s="211">
        <v>7</v>
      </c>
      <c r="K27" s="200">
        <f>_xll.qlRateHelperEarliestDate($E27,Trigger)</f>
        <v>42132</v>
      </c>
      <c r="L27" s="212">
        <f>_xll.qlRateHelperLatestDate($E27,Trigger)</f>
        <v>42499</v>
      </c>
    </row>
    <row r="28" spans="2:12" x14ac:dyDescent="0.25">
      <c r="B28" s="220">
        <v>13</v>
      </c>
      <c r="C28" s="208" t="s">
        <v>57</v>
      </c>
      <c r="D28" s="209" t="str">
        <f t="shared" si="1"/>
        <v>25F</v>
      </c>
      <c r="E28" s="209" t="str">
        <f t="shared" si="0"/>
        <v>USD_YC1YRH_13X25F</v>
      </c>
      <c r="F28" s="210" t="e">
        <f>_xll.qlRateHelperQuoteValue($E28,Trigger)</f>
        <v>#NUM!</v>
      </c>
      <c r="G28" s="210"/>
      <c r="H28" s="211" t="b">
        <v>0</v>
      </c>
      <c r="I28" s="211">
        <v>20</v>
      </c>
      <c r="J28" s="211">
        <v>7</v>
      </c>
      <c r="K28" s="200" t="e">
        <f>_xll.qlRateHelperEarliestDate($E28,Trigger)</f>
        <v>#NUM!</v>
      </c>
      <c r="L28" s="212" t="e">
        <f>_xll.qlRateHelperLatestDate($E28,Trigger)</f>
        <v>#NUM!</v>
      </c>
    </row>
    <row r="29" spans="2:12" x14ac:dyDescent="0.25">
      <c r="B29" s="220">
        <v>14</v>
      </c>
      <c r="C29" s="208" t="s">
        <v>57</v>
      </c>
      <c r="D29" s="209" t="str">
        <f t="shared" si="1"/>
        <v>26F</v>
      </c>
      <c r="E29" s="209" t="str">
        <f t="shared" si="0"/>
        <v>USD_YC1YRH_14X26F</v>
      </c>
      <c r="F29" s="210" t="e">
        <f>_xll.qlRateHelperQuoteValue($E29,Trigger)</f>
        <v>#NUM!</v>
      </c>
      <c r="G29" s="210"/>
      <c r="H29" s="211" t="b">
        <v>0</v>
      </c>
      <c r="I29" s="211">
        <v>20</v>
      </c>
      <c r="J29" s="211">
        <v>7</v>
      </c>
      <c r="K29" s="200" t="e">
        <f>_xll.qlRateHelperEarliestDate($E29,Trigger)</f>
        <v>#NUM!</v>
      </c>
      <c r="L29" s="212" t="e">
        <f>_xll.qlRateHelperLatestDate($E29,Trigger)</f>
        <v>#NUM!</v>
      </c>
    </row>
    <row r="30" spans="2:12" x14ac:dyDescent="0.25">
      <c r="B30" s="220">
        <v>15</v>
      </c>
      <c r="C30" s="208" t="s">
        <v>57</v>
      </c>
      <c r="D30" s="209" t="str">
        <f t="shared" si="1"/>
        <v>27F</v>
      </c>
      <c r="E30" s="209" t="str">
        <f t="shared" si="0"/>
        <v>USD_YC1YRH_15X27F</v>
      </c>
      <c r="F30" s="210" t="e">
        <f>_xll.qlRateHelperQuoteValue($E30,Trigger)</f>
        <v>#NUM!</v>
      </c>
      <c r="G30" s="210"/>
      <c r="H30" s="211" t="b">
        <v>0</v>
      </c>
      <c r="I30" s="211">
        <v>20</v>
      </c>
      <c r="J30" s="211">
        <v>7</v>
      </c>
      <c r="K30" s="200" t="e">
        <f>_xll.qlRateHelperEarliestDate($E30,Trigger)</f>
        <v>#NUM!</v>
      </c>
      <c r="L30" s="212" t="e">
        <f>_xll.qlRateHelperLatestDate($E30,Trigger)</f>
        <v>#NUM!</v>
      </c>
    </row>
    <row r="31" spans="2:12" x14ac:dyDescent="0.25">
      <c r="B31" s="220">
        <v>16</v>
      </c>
      <c r="C31" s="208" t="s">
        <v>57</v>
      </c>
      <c r="D31" s="209" t="str">
        <f t="shared" si="1"/>
        <v>28F</v>
      </c>
      <c r="E31" s="209" t="str">
        <f t="shared" si="0"/>
        <v>USD_YC1YRH_16X28F</v>
      </c>
      <c r="F31" s="210" t="e">
        <f>_xll.qlRateHelperQuoteValue($E31,Trigger)</f>
        <v>#NUM!</v>
      </c>
      <c r="G31" s="210"/>
      <c r="H31" s="211" t="b">
        <v>0</v>
      </c>
      <c r="I31" s="211">
        <v>20</v>
      </c>
      <c r="J31" s="211">
        <v>7</v>
      </c>
      <c r="K31" s="200" t="e">
        <f>_xll.qlRateHelperEarliestDate($E31,Trigger)</f>
        <v>#NUM!</v>
      </c>
      <c r="L31" s="212" t="e">
        <f>_xll.qlRateHelperLatestDate($E31,Trigger)</f>
        <v>#NUM!</v>
      </c>
    </row>
    <row r="32" spans="2:12" x14ac:dyDescent="0.25">
      <c r="B32" s="220">
        <v>17</v>
      </c>
      <c r="C32" s="208" t="s">
        <v>57</v>
      </c>
      <c r="D32" s="209" t="str">
        <f t="shared" si="1"/>
        <v>29F</v>
      </c>
      <c r="E32" s="209" t="str">
        <f t="shared" si="0"/>
        <v>USD_YC1YRH_17X29F</v>
      </c>
      <c r="F32" s="210" t="e">
        <f>_xll.qlRateHelperQuoteValue($E32,Trigger)</f>
        <v>#NUM!</v>
      </c>
      <c r="G32" s="210"/>
      <c r="H32" s="211" t="b">
        <v>0</v>
      </c>
      <c r="I32" s="211">
        <v>20</v>
      </c>
      <c r="J32" s="211">
        <v>7</v>
      </c>
      <c r="K32" s="200" t="e">
        <f>_xll.qlRateHelperEarliestDate($E32,Trigger)</f>
        <v>#NUM!</v>
      </c>
      <c r="L32" s="212" t="e">
        <f>_xll.qlRateHelperLatestDate($E32,Trigger)</f>
        <v>#NUM!</v>
      </c>
    </row>
    <row r="33" spans="1:12" x14ac:dyDescent="0.25">
      <c r="B33" s="221">
        <v>18</v>
      </c>
      <c r="C33" s="214" t="s">
        <v>57</v>
      </c>
      <c r="D33" s="215" t="str">
        <f t="shared" si="1"/>
        <v>30F</v>
      </c>
      <c r="E33" s="215" t="str">
        <f t="shared" si="0"/>
        <v>USD_YC1YRH_18X30F</v>
      </c>
      <c r="F33" s="216" t="e">
        <f>_xll.qlRateHelperQuoteValue($E33,Trigger)</f>
        <v>#NUM!</v>
      </c>
      <c r="G33" s="216"/>
      <c r="H33" s="217" t="b">
        <v>0</v>
      </c>
      <c r="I33" s="217">
        <v>20</v>
      </c>
      <c r="J33" s="217">
        <v>7</v>
      </c>
      <c r="K33" s="218" t="e">
        <f>_xll.qlRateHelperEarliestDate($E33,Trigger)</f>
        <v>#NUM!</v>
      </c>
      <c r="L33" s="219" t="e">
        <f>_xll.qlRateHelperLatestDate($E33,Trigger)</f>
        <v>#NUM!</v>
      </c>
    </row>
    <row r="34" spans="1:12" ht="11.25" customHeight="1" x14ac:dyDescent="0.25">
      <c r="A34" s="222" t="b">
        <v>0</v>
      </c>
      <c r="B34" s="220"/>
      <c r="C34" s="208" t="str">
        <f t="shared" ref="C34:C75" si="2">"FUT"&amp;IndexTenor</f>
        <v>FUT1Y</v>
      </c>
      <c r="D34" s="209" t="str">
        <f t="array" ref="D34:D75">_xll.qlIMMNextCodes(_xll.qlSettingsEvaluationDate(Trigger)-1,$A34:$A75)</f>
        <v>K4</v>
      </c>
      <c r="E34" s="209" t="str">
        <f t="shared" si="0"/>
        <v>USD_YC1YRH_FUT1YK4</v>
      </c>
      <c r="F34" s="223" t="e">
        <f>_xll.qlRateHelperQuoteValue($E34,Trigger)</f>
        <v>#NUM!</v>
      </c>
      <c r="G34" s="210" t="e">
        <f>_xll.qlFuturesRateHelperConvexityAdjustment($E34,Trigger)</f>
        <v>#NUM!</v>
      </c>
      <c r="H34" s="211" t="b">
        <v>0</v>
      </c>
      <c r="I34" s="211">
        <v>60</v>
      </c>
      <c r="J34" s="211">
        <v>1</v>
      </c>
      <c r="K34" s="200" t="e">
        <f>_xll.qlRateHelperEarliestDate($E34,Trigger)</f>
        <v>#NUM!</v>
      </c>
      <c r="L34" s="212" t="e">
        <f>_xll.qlRateHelperLatestDate($E34,Trigger)</f>
        <v>#NUM!</v>
      </c>
    </row>
    <row r="35" spans="1:12" x14ac:dyDescent="0.25">
      <c r="A35" s="208" t="b">
        <v>0</v>
      </c>
      <c r="B35" s="220"/>
      <c r="C35" s="208" t="str">
        <f t="shared" si="2"/>
        <v>FUT1Y</v>
      </c>
      <c r="D35" s="209" t="str">
        <v>M4</v>
      </c>
      <c r="E35" s="209" t="str">
        <f t="shared" si="0"/>
        <v>USD_YC1YRH_FUT1YM4</v>
      </c>
      <c r="F35" s="223" t="e">
        <f>_xll.qlRateHelperQuoteValue($E35,Trigger)</f>
        <v>#NUM!</v>
      </c>
      <c r="G35" s="210" t="e">
        <f>_xll.qlFuturesRateHelperConvexityAdjustment($E35,Trigger)</f>
        <v>#NUM!</v>
      </c>
      <c r="H35" s="211" t="b">
        <v>0</v>
      </c>
      <c r="I35" s="211">
        <v>60</v>
      </c>
      <c r="J35" s="211">
        <v>1</v>
      </c>
      <c r="K35" s="200" t="e">
        <f>_xll.qlRateHelperEarliestDate($E35,Trigger)</f>
        <v>#NUM!</v>
      </c>
      <c r="L35" s="212" t="e">
        <f>_xll.qlRateHelperLatestDate($E35,Trigger)</f>
        <v>#NUM!</v>
      </c>
    </row>
    <row r="36" spans="1:12" x14ac:dyDescent="0.25">
      <c r="A36" s="208" t="b">
        <v>0</v>
      </c>
      <c r="B36" s="220"/>
      <c r="C36" s="208" t="str">
        <f t="shared" si="2"/>
        <v>FUT1Y</v>
      </c>
      <c r="D36" s="209" t="str">
        <v>N4</v>
      </c>
      <c r="E36" s="209" t="str">
        <f t="shared" si="0"/>
        <v>USD_YC1YRH_FUT1YN4</v>
      </c>
      <c r="F36" s="223" t="e">
        <f>_xll.qlRateHelperQuoteValue($E36,Trigger)</f>
        <v>#NUM!</v>
      </c>
      <c r="G36" s="210" t="e">
        <f>_xll.qlFuturesRateHelperConvexityAdjustment($E36,Trigger)</f>
        <v>#NUM!</v>
      </c>
      <c r="H36" s="211" t="b">
        <v>0</v>
      </c>
      <c r="I36" s="211">
        <v>60</v>
      </c>
      <c r="J36" s="211">
        <v>1</v>
      </c>
      <c r="K36" s="200" t="e">
        <f>_xll.qlRateHelperEarliestDate($E36,Trigger)</f>
        <v>#NUM!</v>
      </c>
      <c r="L36" s="212" t="e">
        <f>_xll.qlRateHelperLatestDate($E36,Trigger)</f>
        <v>#NUM!</v>
      </c>
    </row>
    <row r="37" spans="1:12" x14ac:dyDescent="0.25">
      <c r="A37" s="208" t="b">
        <v>0</v>
      </c>
      <c r="B37" s="220"/>
      <c r="C37" s="208" t="str">
        <f t="shared" si="2"/>
        <v>FUT1Y</v>
      </c>
      <c r="D37" s="209" t="str">
        <v>Q4</v>
      </c>
      <c r="E37" s="209" t="str">
        <f t="shared" si="0"/>
        <v>USD_YC1YRH_FUT1YQ4</v>
      </c>
      <c r="F37" s="223" t="e">
        <f>_xll.qlRateHelperQuoteValue($E37,Trigger)</f>
        <v>#NUM!</v>
      </c>
      <c r="G37" s="210" t="e">
        <f>_xll.qlFuturesRateHelperConvexityAdjustment($E37,Trigger)</f>
        <v>#NUM!</v>
      </c>
      <c r="H37" s="211" t="b">
        <v>0</v>
      </c>
      <c r="I37" s="211">
        <v>60</v>
      </c>
      <c r="J37" s="211">
        <v>1</v>
      </c>
      <c r="K37" s="200" t="e">
        <f>_xll.qlRateHelperEarliestDate($E37,Trigger)</f>
        <v>#NUM!</v>
      </c>
      <c r="L37" s="212" t="e">
        <f>_xll.qlRateHelperLatestDate($E37,Trigger)</f>
        <v>#NUM!</v>
      </c>
    </row>
    <row r="38" spans="1:12" x14ac:dyDescent="0.25">
      <c r="A38" s="208" t="b">
        <v>0</v>
      </c>
      <c r="B38" s="220"/>
      <c r="C38" s="208" t="str">
        <f t="shared" si="2"/>
        <v>FUT1Y</v>
      </c>
      <c r="D38" s="209" t="str">
        <v>U4</v>
      </c>
      <c r="E38" s="209" t="str">
        <f t="shared" si="0"/>
        <v>USD_YC1YRH_FUT1YU4</v>
      </c>
      <c r="F38" s="223" t="e">
        <f>_xll.qlRateHelperQuoteValue($E38,Trigger)</f>
        <v>#NUM!</v>
      </c>
      <c r="G38" s="210" t="e">
        <f>_xll.qlFuturesRateHelperConvexityAdjustment($E38,Trigger)</f>
        <v>#NUM!</v>
      </c>
      <c r="H38" s="211" t="b">
        <v>0</v>
      </c>
      <c r="I38" s="211">
        <v>60</v>
      </c>
      <c r="J38" s="211">
        <v>1</v>
      </c>
      <c r="K38" s="200" t="e">
        <f>_xll.qlRateHelperEarliestDate($E38,Trigger)</f>
        <v>#NUM!</v>
      </c>
      <c r="L38" s="212" t="e">
        <f>_xll.qlRateHelperLatestDate($E38,Trigger)</f>
        <v>#NUM!</v>
      </c>
    </row>
    <row r="39" spans="1:12" x14ac:dyDescent="0.25">
      <c r="A39" s="208" t="b">
        <v>0</v>
      </c>
      <c r="B39" s="220"/>
      <c r="C39" s="208" t="str">
        <f t="shared" si="2"/>
        <v>FUT1Y</v>
      </c>
      <c r="D39" s="209" t="str">
        <v>V4</v>
      </c>
      <c r="E39" s="209" t="str">
        <f t="shared" si="0"/>
        <v>USD_YC1YRH_FUT1YV4</v>
      </c>
      <c r="F39" s="223" t="e">
        <f>_xll.qlRateHelperQuoteValue($E39,Trigger)</f>
        <v>#NUM!</v>
      </c>
      <c r="G39" s="210" t="e">
        <f>_xll.qlFuturesRateHelperConvexityAdjustment($E39,Trigger)</f>
        <v>#NUM!</v>
      </c>
      <c r="H39" s="211" t="b">
        <v>0</v>
      </c>
      <c r="I39" s="211">
        <v>60</v>
      </c>
      <c r="J39" s="211">
        <v>1</v>
      </c>
      <c r="K39" s="200" t="e">
        <f>_xll.qlRateHelperEarliestDate($E39,Trigger)</f>
        <v>#NUM!</v>
      </c>
      <c r="L39" s="212" t="e">
        <f>_xll.qlRateHelperLatestDate($E39,Trigger)</f>
        <v>#NUM!</v>
      </c>
    </row>
    <row r="40" spans="1:12" x14ac:dyDescent="0.25">
      <c r="A40" s="208" t="b">
        <v>0</v>
      </c>
      <c r="B40" s="220"/>
      <c r="C40" s="208" t="str">
        <f t="shared" si="2"/>
        <v>FUT1Y</v>
      </c>
      <c r="D40" s="209" t="str">
        <v>X4</v>
      </c>
      <c r="E40" s="209" t="str">
        <f t="shared" si="0"/>
        <v>USD_YC1YRH_FUT1YX4</v>
      </c>
      <c r="F40" s="223" t="e">
        <f>_xll.qlRateHelperQuoteValue($E40,Trigger)</f>
        <v>#NUM!</v>
      </c>
      <c r="G40" s="210" t="e">
        <f>_xll.qlFuturesRateHelperConvexityAdjustment($E40,Trigger)</f>
        <v>#NUM!</v>
      </c>
      <c r="H40" s="211" t="b">
        <v>0</v>
      </c>
      <c r="I40" s="211">
        <v>60</v>
      </c>
      <c r="J40" s="211">
        <v>1</v>
      </c>
      <c r="K40" s="200" t="e">
        <f>_xll.qlRateHelperEarliestDate($E40,Trigger)</f>
        <v>#NUM!</v>
      </c>
      <c r="L40" s="212" t="e">
        <f>_xll.qlRateHelperLatestDate($E40,Trigger)</f>
        <v>#NUM!</v>
      </c>
    </row>
    <row r="41" spans="1:12" x14ac:dyDescent="0.25">
      <c r="A41" s="208" t="b">
        <v>0</v>
      </c>
      <c r="B41" s="220"/>
      <c r="C41" s="208" t="str">
        <f t="shared" si="2"/>
        <v>FUT1Y</v>
      </c>
      <c r="D41" s="209" t="str">
        <v>Z4</v>
      </c>
      <c r="E41" s="209" t="str">
        <f t="shared" si="0"/>
        <v>USD_YC1YRH_FUT1YZ4</v>
      </c>
      <c r="F41" s="223" t="e">
        <f>_xll.qlRateHelperQuoteValue($E41,Trigger)</f>
        <v>#NUM!</v>
      </c>
      <c r="G41" s="210" t="e">
        <f>_xll.qlFuturesRateHelperConvexityAdjustment($E41,Trigger)</f>
        <v>#NUM!</v>
      </c>
      <c r="H41" s="211" t="b">
        <v>0</v>
      </c>
      <c r="I41" s="211">
        <v>60</v>
      </c>
      <c r="J41" s="211">
        <v>1</v>
      </c>
      <c r="K41" s="200" t="e">
        <f>_xll.qlRateHelperEarliestDate($E41,Trigger)</f>
        <v>#NUM!</v>
      </c>
      <c r="L41" s="212" t="e">
        <f>_xll.qlRateHelperLatestDate($E41,Trigger)</f>
        <v>#NUM!</v>
      </c>
    </row>
    <row r="42" spans="1:12" x14ac:dyDescent="0.25">
      <c r="A42" s="208" t="b">
        <v>0</v>
      </c>
      <c r="B42" s="220"/>
      <c r="C42" s="208" t="str">
        <f t="shared" si="2"/>
        <v>FUT1Y</v>
      </c>
      <c r="D42" s="209" t="str">
        <v>F5</v>
      </c>
      <c r="E42" s="209" t="str">
        <f t="shared" si="0"/>
        <v>USD_YC1YRH_FUT1YF5</v>
      </c>
      <c r="F42" s="223" t="e">
        <f>_xll.qlRateHelperQuoteValue($E42,Trigger)</f>
        <v>#NUM!</v>
      </c>
      <c r="G42" s="210" t="e">
        <f>_xll.qlFuturesRateHelperConvexityAdjustment($E42,Trigger)</f>
        <v>#NUM!</v>
      </c>
      <c r="H42" s="211" t="b">
        <v>0</v>
      </c>
      <c r="I42" s="211">
        <v>60</v>
      </c>
      <c r="J42" s="211">
        <v>1</v>
      </c>
      <c r="K42" s="200" t="e">
        <f>_xll.qlRateHelperEarliestDate($E42,Trigger)</f>
        <v>#NUM!</v>
      </c>
      <c r="L42" s="212" t="e">
        <f>_xll.qlRateHelperLatestDate($E42,Trigger)</f>
        <v>#NUM!</v>
      </c>
    </row>
    <row r="43" spans="1:12" x14ac:dyDescent="0.25">
      <c r="A43" s="208" t="b">
        <v>0</v>
      </c>
      <c r="B43" s="220"/>
      <c r="C43" s="208" t="str">
        <f t="shared" si="2"/>
        <v>FUT1Y</v>
      </c>
      <c r="D43" s="209" t="str">
        <v>G5</v>
      </c>
      <c r="E43" s="209" t="str">
        <f t="shared" si="0"/>
        <v>USD_YC1YRH_FUT1YG5</v>
      </c>
      <c r="F43" s="223" t="e">
        <f>_xll.qlRateHelperQuoteValue($E43,Trigger)</f>
        <v>#NUM!</v>
      </c>
      <c r="G43" s="210" t="e">
        <f>_xll.qlFuturesRateHelperConvexityAdjustment($E43,Trigger)</f>
        <v>#NUM!</v>
      </c>
      <c r="H43" s="211" t="b">
        <v>0</v>
      </c>
      <c r="I43" s="211">
        <v>60</v>
      </c>
      <c r="J43" s="211">
        <v>1</v>
      </c>
      <c r="K43" s="200" t="e">
        <f>_xll.qlRateHelperEarliestDate($E43,Trigger)</f>
        <v>#NUM!</v>
      </c>
      <c r="L43" s="212" t="e">
        <f>_xll.qlRateHelperLatestDate($E43,Trigger)</f>
        <v>#NUM!</v>
      </c>
    </row>
    <row r="44" spans="1:12" x14ac:dyDescent="0.25">
      <c r="A44" s="208" t="b">
        <v>0</v>
      </c>
      <c r="B44" s="220"/>
      <c r="C44" s="208" t="str">
        <f t="shared" si="2"/>
        <v>FUT1Y</v>
      </c>
      <c r="D44" s="209" t="str">
        <v>H5</v>
      </c>
      <c r="E44" s="209" t="str">
        <f t="shared" si="0"/>
        <v>USD_YC1YRH_FUT1YH5</v>
      </c>
      <c r="F44" s="223" t="e">
        <f>_xll.qlRateHelperQuoteValue($E44,Trigger)</f>
        <v>#NUM!</v>
      </c>
      <c r="G44" s="210" t="e">
        <f>_xll.qlFuturesRateHelperConvexityAdjustment($E44,Trigger)</f>
        <v>#NUM!</v>
      </c>
      <c r="H44" s="211" t="b">
        <v>0</v>
      </c>
      <c r="I44" s="211">
        <v>60</v>
      </c>
      <c r="J44" s="211">
        <v>1</v>
      </c>
      <c r="K44" s="200" t="e">
        <f>_xll.qlRateHelperEarliestDate($E44,Trigger)</f>
        <v>#NUM!</v>
      </c>
      <c r="L44" s="212" t="e">
        <f>_xll.qlRateHelperLatestDate($E44,Trigger)</f>
        <v>#NUM!</v>
      </c>
    </row>
    <row r="45" spans="1:12" x14ac:dyDescent="0.25">
      <c r="A45" s="208" t="b">
        <v>0</v>
      </c>
      <c r="B45" s="220"/>
      <c r="C45" s="208" t="str">
        <f t="shared" si="2"/>
        <v>FUT1Y</v>
      </c>
      <c r="D45" s="209" t="str">
        <v>J5</v>
      </c>
      <c r="E45" s="209" t="str">
        <f t="shared" si="0"/>
        <v>USD_YC1YRH_FUT1YJ5</v>
      </c>
      <c r="F45" s="223" t="e">
        <f>_xll.qlRateHelperQuoteValue($E45,Trigger)</f>
        <v>#NUM!</v>
      </c>
      <c r="G45" s="210" t="e">
        <f>_xll.qlFuturesRateHelperConvexityAdjustment($E45,Trigger)</f>
        <v>#NUM!</v>
      </c>
      <c r="H45" s="211" t="b">
        <v>0</v>
      </c>
      <c r="I45" s="211">
        <v>60</v>
      </c>
      <c r="J45" s="211">
        <v>1</v>
      </c>
      <c r="K45" s="200" t="e">
        <f>_xll.qlRateHelperEarliestDate($E45,Trigger)</f>
        <v>#NUM!</v>
      </c>
      <c r="L45" s="212" t="e">
        <f>_xll.qlRateHelperLatestDate($E45,Trigger)</f>
        <v>#NUM!</v>
      </c>
    </row>
    <row r="46" spans="1:12" x14ac:dyDescent="0.25">
      <c r="A46" s="208" t="b">
        <v>1</v>
      </c>
      <c r="B46" s="220"/>
      <c r="C46" s="208" t="str">
        <f t="shared" si="2"/>
        <v>FUT1Y</v>
      </c>
      <c r="D46" s="209" t="str">
        <v>M5</v>
      </c>
      <c r="E46" s="209" t="str">
        <f t="shared" si="0"/>
        <v>USD_YC1YRH_FUT1YM5</v>
      </c>
      <c r="F46" s="223" t="e">
        <f>_xll.qlRateHelperQuoteValue($E46,Trigger)</f>
        <v>#NUM!</v>
      </c>
      <c r="G46" s="210" t="e">
        <f>_xll.qlFuturesRateHelperConvexityAdjustment($E46,Trigger)</f>
        <v>#NUM!</v>
      </c>
      <c r="H46" s="211" t="b">
        <v>0</v>
      </c>
      <c r="I46" s="211">
        <v>60</v>
      </c>
      <c r="J46" s="211">
        <v>1</v>
      </c>
      <c r="K46" s="200" t="e">
        <f>_xll.qlRateHelperEarliestDate($E46,Trigger)</f>
        <v>#NUM!</v>
      </c>
      <c r="L46" s="212" t="e">
        <f>_xll.qlRateHelperLatestDate($E46,Trigger)</f>
        <v>#NUM!</v>
      </c>
    </row>
    <row r="47" spans="1:12" x14ac:dyDescent="0.25">
      <c r="A47" s="208" t="b">
        <v>1</v>
      </c>
      <c r="B47" s="220"/>
      <c r="C47" s="208" t="str">
        <f t="shared" si="2"/>
        <v>FUT1Y</v>
      </c>
      <c r="D47" s="209" t="str">
        <v>U5</v>
      </c>
      <c r="E47" s="209" t="str">
        <f t="shared" si="0"/>
        <v>USD_YC1YRH_FUT1YU5</v>
      </c>
      <c r="F47" s="223" t="e">
        <f>_xll.qlRateHelperQuoteValue($E47,Trigger)</f>
        <v>#NUM!</v>
      </c>
      <c r="G47" s="210" t="e">
        <f>_xll.qlFuturesRateHelperConvexityAdjustment($E47,Trigger)</f>
        <v>#NUM!</v>
      </c>
      <c r="H47" s="211" t="b">
        <v>0</v>
      </c>
      <c r="I47" s="211">
        <v>60</v>
      </c>
      <c r="J47" s="211">
        <v>1</v>
      </c>
      <c r="K47" s="200" t="e">
        <f>_xll.qlRateHelperEarliestDate($E47,Trigger)</f>
        <v>#NUM!</v>
      </c>
      <c r="L47" s="212" t="e">
        <f>_xll.qlRateHelperLatestDate($E47,Trigger)</f>
        <v>#NUM!</v>
      </c>
    </row>
    <row r="48" spans="1:12" x14ac:dyDescent="0.25">
      <c r="A48" s="208" t="b">
        <v>1</v>
      </c>
      <c r="B48" s="220"/>
      <c r="C48" s="208" t="str">
        <f t="shared" si="2"/>
        <v>FUT1Y</v>
      </c>
      <c r="D48" s="209" t="str">
        <v>Z5</v>
      </c>
      <c r="E48" s="209" t="str">
        <f t="shared" si="0"/>
        <v>USD_YC1YRH_FUT1YZ5</v>
      </c>
      <c r="F48" s="223" t="e">
        <f>_xll.qlRateHelperQuoteValue($E48,Trigger)</f>
        <v>#NUM!</v>
      </c>
      <c r="G48" s="210" t="e">
        <f>_xll.qlFuturesRateHelperConvexityAdjustment($E48,Trigger)</f>
        <v>#NUM!</v>
      </c>
      <c r="H48" s="211" t="b">
        <v>0</v>
      </c>
      <c r="I48" s="211">
        <v>60</v>
      </c>
      <c r="J48" s="211">
        <v>1</v>
      </c>
      <c r="K48" s="200" t="e">
        <f>_xll.qlRateHelperEarliestDate($E48,Trigger)</f>
        <v>#NUM!</v>
      </c>
      <c r="L48" s="212" t="e">
        <f>_xll.qlRateHelperLatestDate($E48,Trigger)</f>
        <v>#NUM!</v>
      </c>
    </row>
    <row r="49" spans="1:12" x14ac:dyDescent="0.25">
      <c r="A49" s="208" t="b">
        <v>1</v>
      </c>
      <c r="B49" s="220"/>
      <c r="C49" s="208" t="str">
        <f t="shared" si="2"/>
        <v>FUT1Y</v>
      </c>
      <c r="D49" s="209" t="str">
        <v>H6</v>
      </c>
      <c r="E49" s="209" t="str">
        <f t="shared" si="0"/>
        <v>USD_YC1YRH_FUT1YH6</v>
      </c>
      <c r="F49" s="223" t="e">
        <f>_xll.qlRateHelperQuoteValue($E49,Trigger)</f>
        <v>#NUM!</v>
      </c>
      <c r="G49" s="210" t="e">
        <f>_xll.qlFuturesRateHelperConvexityAdjustment($E49,Trigger)</f>
        <v>#NUM!</v>
      </c>
      <c r="H49" s="211" t="b">
        <v>0</v>
      </c>
      <c r="I49" s="211">
        <v>60</v>
      </c>
      <c r="J49" s="211">
        <v>1</v>
      </c>
      <c r="K49" s="200" t="e">
        <f>_xll.qlRateHelperEarliestDate($E49,Trigger)</f>
        <v>#NUM!</v>
      </c>
      <c r="L49" s="212" t="e">
        <f>_xll.qlRateHelperLatestDate($E49,Trigger)</f>
        <v>#NUM!</v>
      </c>
    </row>
    <row r="50" spans="1:12" x14ac:dyDescent="0.25">
      <c r="A50" s="208" t="b">
        <v>1</v>
      </c>
      <c r="B50" s="220"/>
      <c r="C50" s="208" t="str">
        <f t="shared" si="2"/>
        <v>FUT1Y</v>
      </c>
      <c r="D50" s="209" t="str">
        <v>M6</v>
      </c>
      <c r="E50" s="209" t="str">
        <f t="shared" si="0"/>
        <v>USD_YC1YRH_FUT1YM6</v>
      </c>
      <c r="F50" s="223" t="e">
        <f>_xll.qlRateHelperQuoteValue($E50,Trigger)</f>
        <v>#NUM!</v>
      </c>
      <c r="G50" s="210" t="e">
        <f>_xll.qlFuturesRateHelperConvexityAdjustment($E50,Trigger)</f>
        <v>#NUM!</v>
      </c>
      <c r="H50" s="211" t="b">
        <v>0</v>
      </c>
      <c r="I50" s="211">
        <v>60</v>
      </c>
      <c r="J50" s="211">
        <v>1</v>
      </c>
      <c r="K50" s="200" t="e">
        <f>_xll.qlRateHelperEarliestDate($E50,Trigger)</f>
        <v>#NUM!</v>
      </c>
      <c r="L50" s="212" t="e">
        <f>_xll.qlRateHelperLatestDate($E50,Trigger)</f>
        <v>#NUM!</v>
      </c>
    </row>
    <row r="51" spans="1:12" x14ac:dyDescent="0.25">
      <c r="A51" s="208" t="b">
        <v>1</v>
      </c>
      <c r="B51" s="220"/>
      <c r="C51" s="208" t="str">
        <f t="shared" si="2"/>
        <v>FUT1Y</v>
      </c>
      <c r="D51" s="209" t="str">
        <v>U6</v>
      </c>
      <c r="E51" s="209" t="str">
        <f t="shared" si="0"/>
        <v>USD_YC1YRH_FUT1YU6</v>
      </c>
      <c r="F51" s="223" t="e">
        <f>_xll.qlRateHelperQuoteValue($E51,Trigger)</f>
        <v>#NUM!</v>
      </c>
      <c r="G51" s="210" t="e">
        <f>_xll.qlFuturesRateHelperConvexityAdjustment($E51,Trigger)</f>
        <v>#NUM!</v>
      </c>
      <c r="H51" s="211" t="b">
        <v>0</v>
      </c>
      <c r="I51" s="211">
        <v>30</v>
      </c>
      <c r="J51" s="211">
        <v>1</v>
      </c>
      <c r="K51" s="200" t="e">
        <f>_xll.qlRateHelperEarliestDate($E51,Trigger)</f>
        <v>#NUM!</v>
      </c>
      <c r="L51" s="212" t="e">
        <f>_xll.qlRateHelperLatestDate($E51,Trigger)</f>
        <v>#NUM!</v>
      </c>
    </row>
    <row r="52" spans="1:12" x14ac:dyDescent="0.25">
      <c r="A52" s="208" t="b">
        <v>1</v>
      </c>
      <c r="B52" s="220"/>
      <c r="C52" s="208" t="str">
        <f t="shared" si="2"/>
        <v>FUT1Y</v>
      </c>
      <c r="D52" s="209" t="str">
        <v>Z6</v>
      </c>
      <c r="E52" s="209" t="str">
        <f t="shared" si="0"/>
        <v>USD_YC1YRH_FUT1YZ6</v>
      </c>
      <c r="F52" s="223" t="e">
        <f>_xll.qlRateHelperQuoteValue($E52,Trigger)</f>
        <v>#NUM!</v>
      </c>
      <c r="G52" s="210" t="e">
        <f>_xll.qlFuturesRateHelperConvexityAdjustment($E52,Trigger)</f>
        <v>#NUM!</v>
      </c>
      <c r="H52" s="211" t="b">
        <v>0</v>
      </c>
      <c r="I52" s="211">
        <v>30</v>
      </c>
      <c r="J52" s="211">
        <v>1</v>
      </c>
      <c r="K52" s="200" t="e">
        <f>_xll.qlRateHelperEarliestDate($E52,Trigger)</f>
        <v>#NUM!</v>
      </c>
      <c r="L52" s="212" t="e">
        <f>_xll.qlRateHelperLatestDate($E52,Trigger)</f>
        <v>#NUM!</v>
      </c>
    </row>
    <row r="53" spans="1:12" x14ac:dyDescent="0.25">
      <c r="A53" s="208" t="b">
        <v>1</v>
      </c>
      <c r="B53" s="220"/>
      <c r="C53" s="208" t="str">
        <f t="shared" si="2"/>
        <v>FUT1Y</v>
      </c>
      <c r="D53" s="209" t="str">
        <v>H7</v>
      </c>
      <c r="E53" s="209" t="str">
        <f t="shared" si="0"/>
        <v>USD_YC1YRH_FUT1YH7</v>
      </c>
      <c r="F53" s="223" t="e">
        <f>_xll.qlRateHelperQuoteValue($E53,Trigger)</f>
        <v>#NUM!</v>
      </c>
      <c r="G53" s="210" t="e">
        <f>_xll.qlFuturesRateHelperConvexityAdjustment($E53,Trigger)</f>
        <v>#NUM!</v>
      </c>
      <c r="H53" s="211" t="b">
        <v>0</v>
      </c>
      <c r="I53" s="211">
        <v>30</v>
      </c>
      <c r="J53" s="211">
        <v>1</v>
      </c>
      <c r="K53" s="200" t="e">
        <f>_xll.qlRateHelperEarliestDate($E53,Trigger)</f>
        <v>#NUM!</v>
      </c>
      <c r="L53" s="212" t="e">
        <f>_xll.qlRateHelperLatestDate($E53,Trigger)</f>
        <v>#NUM!</v>
      </c>
    </row>
    <row r="54" spans="1:12" x14ac:dyDescent="0.25">
      <c r="A54" s="208" t="b">
        <v>1</v>
      </c>
      <c r="B54" s="220"/>
      <c r="C54" s="208" t="str">
        <f t="shared" si="2"/>
        <v>FUT1Y</v>
      </c>
      <c r="D54" s="209" t="str">
        <v>M7</v>
      </c>
      <c r="E54" s="209" t="str">
        <f t="shared" si="0"/>
        <v>USD_YC1YRH_FUT1YM7</v>
      </c>
      <c r="F54" s="223" t="e">
        <f>_xll.qlRateHelperQuoteValue($E54,Trigger)</f>
        <v>#NUM!</v>
      </c>
      <c r="G54" s="210" t="e">
        <f>_xll.qlFuturesRateHelperConvexityAdjustment($E54,Trigger)</f>
        <v>#NUM!</v>
      </c>
      <c r="H54" s="211" t="b">
        <v>0</v>
      </c>
      <c r="I54" s="211">
        <v>30</v>
      </c>
      <c r="J54" s="211">
        <v>1</v>
      </c>
      <c r="K54" s="200" t="e">
        <f>_xll.qlRateHelperEarliestDate($E54,Trigger)</f>
        <v>#NUM!</v>
      </c>
      <c r="L54" s="212" t="e">
        <f>_xll.qlRateHelperLatestDate($E54,Trigger)</f>
        <v>#NUM!</v>
      </c>
    </row>
    <row r="55" spans="1:12" x14ac:dyDescent="0.25">
      <c r="A55" s="208" t="b">
        <v>1</v>
      </c>
      <c r="B55" s="220"/>
      <c r="C55" s="208" t="str">
        <f t="shared" si="2"/>
        <v>FUT1Y</v>
      </c>
      <c r="D55" s="209" t="str">
        <v>U7</v>
      </c>
      <c r="E55" s="209" t="str">
        <f t="shared" si="0"/>
        <v>USD_YC1YRH_FUT1YU7</v>
      </c>
      <c r="F55" s="223" t="e">
        <f>_xll.qlRateHelperQuoteValue($E55,Trigger)</f>
        <v>#NUM!</v>
      </c>
      <c r="G55" s="210" t="e">
        <f>_xll.qlFuturesRateHelperConvexityAdjustment($E55,Trigger)</f>
        <v>#NUM!</v>
      </c>
      <c r="H55" s="211" t="b">
        <v>0</v>
      </c>
      <c r="I55" s="211">
        <v>30</v>
      </c>
      <c r="J55" s="211">
        <v>1</v>
      </c>
      <c r="K55" s="200" t="e">
        <f>_xll.qlRateHelperEarliestDate($E55,Trigger)</f>
        <v>#NUM!</v>
      </c>
      <c r="L55" s="212" t="e">
        <f>_xll.qlRateHelperLatestDate($E55,Trigger)</f>
        <v>#NUM!</v>
      </c>
    </row>
    <row r="56" spans="1:12" x14ac:dyDescent="0.25">
      <c r="A56" s="208" t="b">
        <v>1</v>
      </c>
      <c r="B56" s="220"/>
      <c r="C56" s="208" t="str">
        <f t="shared" si="2"/>
        <v>FUT1Y</v>
      </c>
      <c r="D56" s="209" t="str">
        <v>Z7</v>
      </c>
      <c r="E56" s="209" t="str">
        <f t="shared" si="0"/>
        <v>USD_YC1YRH_FUT1YZ7</v>
      </c>
      <c r="F56" s="223" t="e">
        <f>_xll.qlRateHelperQuoteValue($E56,Trigger)</f>
        <v>#NUM!</v>
      </c>
      <c r="G56" s="210" t="e">
        <f>_xll.qlFuturesRateHelperConvexityAdjustment($E56,Trigger)</f>
        <v>#NUM!</v>
      </c>
      <c r="H56" s="211" t="b">
        <v>0</v>
      </c>
      <c r="I56" s="211">
        <v>30</v>
      </c>
      <c r="J56" s="211">
        <v>1</v>
      </c>
      <c r="K56" s="200" t="e">
        <f>_xll.qlRateHelperEarliestDate($E56,Trigger)</f>
        <v>#NUM!</v>
      </c>
      <c r="L56" s="212" t="e">
        <f>_xll.qlRateHelperLatestDate($E56,Trigger)</f>
        <v>#NUM!</v>
      </c>
    </row>
    <row r="57" spans="1:12" x14ac:dyDescent="0.25">
      <c r="A57" s="208" t="b">
        <v>1</v>
      </c>
      <c r="B57" s="220"/>
      <c r="C57" s="208" t="str">
        <f t="shared" si="2"/>
        <v>FUT1Y</v>
      </c>
      <c r="D57" s="209" t="str">
        <v>H8</v>
      </c>
      <c r="E57" s="209" t="str">
        <f t="shared" si="0"/>
        <v>USD_YC1YRH_FUT1YH8</v>
      </c>
      <c r="F57" s="223" t="e">
        <f>_xll.qlRateHelperQuoteValue($E57,Trigger)</f>
        <v>#NUM!</v>
      </c>
      <c r="G57" s="210" t="e">
        <f>_xll.qlFuturesRateHelperConvexityAdjustment($E57,Trigger)</f>
        <v>#NUM!</v>
      </c>
      <c r="H57" s="211" t="b">
        <v>0</v>
      </c>
      <c r="I57" s="211">
        <v>30</v>
      </c>
      <c r="J57" s="211">
        <v>1</v>
      </c>
      <c r="K57" s="200" t="e">
        <f>_xll.qlRateHelperEarliestDate($E57,Trigger)</f>
        <v>#NUM!</v>
      </c>
      <c r="L57" s="212" t="e">
        <f>_xll.qlRateHelperLatestDate($E57,Trigger)</f>
        <v>#NUM!</v>
      </c>
    </row>
    <row r="58" spans="1:12" x14ac:dyDescent="0.25">
      <c r="A58" s="208" t="b">
        <v>1</v>
      </c>
      <c r="B58" s="220"/>
      <c r="C58" s="208" t="str">
        <f t="shared" si="2"/>
        <v>FUT1Y</v>
      </c>
      <c r="D58" s="209" t="str">
        <v>M8</v>
      </c>
      <c r="E58" s="209" t="str">
        <f t="shared" si="0"/>
        <v>USD_YC1YRH_FUT1YM8</v>
      </c>
      <c r="F58" s="223" t="e">
        <f>_xll.qlRateHelperQuoteValue($E58,Trigger)</f>
        <v>#NUM!</v>
      </c>
      <c r="G58" s="210" t="e">
        <f>_xll.qlFuturesRateHelperConvexityAdjustment($E58,Trigger)</f>
        <v>#NUM!</v>
      </c>
      <c r="H58" s="211" t="b">
        <v>0</v>
      </c>
      <c r="I58" s="211">
        <v>30</v>
      </c>
      <c r="J58" s="211">
        <v>1</v>
      </c>
      <c r="K58" s="200" t="e">
        <f>_xll.qlRateHelperEarliestDate($E58,Trigger)</f>
        <v>#NUM!</v>
      </c>
      <c r="L58" s="212" t="e">
        <f>_xll.qlRateHelperLatestDate($E58,Trigger)</f>
        <v>#NUM!</v>
      </c>
    </row>
    <row r="59" spans="1:12" x14ac:dyDescent="0.25">
      <c r="A59" s="208" t="b">
        <v>1</v>
      </c>
      <c r="B59" s="220"/>
      <c r="C59" s="208" t="str">
        <f t="shared" si="2"/>
        <v>FUT1Y</v>
      </c>
      <c r="D59" s="209" t="str">
        <v>U8</v>
      </c>
      <c r="E59" s="209" t="str">
        <f t="shared" si="0"/>
        <v>USD_YC1YRH_FUT1YU8</v>
      </c>
      <c r="F59" s="223" t="e">
        <f>_xll.qlRateHelperQuoteValue($E59,Trigger)</f>
        <v>#NUM!</v>
      </c>
      <c r="G59" s="210" t="e">
        <f>_xll.qlFuturesRateHelperConvexityAdjustment($E59,Trigger)</f>
        <v>#NUM!</v>
      </c>
      <c r="H59" s="211" t="b">
        <v>0</v>
      </c>
      <c r="I59" s="211">
        <v>30</v>
      </c>
      <c r="J59" s="211">
        <v>1</v>
      </c>
      <c r="K59" s="200" t="e">
        <f>_xll.qlRateHelperEarliestDate($E59,Trigger)</f>
        <v>#NUM!</v>
      </c>
      <c r="L59" s="212" t="e">
        <f>_xll.qlRateHelperLatestDate($E59,Trigger)</f>
        <v>#NUM!</v>
      </c>
    </row>
    <row r="60" spans="1:12" x14ac:dyDescent="0.25">
      <c r="A60" s="208" t="b">
        <v>1</v>
      </c>
      <c r="B60" s="220"/>
      <c r="C60" s="208" t="str">
        <f t="shared" si="2"/>
        <v>FUT1Y</v>
      </c>
      <c r="D60" s="209" t="str">
        <v>Z8</v>
      </c>
      <c r="E60" s="209" t="str">
        <f t="shared" si="0"/>
        <v>USD_YC1YRH_FUT1YZ8</v>
      </c>
      <c r="F60" s="223" t="e">
        <f>_xll.qlRateHelperQuoteValue($E60,Trigger)</f>
        <v>#NUM!</v>
      </c>
      <c r="G60" s="210" t="e">
        <f>_xll.qlFuturesRateHelperConvexityAdjustment($E60,Trigger)</f>
        <v>#NUM!</v>
      </c>
      <c r="H60" s="211" t="b">
        <v>0</v>
      </c>
      <c r="I60" s="211">
        <v>30</v>
      </c>
      <c r="J60" s="211">
        <v>1</v>
      </c>
      <c r="K60" s="200" t="e">
        <f>_xll.qlRateHelperEarliestDate($E60,Trigger)</f>
        <v>#NUM!</v>
      </c>
      <c r="L60" s="212" t="e">
        <f>_xll.qlRateHelperLatestDate($E60,Trigger)</f>
        <v>#NUM!</v>
      </c>
    </row>
    <row r="61" spans="1:12" x14ac:dyDescent="0.25">
      <c r="A61" s="208" t="b">
        <v>1</v>
      </c>
      <c r="B61" s="220"/>
      <c r="C61" s="208" t="str">
        <f t="shared" si="2"/>
        <v>FUT1Y</v>
      </c>
      <c r="D61" s="209" t="str">
        <v>H9</v>
      </c>
      <c r="E61" s="209" t="str">
        <f t="shared" si="0"/>
        <v>USD_YC1YRH_FUT1YH9</v>
      </c>
      <c r="F61" s="223" t="e">
        <f>_xll.qlRateHelperQuoteValue($E61,Trigger)</f>
        <v>#NUM!</v>
      </c>
      <c r="G61" s="210" t="e">
        <f>_xll.qlFuturesRateHelperConvexityAdjustment($E61,Trigger)</f>
        <v>#NUM!</v>
      </c>
      <c r="H61" s="211" t="b">
        <v>0</v>
      </c>
      <c r="I61" s="211">
        <v>30</v>
      </c>
      <c r="J61" s="211">
        <v>1</v>
      </c>
      <c r="K61" s="200" t="e">
        <f>_xll.qlRateHelperEarliestDate($E61,Trigger)</f>
        <v>#NUM!</v>
      </c>
      <c r="L61" s="212" t="e">
        <f>_xll.qlRateHelperLatestDate($E61,Trigger)</f>
        <v>#NUM!</v>
      </c>
    </row>
    <row r="62" spans="1:12" x14ac:dyDescent="0.25">
      <c r="A62" s="208" t="b">
        <v>1</v>
      </c>
      <c r="B62" s="220"/>
      <c r="C62" s="208" t="str">
        <f t="shared" si="2"/>
        <v>FUT1Y</v>
      </c>
      <c r="D62" s="209" t="str">
        <v>M9</v>
      </c>
      <c r="E62" s="209" t="str">
        <f t="shared" si="0"/>
        <v>USD_YC1YRH_FUT1YM9</v>
      </c>
      <c r="F62" s="223" t="e">
        <f>_xll.qlRateHelperQuoteValue($E62,Trigger)</f>
        <v>#NUM!</v>
      </c>
      <c r="G62" s="210" t="e">
        <f>_xll.qlFuturesRateHelperConvexityAdjustment($E62,Trigger)</f>
        <v>#NUM!</v>
      </c>
      <c r="H62" s="211" t="b">
        <v>0</v>
      </c>
      <c r="I62" s="211">
        <v>30</v>
      </c>
      <c r="J62" s="211">
        <v>1</v>
      </c>
      <c r="K62" s="200" t="e">
        <f>_xll.qlRateHelperEarliestDate($E62,Trigger)</f>
        <v>#NUM!</v>
      </c>
      <c r="L62" s="212" t="e">
        <f>_xll.qlRateHelperLatestDate($E62,Trigger)</f>
        <v>#NUM!</v>
      </c>
    </row>
    <row r="63" spans="1:12" x14ac:dyDescent="0.25">
      <c r="A63" s="208" t="b">
        <v>1</v>
      </c>
      <c r="B63" s="220"/>
      <c r="C63" s="208" t="str">
        <f t="shared" si="2"/>
        <v>FUT1Y</v>
      </c>
      <c r="D63" s="209" t="str">
        <v>U9</v>
      </c>
      <c r="E63" s="209" t="str">
        <f t="shared" si="0"/>
        <v>USD_YC1YRH_FUT1YU9</v>
      </c>
      <c r="F63" s="223" t="e">
        <f>_xll.qlRateHelperQuoteValue($E63,Trigger)</f>
        <v>#NUM!</v>
      </c>
      <c r="G63" s="210" t="e">
        <f>_xll.qlFuturesRateHelperConvexityAdjustment($E63,Trigger)</f>
        <v>#NUM!</v>
      </c>
      <c r="H63" s="211" t="b">
        <v>0</v>
      </c>
      <c r="I63" s="211">
        <v>30</v>
      </c>
      <c r="J63" s="211">
        <v>1</v>
      </c>
      <c r="K63" s="200" t="e">
        <f>_xll.qlRateHelperEarliestDate($E63,Trigger)</f>
        <v>#NUM!</v>
      </c>
      <c r="L63" s="212" t="e">
        <f>_xll.qlRateHelperLatestDate($E63,Trigger)</f>
        <v>#NUM!</v>
      </c>
    </row>
    <row r="64" spans="1:12" x14ac:dyDescent="0.25">
      <c r="A64" s="208" t="b">
        <v>1</v>
      </c>
      <c r="B64" s="220"/>
      <c r="C64" s="208" t="str">
        <f t="shared" si="2"/>
        <v>FUT1Y</v>
      </c>
      <c r="D64" s="209" t="str">
        <v>Z9</v>
      </c>
      <c r="E64" s="209" t="str">
        <f t="shared" si="0"/>
        <v>USD_YC1YRH_FUT1YZ9</v>
      </c>
      <c r="F64" s="223" t="e">
        <f>_xll.qlRateHelperQuoteValue($E64,Trigger)</f>
        <v>#NUM!</v>
      </c>
      <c r="G64" s="210" t="e">
        <f>_xll.qlFuturesRateHelperConvexityAdjustment($E64,Trigger)</f>
        <v>#NUM!</v>
      </c>
      <c r="H64" s="211" t="b">
        <v>0</v>
      </c>
      <c r="I64" s="211">
        <v>30</v>
      </c>
      <c r="J64" s="211">
        <v>1</v>
      </c>
      <c r="K64" s="200" t="e">
        <f>_xll.qlRateHelperEarliestDate($E64,Trigger)</f>
        <v>#NUM!</v>
      </c>
      <c r="L64" s="212" t="e">
        <f>_xll.qlRateHelperLatestDate($E64,Trigger)</f>
        <v>#NUM!</v>
      </c>
    </row>
    <row r="65" spans="1:13" x14ac:dyDescent="0.25">
      <c r="A65" s="208" t="b">
        <v>1</v>
      </c>
      <c r="B65" s="220"/>
      <c r="C65" s="208" t="str">
        <f t="shared" si="2"/>
        <v>FUT1Y</v>
      </c>
      <c r="D65" s="209" t="str">
        <v>H0</v>
      </c>
      <c r="E65" s="209" t="str">
        <f t="shared" si="0"/>
        <v>USD_YC1YRH_FUT1YH0</v>
      </c>
      <c r="F65" s="223" t="e">
        <f>_xll.qlRateHelperQuoteValue($E65,Trigger)</f>
        <v>#NUM!</v>
      </c>
      <c r="G65" s="210" t="e">
        <f>_xll.qlFuturesRateHelperConvexityAdjustment($E65,Trigger)</f>
        <v>#NUM!</v>
      </c>
      <c r="H65" s="211" t="b">
        <v>0</v>
      </c>
      <c r="I65" s="211">
        <v>30</v>
      </c>
      <c r="J65" s="211">
        <v>1</v>
      </c>
      <c r="K65" s="200" t="e">
        <f>_xll.qlRateHelperEarliestDate($E65,Trigger)</f>
        <v>#NUM!</v>
      </c>
      <c r="L65" s="212" t="e">
        <f>_xll.qlRateHelperLatestDate($E65,Trigger)</f>
        <v>#NUM!</v>
      </c>
    </row>
    <row r="66" spans="1:13" x14ac:dyDescent="0.25">
      <c r="A66" s="208" t="b">
        <v>1</v>
      </c>
      <c r="B66" s="220"/>
      <c r="C66" s="208" t="str">
        <f t="shared" si="2"/>
        <v>FUT1Y</v>
      </c>
      <c r="D66" s="209" t="str">
        <v>M0</v>
      </c>
      <c r="E66" s="209" t="str">
        <f t="shared" ref="E66:E75" si="3">RateHelperPrefix&amp;"_"&amp;$B66&amp;$C66&amp;$D66</f>
        <v>USD_YC1YRH_FUT1YM0</v>
      </c>
      <c r="F66" s="223" t="e">
        <f>_xll.qlRateHelperQuoteValue($E66,Trigger)</f>
        <v>#NUM!</v>
      </c>
      <c r="G66" s="210" t="e">
        <f>_xll.qlFuturesRateHelperConvexityAdjustment($E66,Trigger)</f>
        <v>#NUM!</v>
      </c>
      <c r="H66" s="211" t="b">
        <v>0</v>
      </c>
      <c r="I66" s="211">
        <v>30</v>
      </c>
      <c r="J66" s="211">
        <v>1</v>
      </c>
      <c r="K66" s="200" t="e">
        <f>_xll.qlRateHelperEarliestDate($E66,Trigger)</f>
        <v>#NUM!</v>
      </c>
      <c r="L66" s="212" t="e">
        <f>_xll.qlRateHelperLatestDate($E66,Trigger)</f>
        <v>#NUM!</v>
      </c>
    </row>
    <row r="67" spans="1:13" x14ac:dyDescent="0.25">
      <c r="A67" s="208" t="b">
        <v>1</v>
      </c>
      <c r="B67" s="220"/>
      <c r="C67" s="208" t="str">
        <f t="shared" si="2"/>
        <v>FUT1Y</v>
      </c>
      <c r="D67" s="209" t="str">
        <v>U0</v>
      </c>
      <c r="E67" s="209" t="str">
        <f t="shared" si="3"/>
        <v>USD_YC1YRH_FUT1YU0</v>
      </c>
      <c r="F67" s="223" t="e">
        <f>_xll.qlRateHelperQuoteValue($E67,Trigger)</f>
        <v>#NUM!</v>
      </c>
      <c r="G67" s="210" t="e">
        <f>_xll.qlFuturesRateHelperConvexityAdjustment($E67,Trigger)</f>
        <v>#NUM!</v>
      </c>
      <c r="H67" s="211" t="b">
        <v>0</v>
      </c>
      <c r="I67" s="211">
        <v>30</v>
      </c>
      <c r="J67" s="211">
        <v>1</v>
      </c>
      <c r="K67" s="200" t="e">
        <f>_xll.qlRateHelperEarliestDate($E67,Trigger)</f>
        <v>#NUM!</v>
      </c>
      <c r="L67" s="212" t="e">
        <f>_xll.qlRateHelperLatestDate($E67,Trigger)</f>
        <v>#NUM!</v>
      </c>
    </row>
    <row r="68" spans="1:13" x14ac:dyDescent="0.25">
      <c r="A68" s="208" t="b">
        <v>1</v>
      </c>
      <c r="B68" s="220"/>
      <c r="C68" s="208" t="str">
        <f t="shared" si="2"/>
        <v>FUT1Y</v>
      </c>
      <c r="D68" s="209" t="str">
        <v>Z0</v>
      </c>
      <c r="E68" s="209" t="str">
        <f t="shared" si="3"/>
        <v>USD_YC1YRH_FUT1YZ0</v>
      </c>
      <c r="F68" s="223" t="e">
        <f>_xll.qlRateHelperQuoteValue($E68,Trigger)</f>
        <v>#NUM!</v>
      </c>
      <c r="G68" s="210" t="e">
        <f>_xll.qlFuturesRateHelperConvexityAdjustment($E68,Trigger)</f>
        <v>#NUM!</v>
      </c>
      <c r="H68" s="211" t="b">
        <v>0</v>
      </c>
      <c r="I68" s="211">
        <v>30</v>
      </c>
      <c r="J68" s="211">
        <v>1</v>
      </c>
      <c r="K68" s="200" t="e">
        <f>_xll.qlRateHelperEarliestDate($E68,Trigger)</f>
        <v>#NUM!</v>
      </c>
      <c r="L68" s="212" t="e">
        <f>_xll.qlRateHelperLatestDate($E68,Trigger)</f>
        <v>#NUM!</v>
      </c>
    </row>
    <row r="69" spans="1:13" x14ac:dyDescent="0.25">
      <c r="A69" s="208" t="b">
        <v>1</v>
      </c>
      <c r="B69" s="220"/>
      <c r="C69" s="208" t="str">
        <f t="shared" si="2"/>
        <v>FUT1Y</v>
      </c>
      <c r="D69" s="209" t="str">
        <v>H1</v>
      </c>
      <c r="E69" s="209" t="str">
        <f t="shared" si="3"/>
        <v>USD_YC1YRH_FUT1YH1</v>
      </c>
      <c r="F69" s="223" t="e">
        <f>_xll.qlRateHelperQuoteValue($E69,Trigger)</f>
        <v>#NUM!</v>
      </c>
      <c r="G69" s="210" t="e">
        <f>_xll.qlFuturesRateHelperConvexityAdjustment($E69,Trigger)</f>
        <v>#NUM!</v>
      </c>
      <c r="H69" s="211" t="b">
        <v>0</v>
      </c>
      <c r="I69" s="211">
        <v>30</v>
      </c>
      <c r="J69" s="211">
        <v>1</v>
      </c>
      <c r="K69" s="200" t="e">
        <f>_xll.qlRateHelperEarliestDate($E69,Trigger)</f>
        <v>#NUM!</v>
      </c>
      <c r="L69" s="212" t="e">
        <f>_xll.qlRateHelperLatestDate($E69,Trigger)</f>
        <v>#NUM!</v>
      </c>
    </row>
    <row r="70" spans="1:13" x14ac:dyDescent="0.25">
      <c r="A70" s="208" t="b">
        <v>1</v>
      </c>
      <c r="B70" s="220"/>
      <c r="C70" s="208" t="str">
        <f t="shared" si="2"/>
        <v>FUT1Y</v>
      </c>
      <c r="D70" s="209" t="str">
        <v>M1</v>
      </c>
      <c r="E70" s="209" t="str">
        <f t="shared" si="3"/>
        <v>USD_YC1YRH_FUT1YM1</v>
      </c>
      <c r="F70" s="223" t="e">
        <f>_xll.qlRateHelperQuoteValue($E70,Trigger)</f>
        <v>#NUM!</v>
      </c>
      <c r="G70" s="210" t="e">
        <f>_xll.qlFuturesRateHelperConvexityAdjustment($E70,Trigger)</f>
        <v>#NUM!</v>
      </c>
      <c r="H70" s="211" t="b">
        <v>0</v>
      </c>
      <c r="I70" s="211">
        <v>30</v>
      </c>
      <c r="J70" s="211">
        <v>1</v>
      </c>
      <c r="K70" s="200" t="e">
        <f>_xll.qlRateHelperEarliestDate($E70,Trigger)</f>
        <v>#NUM!</v>
      </c>
      <c r="L70" s="212" t="e">
        <f>_xll.qlRateHelperLatestDate($E70,Trigger)</f>
        <v>#NUM!</v>
      </c>
    </row>
    <row r="71" spans="1:13" x14ac:dyDescent="0.25">
      <c r="A71" s="208" t="b">
        <v>1</v>
      </c>
      <c r="B71" s="220"/>
      <c r="C71" s="208" t="str">
        <f t="shared" si="2"/>
        <v>FUT1Y</v>
      </c>
      <c r="D71" s="209" t="str">
        <v>U1</v>
      </c>
      <c r="E71" s="209" t="str">
        <f t="shared" si="3"/>
        <v>USD_YC1YRH_FUT1YU1</v>
      </c>
      <c r="F71" s="223" t="e">
        <f>_xll.qlRateHelperQuoteValue($E71,Trigger)</f>
        <v>#NUM!</v>
      </c>
      <c r="G71" s="210" t="e">
        <f>_xll.qlFuturesRateHelperConvexityAdjustment($E71,Trigger)</f>
        <v>#NUM!</v>
      </c>
      <c r="H71" s="211" t="b">
        <v>0</v>
      </c>
      <c r="I71" s="211">
        <v>30</v>
      </c>
      <c r="J71" s="211">
        <v>1</v>
      </c>
      <c r="K71" s="200" t="e">
        <f>_xll.qlRateHelperEarliestDate($E71,Trigger)</f>
        <v>#NUM!</v>
      </c>
      <c r="L71" s="212" t="e">
        <f>_xll.qlRateHelperLatestDate($E71,Trigger)</f>
        <v>#NUM!</v>
      </c>
    </row>
    <row r="72" spans="1:13" x14ac:dyDescent="0.25">
      <c r="A72" s="208" t="b">
        <v>1</v>
      </c>
      <c r="B72" s="220"/>
      <c r="C72" s="208" t="str">
        <f t="shared" si="2"/>
        <v>FUT1Y</v>
      </c>
      <c r="D72" s="209" t="str">
        <v>Z1</v>
      </c>
      <c r="E72" s="209" t="str">
        <f t="shared" si="3"/>
        <v>USD_YC1YRH_FUT1YZ1</v>
      </c>
      <c r="F72" s="223" t="e">
        <f>_xll.qlRateHelperQuoteValue($E72,Trigger)</f>
        <v>#NUM!</v>
      </c>
      <c r="G72" s="210" t="e">
        <f>_xll.qlFuturesRateHelperConvexityAdjustment($E72,Trigger)</f>
        <v>#NUM!</v>
      </c>
      <c r="H72" s="211" t="b">
        <v>0</v>
      </c>
      <c r="I72" s="211">
        <v>30</v>
      </c>
      <c r="J72" s="211">
        <v>1</v>
      </c>
      <c r="K72" s="200" t="e">
        <f>_xll.qlRateHelperEarliestDate($E72,Trigger)</f>
        <v>#NUM!</v>
      </c>
      <c r="L72" s="212" t="e">
        <f>_xll.qlRateHelperLatestDate($E72,Trigger)</f>
        <v>#NUM!</v>
      </c>
    </row>
    <row r="73" spans="1:13" x14ac:dyDescent="0.25">
      <c r="A73" s="208" t="b">
        <v>1</v>
      </c>
      <c r="B73" s="220"/>
      <c r="C73" s="208" t="str">
        <f t="shared" si="2"/>
        <v>FUT1Y</v>
      </c>
      <c r="D73" s="209" t="str">
        <v>H2</v>
      </c>
      <c r="E73" s="209" t="str">
        <f t="shared" si="3"/>
        <v>USD_YC1YRH_FUT1YH2</v>
      </c>
      <c r="F73" s="223" t="e">
        <f>_xll.qlRateHelperQuoteValue($E73,Trigger)</f>
        <v>#NUM!</v>
      </c>
      <c r="G73" s="210" t="e">
        <f>_xll.qlFuturesRateHelperConvexityAdjustment($E73,Trigger)</f>
        <v>#NUM!</v>
      </c>
      <c r="H73" s="211" t="b">
        <v>0</v>
      </c>
      <c r="I73" s="211">
        <v>30</v>
      </c>
      <c r="J73" s="211">
        <v>1</v>
      </c>
      <c r="K73" s="200" t="e">
        <f>_xll.qlRateHelperEarliestDate($E73,Trigger)</f>
        <v>#NUM!</v>
      </c>
      <c r="L73" s="212" t="e">
        <f>_xll.qlRateHelperLatestDate($E73,Trigger)</f>
        <v>#NUM!</v>
      </c>
    </row>
    <row r="74" spans="1:13" x14ac:dyDescent="0.25">
      <c r="A74" s="208" t="b">
        <v>1</v>
      </c>
      <c r="B74" s="220"/>
      <c r="C74" s="208" t="str">
        <f t="shared" si="2"/>
        <v>FUT1Y</v>
      </c>
      <c r="D74" s="209" t="str">
        <v>M2</v>
      </c>
      <c r="E74" s="209" t="str">
        <f t="shared" si="3"/>
        <v>USD_YC1YRH_FUT1YM2</v>
      </c>
      <c r="F74" s="223" t="e">
        <f>_xll.qlRateHelperQuoteValue($E74,Trigger)</f>
        <v>#NUM!</v>
      </c>
      <c r="G74" s="210" t="e">
        <f>_xll.qlFuturesRateHelperConvexityAdjustment($E74,Trigger)</f>
        <v>#NUM!</v>
      </c>
      <c r="H74" s="211" t="b">
        <v>0</v>
      </c>
      <c r="I74" s="211">
        <v>30</v>
      </c>
      <c r="J74" s="211">
        <v>1</v>
      </c>
      <c r="K74" s="200" t="e">
        <f>_xll.qlRateHelperEarliestDate($E74,Trigger)</f>
        <v>#NUM!</v>
      </c>
      <c r="L74" s="212" t="e">
        <f>_xll.qlRateHelperLatestDate($E74,Trigger)</f>
        <v>#NUM!</v>
      </c>
    </row>
    <row r="75" spans="1:13" x14ac:dyDescent="0.25">
      <c r="A75" s="214" t="b">
        <v>1</v>
      </c>
      <c r="B75" s="221"/>
      <c r="C75" s="214" t="str">
        <f t="shared" si="2"/>
        <v>FUT1Y</v>
      </c>
      <c r="D75" s="215" t="str">
        <v>U2</v>
      </c>
      <c r="E75" s="215" t="str">
        <f t="shared" si="3"/>
        <v>USD_YC1YRH_FUT1YU2</v>
      </c>
      <c r="F75" s="224" t="e">
        <f>_xll.qlRateHelperQuoteValue($E75,Trigger)</f>
        <v>#NUM!</v>
      </c>
      <c r="G75" s="216" t="e">
        <f>_xll.qlFuturesRateHelperConvexityAdjustment($E75,Trigger)</f>
        <v>#NUM!</v>
      </c>
      <c r="H75" s="211" t="b">
        <v>0</v>
      </c>
      <c r="I75" s="217">
        <v>30</v>
      </c>
      <c r="J75" s="211">
        <v>1</v>
      </c>
      <c r="K75" s="218" t="e">
        <f>_xll.qlRateHelperEarliestDate($E75,Trigger)</f>
        <v>#NUM!</v>
      </c>
      <c r="L75" s="219" t="e">
        <f>_xll.qlRateHelperLatestDate($E75,Trigger)</f>
        <v>#NUM!</v>
      </c>
      <c r="M75" s="225"/>
    </row>
    <row r="76" spans="1:13" ht="11.25" customHeight="1" x14ac:dyDescent="0.25">
      <c r="B76" s="226">
        <v>2</v>
      </c>
      <c r="C76" s="222"/>
      <c r="D76" s="227" t="s">
        <v>81</v>
      </c>
      <c r="E76" s="227" t="str">
        <f t="shared" ref="E76:E93" si="4">RateHelperPrefix&amp;"_"&amp;$B76&amp;$C76&amp;$D76</f>
        <v>USD_YC1YRH_2X1S</v>
      </c>
      <c r="F76" s="228" t="e">
        <f>_xll.qlRateHelperQuoteValue($E76,Trigger)</f>
        <v>#NUM!</v>
      </c>
      <c r="G76" s="228" t="e">
        <f>_xll.qlSwapRateHelperSpread($E76,Trigger)</f>
        <v>#NUM!</v>
      </c>
      <c r="H76" s="229" t="b">
        <v>0</v>
      </c>
      <c r="I76" s="229">
        <v>40</v>
      </c>
      <c r="J76" s="229">
        <v>1</v>
      </c>
      <c r="K76" s="230" t="e">
        <f>_xll.qlRateHelperEarliestDate($E76,Trigger)</f>
        <v>#NUM!</v>
      </c>
      <c r="L76" s="231" t="e">
        <f>_xll.qlRateHelperLatestDate($E76,Trigger)</f>
        <v>#NUM!</v>
      </c>
      <c r="M76" s="232"/>
    </row>
    <row r="77" spans="1:13" x14ac:dyDescent="0.25">
      <c r="B77" s="220">
        <v>3</v>
      </c>
      <c r="C77" s="208"/>
      <c r="D77" s="209" t="s">
        <v>81</v>
      </c>
      <c r="E77" s="209" t="str">
        <f t="shared" si="4"/>
        <v>USD_YC1YRH_3X1S</v>
      </c>
      <c r="F77" s="210" t="e">
        <f>_xll.qlRateHelperQuoteValue($E77,Trigger)</f>
        <v>#NUM!</v>
      </c>
      <c r="G77" s="210" t="e">
        <f>_xll.qlSwapRateHelperSpread($E77,Trigger)</f>
        <v>#NUM!</v>
      </c>
      <c r="H77" s="211" t="b">
        <v>0</v>
      </c>
      <c r="I77" s="211">
        <v>40</v>
      </c>
      <c r="J77" s="211">
        <v>1</v>
      </c>
      <c r="K77" s="200" t="e">
        <f>_xll.qlRateHelperEarliestDate($E77,Trigger)</f>
        <v>#NUM!</v>
      </c>
      <c r="L77" s="212" t="e">
        <f>_xll.qlRateHelperLatestDate($E77,Trigger)</f>
        <v>#NUM!</v>
      </c>
      <c r="M77" s="233"/>
    </row>
    <row r="78" spans="1:13" x14ac:dyDescent="0.25">
      <c r="B78" s="220">
        <v>4</v>
      </c>
      <c r="C78" s="208"/>
      <c r="D78" s="209" t="s">
        <v>81</v>
      </c>
      <c r="E78" s="209" t="str">
        <f t="shared" si="4"/>
        <v>USD_YC1YRH_4X1S</v>
      </c>
      <c r="F78" s="210" t="e">
        <f>_xll.qlRateHelperQuoteValue($E78,Trigger)</f>
        <v>#NUM!</v>
      </c>
      <c r="G78" s="210" t="e">
        <f>_xll.qlSwapRateHelperSpread($E78,Trigger)</f>
        <v>#NUM!</v>
      </c>
      <c r="H78" s="211" t="b">
        <v>0</v>
      </c>
      <c r="I78" s="211">
        <v>40</v>
      </c>
      <c r="J78" s="211">
        <v>1</v>
      </c>
      <c r="K78" s="200" t="e">
        <f>_xll.qlRateHelperEarliestDate($E78,Trigger)</f>
        <v>#NUM!</v>
      </c>
      <c r="L78" s="212" t="e">
        <f>_xll.qlRateHelperLatestDate($E78,Trigger)</f>
        <v>#NUM!</v>
      </c>
    </row>
    <row r="79" spans="1:13" x14ac:dyDescent="0.25">
      <c r="B79" s="220">
        <v>5</v>
      </c>
      <c r="C79" s="208"/>
      <c r="D79" s="209" t="s">
        <v>81</v>
      </c>
      <c r="E79" s="209" t="str">
        <f t="shared" si="4"/>
        <v>USD_YC1YRH_5X1S</v>
      </c>
      <c r="F79" s="210" t="e">
        <f>_xll.qlRateHelperQuoteValue($E79,Trigger)</f>
        <v>#NUM!</v>
      </c>
      <c r="G79" s="210" t="e">
        <f>_xll.qlSwapRateHelperSpread($E79,Trigger)</f>
        <v>#NUM!</v>
      </c>
      <c r="H79" s="211" t="b">
        <v>0</v>
      </c>
      <c r="I79" s="211">
        <v>40</v>
      </c>
      <c r="J79" s="211">
        <v>1</v>
      </c>
      <c r="K79" s="200" t="e">
        <f>_xll.qlRateHelperEarliestDate($E79,Trigger)</f>
        <v>#NUM!</v>
      </c>
      <c r="L79" s="212" t="e">
        <f>_xll.qlRateHelperLatestDate($E79,Trigger)</f>
        <v>#NUM!</v>
      </c>
    </row>
    <row r="80" spans="1:13" ht="11.25" customHeight="1" x14ac:dyDescent="0.25">
      <c r="B80" s="220">
        <v>6</v>
      </c>
      <c r="C80" s="208"/>
      <c r="D80" s="209" t="s">
        <v>81</v>
      </c>
      <c r="E80" s="209" t="str">
        <f t="shared" si="4"/>
        <v>USD_YC1YRH_6X1S</v>
      </c>
      <c r="F80" s="210" t="e">
        <f>_xll.qlRateHelperQuoteValue($E80,Trigger)</f>
        <v>#NUM!</v>
      </c>
      <c r="G80" s="210" t="e">
        <f>_xll.qlSwapRateHelperSpread($E80,Trigger)</f>
        <v>#NUM!</v>
      </c>
      <c r="H80" s="211" t="b">
        <v>0</v>
      </c>
      <c r="I80" s="211">
        <v>40</v>
      </c>
      <c r="J80" s="211">
        <v>1</v>
      </c>
      <c r="K80" s="200" t="e">
        <f>_xll.qlRateHelperEarliestDate($E80,Trigger)</f>
        <v>#NUM!</v>
      </c>
      <c r="L80" s="212" t="e">
        <f>_xll.qlRateHelperLatestDate($E80,Trigger)</f>
        <v>#NUM!</v>
      </c>
    </row>
    <row r="81" spans="2:14" x14ac:dyDescent="0.25">
      <c r="B81" s="220">
        <v>7</v>
      </c>
      <c r="C81" s="208"/>
      <c r="D81" s="209" t="s">
        <v>81</v>
      </c>
      <c r="E81" s="209" t="str">
        <f t="shared" si="4"/>
        <v>USD_YC1YRH_7X1S</v>
      </c>
      <c r="F81" s="210" t="e">
        <f>_xll.qlRateHelperQuoteValue($E81,Trigger)</f>
        <v>#NUM!</v>
      </c>
      <c r="G81" s="210" t="e">
        <f>_xll.qlSwapRateHelperSpread($E81,Trigger)</f>
        <v>#NUM!</v>
      </c>
      <c r="H81" s="211" t="b">
        <v>0</v>
      </c>
      <c r="I81" s="211">
        <v>40</v>
      </c>
      <c r="J81" s="211">
        <v>1</v>
      </c>
      <c r="K81" s="200" t="e">
        <f>_xll.qlRateHelperEarliestDate($E81,Trigger)</f>
        <v>#NUM!</v>
      </c>
      <c r="L81" s="212" t="e">
        <f>_xll.qlRateHelperLatestDate($E81,Trigger)</f>
        <v>#NUM!</v>
      </c>
    </row>
    <row r="82" spans="2:14" x14ac:dyDescent="0.25">
      <c r="B82" s="220">
        <v>8</v>
      </c>
      <c r="C82" s="208"/>
      <c r="D82" s="209" t="s">
        <v>81</v>
      </c>
      <c r="E82" s="209" t="str">
        <f t="shared" si="4"/>
        <v>USD_YC1YRH_8X1S</v>
      </c>
      <c r="F82" s="210" t="e">
        <f>_xll.qlRateHelperQuoteValue($E82,Trigger)</f>
        <v>#NUM!</v>
      </c>
      <c r="G82" s="210" t="e">
        <f>_xll.qlSwapRateHelperSpread($E82,Trigger)</f>
        <v>#NUM!</v>
      </c>
      <c r="H82" s="211" t="b">
        <v>0</v>
      </c>
      <c r="I82" s="211">
        <v>40</v>
      </c>
      <c r="J82" s="211">
        <v>1</v>
      </c>
      <c r="K82" s="200" t="e">
        <f>_xll.qlRateHelperEarliestDate($E82,Trigger)</f>
        <v>#NUM!</v>
      </c>
      <c r="L82" s="212" t="e">
        <f>_xll.qlRateHelperLatestDate($E82,Trigger)</f>
        <v>#NUM!</v>
      </c>
    </row>
    <row r="83" spans="2:14" ht="11.25" customHeight="1" x14ac:dyDescent="0.25">
      <c r="B83" s="220">
        <v>9</v>
      </c>
      <c r="C83" s="208"/>
      <c r="D83" s="209" t="s">
        <v>81</v>
      </c>
      <c r="E83" s="209" t="str">
        <f t="shared" si="4"/>
        <v>USD_YC1YRH_9X1S</v>
      </c>
      <c r="F83" s="210" t="e">
        <f>_xll.qlRateHelperQuoteValue($E83,Trigger)</f>
        <v>#NUM!</v>
      </c>
      <c r="G83" s="210" t="e">
        <f>_xll.qlSwapRateHelperSpread($E83,Trigger)</f>
        <v>#NUM!</v>
      </c>
      <c r="H83" s="211" t="b">
        <v>0</v>
      </c>
      <c r="I83" s="211">
        <v>40</v>
      </c>
      <c r="J83" s="211">
        <v>1</v>
      </c>
      <c r="K83" s="200" t="e">
        <f>_xll.qlRateHelperEarliestDate($E83,Trigger)</f>
        <v>#NUM!</v>
      </c>
      <c r="L83" s="212" t="e">
        <f>_xll.qlRateHelperLatestDate($E83,Trigger)</f>
        <v>#NUM!</v>
      </c>
    </row>
    <row r="84" spans="2:14" x14ac:dyDescent="0.25">
      <c r="B84" s="220">
        <v>10</v>
      </c>
      <c r="C84" s="208"/>
      <c r="D84" s="209" t="s">
        <v>81</v>
      </c>
      <c r="E84" s="209" t="str">
        <f t="shared" si="4"/>
        <v>USD_YC1YRH_10X1S</v>
      </c>
      <c r="F84" s="210" t="e">
        <f>_xll.qlRateHelperQuoteValue($E84,Trigger)</f>
        <v>#NUM!</v>
      </c>
      <c r="G84" s="210" t="e">
        <f>_xll.qlSwapRateHelperSpread($E84,Trigger)</f>
        <v>#NUM!</v>
      </c>
      <c r="H84" s="211" t="b">
        <v>0</v>
      </c>
      <c r="I84" s="211">
        <v>40</v>
      </c>
      <c r="J84" s="211">
        <v>1</v>
      </c>
      <c r="K84" s="200" t="e">
        <f>_xll.qlRateHelperEarliestDate($E84,Trigger)</f>
        <v>#NUM!</v>
      </c>
      <c r="L84" s="212" t="e">
        <f>_xll.qlRateHelperLatestDate($E84,Trigger)</f>
        <v>#NUM!</v>
      </c>
    </row>
    <row r="85" spans="2:14" x14ac:dyDescent="0.25">
      <c r="B85" s="220">
        <v>11</v>
      </c>
      <c r="C85" s="208"/>
      <c r="D85" s="209" t="s">
        <v>81</v>
      </c>
      <c r="E85" s="209" t="str">
        <f t="shared" si="4"/>
        <v>USD_YC1YRH_11X1S</v>
      </c>
      <c r="F85" s="210" t="e">
        <f>_xll.qlRateHelperQuoteValue($E85,Trigger)</f>
        <v>#NUM!</v>
      </c>
      <c r="G85" s="210" t="e">
        <f>_xll.qlSwapRateHelperSpread($E85,Trigger)</f>
        <v>#NUM!</v>
      </c>
      <c r="H85" s="211" t="b">
        <v>0</v>
      </c>
      <c r="I85" s="211">
        <v>40</v>
      </c>
      <c r="J85" s="211">
        <v>1</v>
      </c>
      <c r="K85" s="200" t="e">
        <f>_xll.qlRateHelperEarliestDate($E85,Trigger)</f>
        <v>#NUM!</v>
      </c>
      <c r="L85" s="212" t="e">
        <f>_xll.qlRateHelperLatestDate($E85,Trigger)</f>
        <v>#NUM!</v>
      </c>
    </row>
    <row r="86" spans="2:14" x14ac:dyDescent="0.25">
      <c r="B86" s="221">
        <v>12</v>
      </c>
      <c r="C86" s="214"/>
      <c r="D86" s="215" t="s">
        <v>81</v>
      </c>
      <c r="E86" s="215" t="str">
        <f t="shared" si="4"/>
        <v>USD_YC1YRH_12X1S</v>
      </c>
      <c r="F86" s="216" t="e">
        <f>_xll.qlRateHelperQuoteValue($E86,Trigger)</f>
        <v>#NUM!</v>
      </c>
      <c r="G86" s="216" t="e">
        <f>_xll.qlSwapRateHelperSpread($E86,Trigger)</f>
        <v>#NUM!</v>
      </c>
      <c r="H86" s="211" t="b">
        <v>0</v>
      </c>
      <c r="I86" s="217">
        <v>40</v>
      </c>
      <c r="J86" s="211">
        <v>1</v>
      </c>
      <c r="K86" s="218" t="e">
        <f>_xll.qlRateHelperEarliestDate($E86,Trigger)</f>
        <v>#NUM!</v>
      </c>
      <c r="L86" s="219" t="e">
        <f>_xll.qlRateHelperLatestDate($E86,Trigger)</f>
        <v>#NUM!</v>
      </c>
    </row>
    <row r="87" spans="2:14" x14ac:dyDescent="0.25">
      <c r="B87" s="226" t="s">
        <v>84</v>
      </c>
      <c r="C87" s="222">
        <v>12</v>
      </c>
      <c r="D87" s="227"/>
      <c r="E87" s="227" t="str">
        <f t="shared" si="4"/>
        <v>USD_YC1YRH_1S12</v>
      </c>
      <c r="F87" s="228" t="e">
        <f>_xll.qlRateHelperQuoteValue($E87,Trigger)</f>
        <v>#NUM!</v>
      </c>
      <c r="G87" s="228" t="e">
        <f>_xll.qlSwapRateHelperSpread($E87,Trigger)</f>
        <v>#NUM!</v>
      </c>
      <c r="H87" s="229" t="b">
        <v>0</v>
      </c>
      <c r="I87" s="229">
        <v>40</v>
      </c>
      <c r="J87" s="229">
        <v>1</v>
      </c>
      <c r="K87" s="230" t="e">
        <f>_xll.qlRateHelperEarliestDate($E87,Trigger)</f>
        <v>#NUM!</v>
      </c>
      <c r="L87" s="231" t="e">
        <f>_xll.qlRateHelperLatestDate($E87,Trigger)</f>
        <v>#NUM!</v>
      </c>
    </row>
    <row r="88" spans="2:14" x14ac:dyDescent="0.25">
      <c r="B88" s="220" t="s">
        <v>85</v>
      </c>
      <c r="C88" s="208">
        <v>12</v>
      </c>
      <c r="D88" s="209"/>
      <c r="E88" s="209" t="str">
        <f t="shared" si="4"/>
        <v>USD_YC1YRH_2S12</v>
      </c>
      <c r="F88" s="210" t="e">
        <f>_xll.qlRateHelperQuoteValue($E88,Trigger)</f>
        <v>#NUM!</v>
      </c>
      <c r="G88" s="210" t="e">
        <f>_xll.qlSwapRateHelperSpread($E88,Trigger)</f>
        <v>#NUM!</v>
      </c>
      <c r="H88" s="211" t="b">
        <v>0</v>
      </c>
      <c r="I88" s="211">
        <v>40</v>
      </c>
      <c r="J88" s="211">
        <v>1</v>
      </c>
      <c r="K88" s="200" t="e">
        <f>_xll.qlRateHelperEarliestDate($E88,Trigger)</f>
        <v>#NUM!</v>
      </c>
      <c r="L88" s="212" t="e">
        <f>_xll.qlRateHelperLatestDate($E88,Trigger)</f>
        <v>#NUM!</v>
      </c>
    </row>
    <row r="89" spans="2:14" x14ac:dyDescent="0.25">
      <c r="B89" s="220" t="s">
        <v>86</v>
      </c>
      <c r="C89" s="208">
        <v>12</v>
      </c>
      <c r="D89" s="209"/>
      <c r="E89" s="209" t="str">
        <f t="shared" si="4"/>
        <v>USD_YC1YRH_3S12</v>
      </c>
      <c r="F89" s="210" t="e">
        <f>_xll.qlRateHelperQuoteValue($E89,Trigger)</f>
        <v>#NUM!</v>
      </c>
      <c r="G89" s="210" t="e">
        <f>_xll.qlSwapRateHelperSpread($E89,Trigger)</f>
        <v>#NUM!</v>
      </c>
      <c r="H89" s="211" t="b">
        <v>0</v>
      </c>
      <c r="I89" s="211">
        <v>40</v>
      </c>
      <c r="J89" s="211">
        <v>1</v>
      </c>
      <c r="K89" s="200" t="e">
        <f>_xll.qlRateHelperEarliestDate($E89,Trigger)</f>
        <v>#NUM!</v>
      </c>
      <c r="L89" s="212" t="e">
        <f>_xll.qlRateHelperLatestDate($E89,Trigger)</f>
        <v>#NUM!</v>
      </c>
    </row>
    <row r="90" spans="2:14" x14ac:dyDescent="0.25">
      <c r="B90" s="220" t="s">
        <v>87</v>
      </c>
      <c r="C90" s="208">
        <v>12</v>
      </c>
      <c r="D90" s="209"/>
      <c r="E90" s="209" t="str">
        <f t="shared" si="4"/>
        <v>USD_YC1YRH_4S12</v>
      </c>
      <c r="F90" s="210" t="e">
        <f>_xll.qlRateHelperQuoteValue($E90,Trigger)</f>
        <v>#NUM!</v>
      </c>
      <c r="G90" s="210" t="e">
        <f>_xll.qlSwapRateHelperSpread($E90,Trigger)</f>
        <v>#NUM!</v>
      </c>
      <c r="H90" s="211" t="b">
        <v>0</v>
      </c>
      <c r="I90" s="211">
        <v>40</v>
      </c>
      <c r="J90" s="211">
        <v>1</v>
      </c>
      <c r="K90" s="200" t="e">
        <f>_xll.qlRateHelperEarliestDate($E90,Trigger)</f>
        <v>#NUM!</v>
      </c>
      <c r="L90" s="212" t="e">
        <f>_xll.qlRateHelperLatestDate($E90,Trigger)</f>
        <v>#NUM!</v>
      </c>
    </row>
    <row r="91" spans="2:14" x14ac:dyDescent="0.25">
      <c r="B91" s="220" t="s">
        <v>84</v>
      </c>
      <c r="C91" s="208">
        <v>24</v>
      </c>
      <c r="D91" s="209"/>
      <c r="E91" s="209" t="str">
        <f t="shared" si="4"/>
        <v>USD_YC1YRH_1S24</v>
      </c>
      <c r="F91" s="210" t="e">
        <f>_xll.qlRateHelperQuoteValue($E91,Trigger)</f>
        <v>#NUM!</v>
      </c>
      <c r="G91" s="210" t="e">
        <f>_xll.qlSwapRateHelperSpread($E91,Trigger)</f>
        <v>#NUM!</v>
      </c>
      <c r="H91" s="211" t="b">
        <v>0</v>
      </c>
      <c r="I91" s="211">
        <v>40</v>
      </c>
      <c r="J91" s="211">
        <v>1</v>
      </c>
      <c r="K91" s="200" t="e">
        <f>_xll.qlRateHelperEarliestDate($E91,Trigger)</f>
        <v>#NUM!</v>
      </c>
      <c r="L91" s="212" t="e">
        <f>_xll.qlRateHelperLatestDate($E91,Trigger)</f>
        <v>#NUM!</v>
      </c>
    </row>
    <row r="92" spans="2:14" x14ac:dyDescent="0.25">
      <c r="B92" s="220" t="s">
        <v>85</v>
      </c>
      <c r="C92" s="208">
        <v>24</v>
      </c>
      <c r="D92" s="209"/>
      <c r="E92" s="209" t="str">
        <f t="shared" si="4"/>
        <v>USD_YC1YRH_2S24</v>
      </c>
      <c r="F92" s="210" t="e">
        <f>_xll.qlRateHelperQuoteValue($E92,Trigger)</f>
        <v>#NUM!</v>
      </c>
      <c r="G92" s="210" t="e">
        <f>_xll.qlSwapRateHelperSpread($E92,Trigger)</f>
        <v>#NUM!</v>
      </c>
      <c r="H92" s="211" t="b">
        <v>0</v>
      </c>
      <c r="I92" s="211">
        <v>40</v>
      </c>
      <c r="J92" s="211">
        <v>1</v>
      </c>
      <c r="K92" s="200" t="e">
        <f>_xll.qlRateHelperEarliestDate($E92,Trigger)</f>
        <v>#NUM!</v>
      </c>
      <c r="L92" s="212" t="e">
        <f>_xll.qlRateHelperLatestDate($E92,Trigger)</f>
        <v>#NUM!</v>
      </c>
    </row>
    <row r="93" spans="2:14" x14ac:dyDescent="0.25">
      <c r="B93" s="221" t="s">
        <v>84</v>
      </c>
      <c r="C93" s="214">
        <v>36</v>
      </c>
      <c r="D93" s="215"/>
      <c r="E93" s="215" t="str">
        <f t="shared" si="4"/>
        <v>USD_YC1YRH_1S36</v>
      </c>
      <c r="F93" s="216" t="e">
        <f>_xll.qlRateHelperQuoteValue($E93,Trigger)</f>
        <v>#NUM!</v>
      </c>
      <c r="G93" s="216" t="e">
        <f>_xll.qlSwapRateHelperSpread($E93,Trigger)</f>
        <v>#NUM!</v>
      </c>
      <c r="H93" s="217" t="b">
        <v>0</v>
      </c>
      <c r="I93" s="217">
        <v>40</v>
      </c>
      <c r="J93" s="217">
        <v>1</v>
      </c>
      <c r="K93" s="218" t="e">
        <f>_xll.qlRateHelperEarliestDate($E93,Trigger)</f>
        <v>#NUM!</v>
      </c>
      <c r="L93" s="219" t="e">
        <f>_xll.qlRateHelperLatestDate($E93,Trigger)</f>
        <v>#NUM!</v>
      </c>
    </row>
    <row r="94" spans="2:14" x14ac:dyDescent="0.25">
      <c r="B94" s="220" t="str">
        <f t="shared" ref="B94:B125" si="5">SwapFixedFreq</f>
        <v>AM</v>
      </c>
      <c r="C94" s="208" t="str">
        <f t="shared" ref="C94:C130" si="6">IborType</f>
        <v>12L</v>
      </c>
      <c r="D94" s="209" t="s">
        <v>39</v>
      </c>
      <c r="E94" s="209" t="str">
        <f t="shared" ref="E94:E103" si="7">RateHelperPrefix&amp;"_"&amp;$B94&amp;$C94&amp;$D94</f>
        <v>USD_YC1YRH_AM12L1Y</v>
      </c>
      <c r="F94" s="210" t="e">
        <f>_xll.qlRateHelperQuoteValue($E94,Trigger)</f>
        <v>#NUM!</v>
      </c>
      <c r="G94" s="210" t="e">
        <f>_xll.qlSwapRateHelperSpread($E94,Trigger)</f>
        <v>#NUM!</v>
      </c>
      <c r="H94" s="211" t="b">
        <v>0</v>
      </c>
      <c r="I94" s="211">
        <v>50</v>
      </c>
      <c r="J94" s="211">
        <v>1</v>
      </c>
      <c r="K94" s="200" t="e">
        <f>_xll.qlRateHelperEarliestDate($E94,Trigger)</f>
        <v>#NUM!</v>
      </c>
      <c r="L94" s="212" t="e">
        <f>_xll.qlRateHelperLatestDate($E94,Trigger)</f>
        <v>#NUM!</v>
      </c>
      <c r="N94" s="234"/>
    </row>
    <row r="95" spans="2:14" x14ac:dyDescent="0.25">
      <c r="B95" s="220" t="str">
        <f t="shared" si="5"/>
        <v>AM</v>
      </c>
      <c r="C95" s="208" t="str">
        <f t="shared" si="6"/>
        <v>12L</v>
      </c>
      <c r="D95" s="209" t="s">
        <v>40</v>
      </c>
      <c r="E95" s="209" t="str">
        <f t="shared" si="7"/>
        <v>USD_YC1YRH_AM12L15M</v>
      </c>
      <c r="F95" s="210" t="e">
        <f>_xll.qlRateHelperQuoteValue($E95,Trigger)</f>
        <v>#NUM!</v>
      </c>
      <c r="G95" s="210" t="e">
        <f>_xll.qlSwapRateHelperSpread($E95,Trigger)</f>
        <v>#NUM!</v>
      </c>
      <c r="H95" s="211" t="b">
        <v>0</v>
      </c>
      <c r="I95" s="211">
        <v>50</v>
      </c>
      <c r="J95" s="211">
        <v>1</v>
      </c>
      <c r="K95" s="200" t="e">
        <f>_xll.qlRateHelperEarliestDate($E95,Trigger)</f>
        <v>#NUM!</v>
      </c>
      <c r="L95" s="212" t="e">
        <f>_xll.qlRateHelperLatestDate($E95,Trigger)</f>
        <v>#NUM!</v>
      </c>
      <c r="N95" s="234"/>
    </row>
    <row r="96" spans="2:14" x14ac:dyDescent="0.25">
      <c r="B96" s="220" t="str">
        <f t="shared" si="5"/>
        <v>AM</v>
      </c>
      <c r="C96" s="208" t="str">
        <f t="shared" si="6"/>
        <v>12L</v>
      </c>
      <c r="D96" s="209" t="s">
        <v>41</v>
      </c>
      <c r="E96" s="209" t="str">
        <f t="shared" si="7"/>
        <v>USD_YC1YRH_AM12L18M</v>
      </c>
      <c r="F96" s="210" t="e">
        <f>_xll.qlRateHelperQuoteValue($E96,Trigger)</f>
        <v>#NUM!</v>
      </c>
      <c r="G96" s="210" t="e">
        <f>_xll.qlSwapRateHelperSpread($E96,Trigger)</f>
        <v>#NUM!</v>
      </c>
      <c r="H96" s="211" t="b">
        <v>0</v>
      </c>
      <c r="I96" s="211">
        <v>50</v>
      </c>
      <c r="J96" s="211">
        <v>1</v>
      </c>
      <c r="K96" s="200" t="e">
        <f>_xll.qlRateHelperEarliestDate($E96,Trigger)</f>
        <v>#NUM!</v>
      </c>
      <c r="L96" s="212" t="e">
        <f>_xll.qlRateHelperLatestDate($E96,Trigger)</f>
        <v>#NUM!</v>
      </c>
      <c r="N96" s="234"/>
    </row>
    <row r="97" spans="2:14" x14ac:dyDescent="0.25">
      <c r="B97" s="220" t="str">
        <f t="shared" si="5"/>
        <v>AM</v>
      </c>
      <c r="C97" s="208" t="str">
        <f t="shared" si="6"/>
        <v>12L</v>
      </c>
      <c r="D97" s="209" t="s">
        <v>42</v>
      </c>
      <c r="E97" s="209" t="str">
        <f t="shared" si="7"/>
        <v>USD_YC1YRH_AM12L21M</v>
      </c>
      <c r="F97" s="210" t="e">
        <f>_xll.qlRateHelperQuoteValue($E97,Trigger)</f>
        <v>#NUM!</v>
      </c>
      <c r="G97" s="210" t="e">
        <f>_xll.qlSwapRateHelperSpread($E97,Trigger)</f>
        <v>#NUM!</v>
      </c>
      <c r="H97" s="211" t="b">
        <v>0</v>
      </c>
      <c r="I97" s="211">
        <v>50</v>
      </c>
      <c r="J97" s="211">
        <v>1</v>
      </c>
      <c r="K97" s="200" t="e">
        <f>_xll.qlRateHelperEarliestDate($E97,Trigger)</f>
        <v>#NUM!</v>
      </c>
      <c r="L97" s="212" t="e">
        <f>_xll.qlRateHelperLatestDate($E97,Trigger)</f>
        <v>#NUM!</v>
      </c>
      <c r="N97" s="234"/>
    </row>
    <row r="98" spans="2:14" x14ac:dyDescent="0.25">
      <c r="B98" s="220" t="str">
        <f t="shared" si="5"/>
        <v>AM</v>
      </c>
      <c r="C98" s="208" t="str">
        <f t="shared" si="6"/>
        <v>12L</v>
      </c>
      <c r="D98" s="209" t="s">
        <v>43</v>
      </c>
      <c r="E98" s="209" t="str">
        <f t="shared" si="7"/>
        <v>USD_YC1YRH_AM12L2Y</v>
      </c>
      <c r="F98" s="210" t="e">
        <f>_xll.qlRateHelperQuoteValue($E98,Trigger)</f>
        <v>#NUM!</v>
      </c>
      <c r="G98" s="210" t="e">
        <f>_xll.qlSwapRateHelperSpread($E98,Trigger)</f>
        <v>#NUM!</v>
      </c>
      <c r="H98" s="211" t="b">
        <v>0</v>
      </c>
      <c r="I98" s="211">
        <v>50</v>
      </c>
      <c r="J98" s="211">
        <v>1</v>
      </c>
      <c r="K98" s="200" t="e">
        <f>_xll.qlRateHelperEarliestDate($E98,Trigger)</f>
        <v>#NUM!</v>
      </c>
      <c r="L98" s="212" t="e">
        <f>_xll.qlRateHelperLatestDate($E98,Trigger)</f>
        <v>#NUM!</v>
      </c>
      <c r="N98" s="234"/>
    </row>
    <row r="99" spans="2:14" x14ac:dyDescent="0.25">
      <c r="B99" s="220" t="str">
        <f t="shared" si="5"/>
        <v>AM</v>
      </c>
      <c r="C99" s="208" t="str">
        <f t="shared" si="6"/>
        <v>12L</v>
      </c>
      <c r="D99" s="209" t="s">
        <v>44</v>
      </c>
      <c r="E99" s="209" t="str">
        <f t="shared" si="7"/>
        <v>USD_YC1YRH_AM12L3Y</v>
      </c>
      <c r="F99" s="210" t="e">
        <f>_xll.qlRateHelperQuoteValue($E99,Trigger)</f>
        <v>#NUM!</v>
      </c>
      <c r="G99" s="210" t="e">
        <f>_xll.qlSwapRateHelperSpread($E99,Trigger)</f>
        <v>#NUM!</v>
      </c>
      <c r="H99" s="211" t="b">
        <v>0</v>
      </c>
      <c r="I99" s="211">
        <v>50</v>
      </c>
      <c r="J99" s="211">
        <v>1</v>
      </c>
      <c r="K99" s="200" t="e">
        <f>_xll.qlRateHelperEarliestDate($E99,Trigger)</f>
        <v>#NUM!</v>
      </c>
      <c r="L99" s="212" t="e">
        <f>_xll.qlRateHelperLatestDate($E99,Trigger)</f>
        <v>#NUM!</v>
      </c>
      <c r="N99" s="234"/>
    </row>
    <row r="100" spans="2:14" x14ac:dyDescent="0.25">
      <c r="B100" s="220" t="str">
        <f t="shared" si="5"/>
        <v>AM</v>
      </c>
      <c r="C100" s="208" t="str">
        <f t="shared" si="6"/>
        <v>12L</v>
      </c>
      <c r="D100" s="209" t="s">
        <v>45</v>
      </c>
      <c r="E100" s="209" t="str">
        <f t="shared" si="7"/>
        <v>USD_YC1YRH_AM12L4Y</v>
      </c>
      <c r="F100" s="210" t="e">
        <f>_xll.qlRateHelperQuoteValue($E100,Trigger)</f>
        <v>#NUM!</v>
      </c>
      <c r="G100" s="210" t="e">
        <f>_xll.qlSwapRateHelperSpread($E100,Trigger)</f>
        <v>#NUM!</v>
      </c>
      <c r="H100" s="211" t="b">
        <v>0</v>
      </c>
      <c r="I100" s="211">
        <v>50</v>
      </c>
      <c r="J100" s="211">
        <v>1</v>
      </c>
      <c r="K100" s="200" t="e">
        <f>_xll.qlRateHelperEarliestDate($E100,Trigger)</f>
        <v>#NUM!</v>
      </c>
      <c r="L100" s="212" t="e">
        <f>_xll.qlRateHelperLatestDate($E100,Trigger)</f>
        <v>#NUM!</v>
      </c>
      <c r="N100" s="234"/>
    </row>
    <row r="101" spans="2:14" x14ac:dyDescent="0.25">
      <c r="B101" s="220" t="str">
        <f t="shared" si="5"/>
        <v>AM</v>
      </c>
      <c r="C101" s="208" t="str">
        <f t="shared" si="6"/>
        <v>12L</v>
      </c>
      <c r="D101" s="209" t="s">
        <v>46</v>
      </c>
      <c r="E101" s="209" t="str">
        <f t="shared" si="7"/>
        <v>USD_YC1YRH_AM12L5Y</v>
      </c>
      <c r="F101" s="210" t="e">
        <f>_xll.qlRateHelperQuoteValue($E101,Trigger)</f>
        <v>#NUM!</v>
      </c>
      <c r="G101" s="210" t="e">
        <f>_xll.qlSwapRateHelperSpread($E101,Trigger)</f>
        <v>#NUM!</v>
      </c>
      <c r="H101" s="211" t="b">
        <v>0</v>
      </c>
      <c r="I101" s="211">
        <v>50</v>
      </c>
      <c r="J101" s="211">
        <v>1</v>
      </c>
      <c r="K101" s="200" t="e">
        <f>_xll.qlRateHelperEarliestDate($E101,Trigger)</f>
        <v>#NUM!</v>
      </c>
      <c r="L101" s="212" t="e">
        <f>_xll.qlRateHelperLatestDate($E101,Trigger)</f>
        <v>#NUM!</v>
      </c>
      <c r="N101" s="234"/>
    </row>
    <row r="102" spans="2:14" x14ac:dyDescent="0.25">
      <c r="B102" s="220" t="str">
        <f t="shared" si="5"/>
        <v>AM</v>
      </c>
      <c r="C102" s="208" t="str">
        <f t="shared" si="6"/>
        <v>12L</v>
      </c>
      <c r="D102" s="209" t="s">
        <v>47</v>
      </c>
      <c r="E102" s="209" t="str">
        <f t="shared" si="7"/>
        <v>USD_YC1YRH_AM12L6Y</v>
      </c>
      <c r="F102" s="210" t="e">
        <f>_xll.qlRateHelperQuoteValue($E102,Trigger)</f>
        <v>#NUM!</v>
      </c>
      <c r="G102" s="210" t="e">
        <f>_xll.qlSwapRateHelperSpread($E102,Trigger)</f>
        <v>#NUM!</v>
      </c>
      <c r="H102" s="211" t="b">
        <v>0</v>
      </c>
      <c r="I102" s="211">
        <v>50</v>
      </c>
      <c r="J102" s="211">
        <v>1</v>
      </c>
      <c r="K102" s="200" t="e">
        <f>_xll.qlRateHelperEarliestDate($E102,Trigger)</f>
        <v>#NUM!</v>
      </c>
      <c r="L102" s="212" t="e">
        <f>_xll.qlRateHelperLatestDate($E102,Trigger)</f>
        <v>#NUM!</v>
      </c>
      <c r="N102" s="234"/>
    </row>
    <row r="103" spans="2:14" x14ac:dyDescent="0.25">
      <c r="B103" s="220" t="str">
        <f t="shared" si="5"/>
        <v>AM</v>
      </c>
      <c r="C103" s="208" t="str">
        <f t="shared" si="6"/>
        <v>12L</v>
      </c>
      <c r="D103" s="209" t="s">
        <v>48</v>
      </c>
      <c r="E103" s="209" t="str">
        <f t="shared" si="7"/>
        <v>USD_YC1YRH_AM12L7Y</v>
      </c>
      <c r="F103" s="210" t="e">
        <f>_xll.qlRateHelperQuoteValue($E103,Trigger)</f>
        <v>#NUM!</v>
      </c>
      <c r="G103" s="210" t="e">
        <f>_xll.qlSwapRateHelperSpread($E103,Trigger)</f>
        <v>#NUM!</v>
      </c>
      <c r="H103" s="211" t="b">
        <v>0</v>
      </c>
      <c r="I103" s="211">
        <v>50</v>
      </c>
      <c r="J103" s="211">
        <v>1</v>
      </c>
      <c r="K103" s="200" t="e">
        <f>_xll.qlRateHelperEarliestDate($E103,Trigger)</f>
        <v>#NUM!</v>
      </c>
      <c r="L103" s="212" t="e">
        <f>_xll.qlRateHelperLatestDate($E103,Trigger)</f>
        <v>#NUM!</v>
      </c>
      <c r="N103" s="234"/>
    </row>
    <row r="104" spans="2:14" x14ac:dyDescent="0.25">
      <c r="B104" s="220" t="str">
        <f t="shared" si="5"/>
        <v>AM</v>
      </c>
      <c r="C104" s="208" t="str">
        <f t="shared" si="6"/>
        <v>12L</v>
      </c>
      <c r="D104" s="209" t="s">
        <v>49</v>
      </c>
      <c r="E104" s="209" t="str">
        <f t="shared" ref="E104:E130" si="8">RateHelperPrefix&amp;"_"&amp;$B104&amp;$C104&amp;$D104</f>
        <v>USD_YC1YRH_AM12L8Y</v>
      </c>
      <c r="F104" s="210" t="e">
        <f>_xll.qlRateHelperQuoteValue($E104,Trigger)</f>
        <v>#NUM!</v>
      </c>
      <c r="G104" s="210" t="e">
        <f>_xll.qlSwapRateHelperSpread($E104,Trigger)</f>
        <v>#NUM!</v>
      </c>
      <c r="H104" s="211" t="b">
        <v>0</v>
      </c>
      <c r="I104" s="211">
        <v>50</v>
      </c>
      <c r="J104" s="211">
        <v>1</v>
      </c>
      <c r="K104" s="200" t="e">
        <f>_xll.qlRateHelperEarliestDate($E104,Trigger)</f>
        <v>#NUM!</v>
      </c>
      <c r="L104" s="212" t="e">
        <f>_xll.qlRateHelperLatestDate($E104,Trigger)</f>
        <v>#NUM!</v>
      </c>
      <c r="N104" s="234"/>
    </row>
    <row r="105" spans="2:14" x14ac:dyDescent="0.25">
      <c r="B105" s="220" t="str">
        <f t="shared" si="5"/>
        <v>AM</v>
      </c>
      <c r="C105" s="208" t="str">
        <f t="shared" si="6"/>
        <v>12L</v>
      </c>
      <c r="D105" s="209" t="s">
        <v>50</v>
      </c>
      <c r="E105" s="209" t="str">
        <f t="shared" si="8"/>
        <v>USD_YC1YRH_AM12L9Y</v>
      </c>
      <c r="F105" s="210" t="e">
        <f>_xll.qlRateHelperQuoteValue($E105,Trigger)</f>
        <v>#NUM!</v>
      </c>
      <c r="G105" s="210" t="e">
        <f>_xll.qlSwapRateHelperSpread($E105,Trigger)</f>
        <v>#NUM!</v>
      </c>
      <c r="H105" s="211" t="b">
        <v>0</v>
      </c>
      <c r="I105" s="211">
        <v>50</v>
      </c>
      <c r="J105" s="211">
        <v>1</v>
      </c>
      <c r="K105" s="200" t="e">
        <f>_xll.qlRateHelperEarliestDate($E105,Trigger)</f>
        <v>#NUM!</v>
      </c>
      <c r="L105" s="212" t="e">
        <f>_xll.qlRateHelperLatestDate($E105,Trigger)</f>
        <v>#NUM!</v>
      </c>
      <c r="N105" s="234"/>
    </row>
    <row r="106" spans="2:14" x14ac:dyDescent="0.25">
      <c r="B106" s="220" t="str">
        <f t="shared" si="5"/>
        <v>AM</v>
      </c>
      <c r="C106" s="208" t="str">
        <f t="shared" si="6"/>
        <v>12L</v>
      </c>
      <c r="D106" s="209" t="s">
        <v>51</v>
      </c>
      <c r="E106" s="209" t="str">
        <f t="shared" si="8"/>
        <v>USD_YC1YRH_AM12L10Y</v>
      </c>
      <c r="F106" s="210" t="e">
        <f>_xll.qlRateHelperQuoteValue($E106,Trigger)</f>
        <v>#NUM!</v>
      </c>
      <c r="G106" s="210" t="e">
        <f>_xll.qlSwapRateHelperSpread($E106,Trigger)</f>
        <v>#NUM!</v>
      </c>
      <c r="H106" s="211" t="b">
        <v>0</v>
      </c>
      <c r="I106" s="211">
        <v>50</v>
      </c>
      <c r="J106" s="211">
        <v>1</v>
      </c>
      <c r="K106" s="200" t="e">
        <f>_xll.qlRateHelperEarliestDate($E106,Trigger)</f>
        <v>#NUM!</v>
      </c>
      <c r="L106" s="212" t="e">
        <f>_xll.qlRateHelperLatestDate($E106,Trigger)</f>
        <v>#NUM!</v>
      </c>
      <c r="N106" s="234"/>
    </row>
    <row r="107" spans="2:14" x14ac:dyDescent="0.25">
      <c r="B107" s="220" t="str">
        <f t="shared" si="5"/>
        <v>AM</v>
      </c>
      <c r="C107" s="208" t="str">
        <f t="shared" si="6"/>
        <v>12L</v>
      </c>
      <c r="D107" s="209" t="s">
        <v>59</v>
      </c>
      <c r="E107" s="209" t="str">
        <f t="shared" si="8"/>
        <v>USD_YC1YRH_AM12L11Y</v>
      </c>
      <c r="F107" s="210" t="e">
        <f>_xll.qlRateHelperQuoteValue($E107,Trigger)</f>
        <v>#NUM!</v>
      </c>
      <c r="G107" s="210" t="e">
        <f>_xll.qlSwapRateHelperSpread($E107,Trigger)</f>
        <v>#NUM!</v>
      </c>
      <c r="H107" s="211" t="b">
        <v>0</v>
      </c>
      <c r="I107" s="211">
        <v>50</v>
      </c>
      <c r="J107" s="211">
        <v>1</v>
      </c>
      <c r="K107" s="200" t="e">
        <f>_xll.qlRateHelperEarliestDate($E107,Trigger)</f>
        <v>#NUM!</v>
      </c>
      <c r="L107" s="212" t="e">
        <f>_xll.qlRateHelperLatestDate($E107,Trigger)</f>
        <v>#NUM!</v>
      </c>
      <c r="N107" s="234"/>
    </row>
    <row r="108" spans="2:14" x14ac:dyDescent="0.25">
      <c r="B108" s="220" t="str">
        <f t="shared" si="5"/>
        <v>AM</v>
      </c>
      <c r="C108" s="208" t="str">
        <f t="shared" si="6"/>
        <v>12L</v>
      </c>
      <c r="D108" s="209" t="s">
        <v>60</v>
      </c>
      <c r="E108" s="209" t="str">
        <f t="shared" si="8"/>
        <v>USD_YC1YRH_AM12L12Y</v>
      </c>
      <c r="F108" s="210" t="e">
        <f>_xll.qlRateHelperQuoteValue($E108,Trigger)</f>
        <v>#NUM!</v>
      </c>
      <c r="G108" s="210" t="e">
        <f>_xll.qlSwapRateHelperSpread($E108,Trigger)</f>
        <v>#NUM!</v>
      </c>
      <c r="H108" s="211" t="b">
        <v>0</v>
      </c>
      <c r="I108" s="211">
        <v>50</v>
      </c>
      <c r="J108" s="211">
        <v>1</v>
      </c>
      <c r="K108" s="200" t="e">
        <f>_xll.qlRateHelperEarliestDate($E108,Trigger)</f>
        <v>#NUM!</v>
      </c>
      <c r="L108" s="212" t="e">
        <f>_xll.qlRateHelperLatestDate($E108,Trigger)</f>
        <v>#NUM!</v>
      </c>
      <c r="N108" s="234"/>
    </row>
    <row r="109" spans="2:14" x14ac:dyDescent="0.25">
      <c r="B109" s="220" t="str">
        <f t="shared" si="5"/>
        <v>AM</v>
      </c>
      <c r="C109" s="208" t="str">
        <f t="shared" si="6"/>
        <v>12L</v>
      </c>
      <c r="D109" s="209" t="s">
        <v>61</v>
      </c>
      <c r="E109" s="209" t="str">
        <f t="shared" si="8"/>
        <v>USD_YC1YRH_AM12L13Y</v>
      </c>
      <c r="F109" s="210" t="e">
        <f>_xll.qlRateHelperQuoteValue($E109,Trigger)</f>
        <v>#NUM!</v>
      </c>
      <c r="G109" s="210" t="e">
        <f>_xll.qlSwapRateHelperSpread($E109,Trigger)</f>
        <v>#NUM!</v>
      </c>
      <c r="H109" s="211" t="b">
        <v>0</v>
      </c>
      <c r="I109" s="211">
        <v>50</v>
      </c>
      <c r="J109" s="211">
        <v>1</v>
      </c>
      <c r="K109" s="200" t="e">
        <f>_xll.qlRateHelperEarliestDate($E109,Trigger)</f>
        <v>#NUM!</v>
      </c>
      <c r="L109" s="212" t="e">
        <f>_xll.qlRateHelperLatestDate($E109,Trigger)</f>
        <v>#NUM!</v>
      </c>
      <c r="N109" s="234"/>
    </row>
    <row r="110" spans="2:14" x14ac:dyDescent="0.25">
      <c r="B110" s="220" t="str">
        <f t="shared" si="5"/>
        <v>AM</v>
      </c>
      <c r="C110" s="208" t="str">
        <f t="shared" si="6"/>
        <v>12L</v>
      </c>
      <c r="D110" s="209" t="s">
        <v>62</v>
      </c>
      <c r="E110" s="209" t="str">
        <f t="shared" si="8"/>
        <v>USD_YC1YRH_AM12L14Y</v>
      </c>
      <c r="F110" s="210" t="e">
        <f>_xll.qlRateHelperQuoteValue($E110,Trigger)</f>
        <v>#NUM!</v>
      </c>
      <c r="G110" s="210" t="e">
        <f>_xll.qlSwapRateHelperSpread($E110,Trigger)</f>
        <v>#NUM!</v>
      </c>
      <c r="H110" s="211" t="b">
        <v>0</v>
      </c>
      <c r="I110" s="211">
        <v>50</v>
      </c>
      <c r="J110" s="211">
        <v>1</v>
      </c>
      <c r="K110" s="200" t="e">
        <f>_xll.qlRateHelperEarliestDate($E110,Trigger)</f>
        <v>#NUM!</v>
      </c>
      <c r="L110" s="212" t="e">
        <f>_xll.qlRateHelperLatestDate($E110,Trigger)</f>
        <v>#NUM!</v>
      </c>
      <c r="N110" s="234"/>
    </row>
    <row r="111" spans="2:14" x14ac:dyDescent="0.25">
      <c r="B111" s="220" t="str">
        <f t="shared" si="5"/>
        <v>AM</v>
      </c>
      <c r="C111" s="208" t="str">
        <f t="shared" si="6"/>
        <v>12L</v>
      </c>
      <c r="D111" s="209" t="s">
        <v>52</v>
      </c>
      <c r="E111" s="209" t="str">
        <f t="shared" si="8"/>
        <v>USD_YC1YRH_AM12L15Y</v>
      </c>
      <c r="F111" s="210" t="e">
        <f>_xll.qlRateHelperQuoteValue($E111,Trigger)</f>
        <v>#NUM!</v>
      </c>
      <c r="G111" s="210" t="e">
        <f>_xll.qlSwapRateHelperSpread($E111,Trigger)</f>
        <v>#NUM!</v>
      </c>
      <c r="H111" s="211" t="b">
        <v>0</v>
      </c>
      <c r="I111" s="211">
        <v>50</v>
      </c>
      <c r="J111" s="211">
        <v>1</v>
      </c>
      <c r="K111" s="200" t="e">
        <f>_xll.qlRateHelperEarliestDate($E111,Trigger)</f>
        <v>#NUM!</v>
      </c>
      <c r="L111" s="212" t="e">
        <f>_xll.qlRateHelperLatestDate($E111,Trigger)</f>
        <v>#NUM!</v>
      </c>
      <c r="N111" s="234"/>
    </row>
    <row r="112" spans="2:14" x14ac:dyDescent="0.25">
      <c r="B112" s="220" t="str">
        <f t="shared" si="5"/>
        <v>AM</v>
      </c>
      <c r="C112" s="208" t="str">
        <f t="shared" si="6"/>
        <v>12L</v>
      </c>
      <c r="D112" s="209" t="s">
        <v>63</v>
      </c>
      <c r="E112" s="209" t="str">
        <f t="shared" si="8"/>
        <v>USD_YC1YRH_AM12L16Y</v>
      </c>
      <c r="F112" s="210" t="e">
        <f>_xll.qlRateHelperQuoteValue($E112,Trigger)</f>
        <v>#NUM!</v>
      </c>
      <c r="G112" s="210" t="e">
        <f>_xll.qlSwapRateHelperSpread($E112,Trigger)</f>
        <v>#NUM!</v>
      </c>
      <c r="H112" s="211" t="b">
        <v>0</v>
      </c>
      <c r="I112" s="211">
        <v>50</v>
      </c>
      <c r="J112" s="211">
        <v>1</v>
      </c>
      <c r="K112" s="200" t="e">
        <f>_xll.qlRateHelperEarliestDate($E112,Trigger)</f>
        <v>#NUM!</v>
      </c>
      <c r="L112" s="212" t="e">
        <f>_xll.qlRateHelperLatestDate($E112,Trigger)</f>
        <v>#NUM!</v>
      </c>
      <c r="N112" s="234"/>
    </row>
    <row r="113" spans="2:14" x14ac:dyDescent="0.25">
      <c r="B113" s="220" t="str">
        <f t="shared" si="5"/>
        <v>AM</v>
      </c>
      <c r="C113" s="208" t="str">
        <f t="shared" si="6"/>
        <v>12L</v>
      </c>
      <c r="D113" s="209" t="s">
        <v>64</v>
      </c>
      <c r="E113" s="209" t="str">
        <f t="shared" si="8"/>
        <v>USD_YC1YRH_AM12L17Y</v>
      </c>
      <c r="F113" s="210" t="e">
        <f>_xll.qlRateHelperQuoteValue($E113,Trigger)</f>
        <v>#NUM!</v>
      </c>
      <c r="G113" s="210" t="e">
        <f>_xll.qlSwapRateHelperSpread($E113,Trigger)</f>
        <v>#NUM!</v>
      </c>
      <c r="H113" s="211" t="b">
        <v>0</v>
      </c>
      <c r="I113" s="211">
        <v>50</v>
      </c>
      <c r="J113" s="211">
        <v>1</v>
      </c>
      <c r="K113" s="200" t="e">
        <f>_xll.qlRateHelperEarliestDate($E113,Trigger)</f>
        <v>#NUM!</v>
      </c>
      <c r="L113" s="212" t="e">
        <f>_xll.qlRateHelperLatestDate($E113,Trigger)</f>
        <v>#NUM!</v>
      </c>
      <c r="N113" s="234"/>
    </row>
    <row r="114" spans="2:14" x14ac:dyDescent="0.25">
      <c r="B114" s="220" t="str">
        <f t="shared" si="5"/>
        <v>AM</v>
      </c>
      <c r="C114" s="208" t="str">
        <f t="shared" si="6"/>
        <v>12L</v>
      </c>
      <c r="D114" s="209" t="s">
        <v>65</v>
      </c>
      <c r="E114" s="209" t="str">
        <f t="shared" si="8"/>
        <v>USD_YC1YRH_AM12L18Y</v>
      </c>
      <c r="F114" s="210" t="e">
        <f>_xll.qlRateHelperQuoteValue($E114,Trigger)</f>
        <v>#NUM!</v>
      </c>
      <c r="G114" s="210" t="e">
        <f>_xll.qlSwapRateHelperSpread($E114,Trigger)</f>
        <v>#NUM!</v>
      </c>
      <c r="H114" s="211" t="b">
        <v>0</v>
      </c>
      <c r="I114" s="211">
        <v>50</v>
      </c>
      <c r="J114" s="211">
        <v>1</v>
      </c>
      <c r="K114" s="200" t="e">
        <f>_xll.qlRateHelperEarliestDate($E114,Trigger)</f>
        <v>#NUM!</v>
      </c>
      <c r="L114" s="212" t="e">
        <f>_xll.qlRateHelperLatestDate($E114,Trigger)</f>
        <v>#NUM!</v>
      </c>
      <c r="N114" s="234"/>
    </row>
    <row r="115" spans="2:14" x14ac:dyDescent="0.25">
      <c r="B115" s="220" t="str">
        <f t="shared" si="5"/>
        <v>AM</v>
      </c>
      <c r="C115" s="208" t="str">
        <f t="shared" si="6"/>
        <v>12L</v>
      </c>
      <c r="D115" s="209" t="s">
        <v>66</v>
      </c>
      <c r="E115" s="209" t="str">
        <f t="shared" si="8"/>
        <v>USD_YC1YRH_AM12L19Y</v>
      </c>
      <c r="F115" s="210" t="e">
        <f>_xll.qlRateHelperQuoteValue($E115,Trigger)</f>
        <v>#NUM!</v>
      </c>
      <c r="G115" s="210" t="e">
        <f>_xll.qlSwapRateHelperSpread($E115,Trigger)</f>
        <v>#NUM!</v>
      </c>
      <c r="H115" s="211" t="b">
        <v>0</v>
      </c>
      <c r="I115" s="211">
        <v>50</v>
      </c>
      <c r="J115" s="211">
        <v>1</v>
      </c>
      <c r="K115" s="200" t="e">
        <f>_xll.qlRateHelperEarliestDate($E115,Trigger)</f>
        <v>#NUM!</v>
      </c>
      <c r="L115" s="212" t="e">
        <f>_xll.qlRateHelperLatestDate($E115,Trigger)</f>
        <v>#NUM!</v>
      </c>
      <c r="N115" s="234"/>
    </row>
    <row r="116" spans="2:14" x14ac:dyDescent="0.25">
      <c r="B116" s="220" t="str">
        <f t="shared" si="5"/>
        <v>AM</v>
      </c>
      <c r="C116" s="208" t="str">
        <f t="shared" si="6"/>
        <v>12L</v>
      </c>
      <c r="D116" s="209" t="s">
        <v>53</v>
      </c>
      <c r="E116" s="209" t="str">
        <f t="shared" si="8"/>
        <v>USD_YC1YRH_AM12L20Y</v>
      </c>
      <c r="F116" s="210" t="e">
        <f>_xll.qlRateHelperQuoteValue($E116,Trigger)</f>
        <v>#NUM!</v>
      </c>
      <c r="G116" s="210" t="e">
        <f>_xll.qlSwapRateHelperSpread($E116,Trigger)</f>
        <v>#NUM!</v>
      </c>
      <c r="H116" s="211" t="b">
        <v>0</v>
      </c>
      <c r="I116" s="211">
        <v>50</v>
      </c>
      <c r="J116" s="211">
        <v>1</v>
      </c>
      <c r="K116" s="200" t="e">
        <f>_xll.qlRateHelperEarliestDate($E116,Trigger)</f>
        <v>#NUM!</v>
      </c>
      <c r="L116" s="212" t="e">
        <f>_xll.qlRateHelperLatestDate($E116,Trigger)</f>
        <v>#NUM!</v>
      </c>
      <c r="N116" s="234"/>
    </row>
    <row r="117" spans="2:14" x14ac:dyDescent="0.25">
      <c r="B117" s="220" t="str">
        <f t="shared" si="5"/>
        <v>AM</v>
      </c>
      <c r="C117" s="208" t="str">
        <f t="shared" si="6"/>
        <v>12L</v>
      </c>
      <c r="D117" s="209" t="s">
        <v>67</v>
      </c>
      <c r="E117" s="209" t="str">
        <f t="shared" si="8"/>
        <v>USD_YC1YRH_AM12L21Y</v>
      </c>
      <c r="F117" s="210" t="e">
        <f>_xll.qlRateHelperQuoteValue($E117,Trigger)</f>
        <v>#NUM!</v>
      </c>
      <c r="G117" s="210" t="e">
        <f>_xll.qlSwapRateHelperSpread($E117,Trigger)</f>
        <v>#NUM!</v>
      </c>
      <c r="H117" s="211" t="b">
        <v>0</v>
      </c>
      <c r="I117" s="211">
        <v>50</v>
      </c>
      <c r="J117" s="211">
        <v>1</v>
      </c>
      <c r="K117" s="200" t="e">
        <f>_xll.qlRateHelperEarliestDate($E117,Trigger)</f>
        <v>#NUM!</v>
      </c>
      <c r="L117" s="212" t="e">
        <f>_xll.qlRateHelperLatestDate($E117,Trigger)</f>
        <v>#NUM!</v>
      </c>
      <c r="N117" s="234"/>
    </row>
    <row r="118" spans="2:14" x14ac:dyDescent="0.25">
      <c r="B118" s="220" t="str">
        <f t="shared" si="5"/>
        <v>AM</v>
      </c>
      <c r="C118" s="208" t="str">
        <f t="shared" si="6"/>
        <v>12L</v>
      </c>
      <c r="D118" s="209" t="s">
        <v>68</v>
      </c>
      <c r="E118" s="209" t="str">
        <f t="shared" si="8"/>
        <v>USD_YC1YRH_AM12L22Y</v>
      </c>
      <c r="F118" s="210" t="e">
        <f>_xll.qlRateHelperQuoteValue($E118,Trigger)</f>
        <v>#NUM!</v>
      </c>
      <c r="G118" s="210" t="e">
        <f>_xll.qlSwapRateHelperSpread($E118,Trigger)</f>
        <v>#NUM!</v>
      </c>
      <c r="H118" s="211" t="b">
        <v>0</v>
      </c>
      <c r="I118" s="211">
        <v>50</v>
      </c>
      <c r="J118" s="211">
        <v>1</v>
      </c>
      <c r="K118" s="200" t="e">
        <f>_xll.qlRateHelperEarliestDate($E118,Trigger)</f>
        <v>#NUM!</v>
      </c>
      <c r="L118" s="212" t="e">
        <f>_xll.qlRateHelperLatestDate($E118,Trigger)</f>
        <v>#NUM!</v>
      </c>
      <c r="N118" s="234"/>
    </row>
    <row r="119" spans="2:14" x14ac:dyDescent="0.25">
      <c r="B119" s="220" t="str">
        <f t="shared" si="5"/>
        <v>AM</v>
      </c>
      <c r="C119" s="208" t="str">
        <f t="shared" si="6"/>
        <v>12L</v>
      </c>
      <c r="D119" s="209" t="s">
        <v>69</v>
      </c>
      <c r="E119" s="209" t="str">
        <f t="shared" si="8"/>
        <v>USD_YC1YRH_AM12L23Y</v>
      </c>
      <c r="F119" s="210" t="e">
        <f>_xll.qlRateHelperQuoteValue($E119,Trigger)</f>
        <v>#NUM!</v>
      </c>
      <c r="G119" s="210" t="e">
        <f>_xll.qlSwapRateHelperSpread($E119,Trigger)</f>
        <v>#NUM!</v>
      </c>
      <c r="H119" s="211" t="b">
        <v>0</v>
      </c>
      <c r="I119" s="211">
        <v>50</v>
      </c>
      <c r="J119" s="211">
        <v>1</v>
      </c>
      <c r="K119" s="200" t="e">
        <f>_xll.qlRateHelperEarliestDate($E119,Trigger)</f>
        <v>#NUM!</v>
      </c>
      <c r="L119" s="212" t="e">
        <f>_xll.qlRateHelperLatestDate($E119,Trigger)</f>
        <v>#NUM!</v>
      </c>
      <c r="N119" s="234"/>
    </row>
    <row r="120" spans="2:14" x14ac:dyDescent="0.25">
      <c r="B120" s="220" t="str">
        <f t="shared" si="5"/>
        <v>AM</v>
      </c>
      <c r="C120" s="208" t="str">
        <f t="shared" si="6"/>
        <v>12L</v>
      </c>
      <c r="D120" s="209" t="s">
        <v>70</v>
      </c>
      <c r="E120" s="209" t="str">
        <f t="shared" si="8"/>
        <v>USD_YC1YRH_AM12L24Y</v>
      </c>
      <c r="F120" s="210" t="e">
        <f>_xll.qlRateHelperQuoteValue($E120,Trigger)</f>
        <v>#NUM!</v>
      </c>
      <c r="G120" s="210" t="e">
        <f>_xll.qlSwapRateHelperSpread($E120,Trigger)</f>
        <v>#NUM!</v>
      </c>
      <c r="H120" s="211" t="b">
        <v>0</v>
      </c>
      <c r="I120" s="211">
        <v>50</v>
      </c>
      <c r="J120" s="211">
        <v>1</v>
      </c>
      <c r="K120" s="200" t="e">
        <f>_xll.qlRateHelperEarliestDate($E120,Trigger)</f>
        <v>#NUM!</v>
      </c>
      <c r="L120" s="212" t="e">
        <f>_xll.qlRateHelperLatestDate($E120,Trigger)</f>
        <v>#NUM!</v>
      </c>
      <c r="N120" s="234"/>
    </row>
    <row r="121" spans="2:14" x14ac:dyDescent="0.25">
      <c r="B121" s="220" t="str">
        <f t="shared" si="5"/>
        <v>AM</v>
      </c>
      <c r="C121" s="208" t="str">
        <f t="shared" si="6"/>
        <v>12L</v>
      </c>
      <c r="D121" s="209" t="s">
        <v>71</v>
      </c>
      <c r="E121" s="209" t="str">
        <f t="shared" si="8"/>
        <v>USD_YC1YRH_AM12L25Y</v>
      </c>
      <c r="F121" s="210" t="e">
        <f>_xll.qlRateHelperQuoteValue($E121,Trigger)</f>
        <v>#NUM!</v>
      </c>
      <c r="G121" s="210" t="e">
        <f>_xll.qlSwapRateHelperSpread($E121,Trigger)</f>
        <v>#NUM!</v>
      </c>
      <c r="H121" s="211" t="b">
        <v>0</v>
      </c>
      <c r="I121" s="211">
        <v>50</v>
      </c>
      <c r="J121" s="211">
        <v>1</v>
      </c>
      <c r="K121" s="200" t="e">
        <f>_xll.qlRateHelperEarliestDate($E121,Trigger)</f>
        <v>#NUM!</v>
      </c>
      <c r="L121" s="212" t="e">
        <f>_xll.qlRateHelperLatestDate($E121,Trigger)</f>
        <v>#NUM!</v>
      </c>
      <c r="N121" s="234"/>
    </row>
    <row r="122" spans="2:14" x14ac:dyDescent="0.25">
      <c r="B122" s="220" t="str">
        <f t="shared" si="5"/>
        <v>AM</v>
      </c>
      <c r="C122" s="208" t="str">
        <f t="shared" si="6"/>
        <v>12L</v>
      </c>
      <c r="D122" s="209" t="s">
        <v>72</v>
      </c>
      <c r="E122" s="209" t="str">
        <f t="shared" si="8"/>
        <v>USD_YC1YRH_AM12L26Y</v>
      </c>
      <c r="F122" s="210" t="e">
        <f>_xll.qlRateHelperQuoteValue($E122,Trigger)</f>
        <v>#NUM!</v>
      </c>
      <c r="G122" s="210" t="e">
        <f>_xll.qlSwapRateHelperSpread($E122,Trigger)</f>
        <v>#NUM!</v>
      </c>
      <c r="H122" s="211" t="b">
        <v>0</v>
      </c>
      <c r="I122" s="211">
        <v>50</v>
      </c>
      <c r="J122" s="211">
        <v>1</v>
      </c>
      <c r="K122" s="200" t="e">
        <f>_xll.qlRateHelperEarliestDate($E122,Trigger)</f>
        <v>#NUM!</v>
      </c>
      <c r="L122" s="212" t="e">
        <f>_xll.qlRateHelperLatestDate($E122,Trigger)</f>
        <v>#NUM!</v>
      </c>
      <c r="N122" s="234"/>
    </row>
    <row r="123" spans="2:14" x14ac:dyDescent="0.25">
      <c r="B123" s="220" t="str">
        <f t="shared" si="5"/>
        <v>AM</v>
      </c>
      <c r="C123" s="208" t="str">
        <f t="shared" si="6"/>
        <v>12L</v>
      </c>
      <c r="D123" s="209" t="s">
        <v>73</v>
      </c>
      <c r="E123" s="209" t="str">
        <f t="shared" si="8"/>
        <v>USD_YC1YRH_AM12L27Y</v>
      </c>
      <c r="F123" s="210" t="e">
        <f>_xll.qlRateHelperQuoteValue($E123,Trigger)</f>
        <v>#NUM!</v>
      </c>
      <c r="G123" s="210" t="e">
        <f>_xll.qlSwapRateHelperSpread($E123,Trigger)</f>
        <v>#NUM!</v>
      </c>
      <c r="H123" s="211" t="b">
        <v>0</v>
      </c>
      <c r="I123" s="211">
        <v>50</v>
      </c>
      <c r="J123" s="211">
        <v>1</v>
      </c>
      <c r="K123" s="200" t="e">
        <f>_xll.qlRateHelperEarliestDate($E123,Trigger)</f>
        <v>#NUM!</v>
      </c>
      <c r="L123" s="212" t="e">
        <f>_xll.qlRateHelperLatestDate($E123,Trigger)</f>
        <v>#NUM!</v>
      </c>
      <c r="N123" s="234"/>
    </row>
    <row r="124" spans="2:14" x14ac:dyDescent="0.25">
      <c r="B124" s="220" t="str">
        <f t="shared" si="5"/>
        <v>AM</v>
      </c>
      <c r="C124" s="208" t="str">
        <f t="shared" si="6"/>
        <v>12L</v>
      </c>
      <c r="D124" s="209" t="s">
        <v>74</v>
      </c>
      <c r="E124" s="209" t="str">
        <f t="shared" si="8"/>
        <v>USD_YC1YRH_AM12L28Y</v>
      </c>
      <c r="F124" s="210" t="e">
        <f>_xll.qlRateHelperQuoteValue($E124,Trigger)</f>
        <v>#NUM!</v>
      </c>
      <c r="G124" s="210" t="e">
        <f>_xll.qlSwapRateHelperSpread($E124,Trigger)</f>
        <v>#NUM!</v>
      </c>
      <c r="H124" s="211" t="b">
        <v>0</v>
      </c>
      <c r="I124" s="211">
        <v>50</v>
      </c>
      <c r="J124" s="211">
        <v>1</v>
      </c>
      <c r="K124" s="200" t="e">
        <f>_xll.qlRateHelperEarliestDate($E124,Trigger)</f>
        <v>#NUM!</v>
      </c>
      <c r="L124" s="212" t="e">
        <f>_xll.qlRateHelperLatestDate($E124,Trigger)</f>
        <v>#NUM!</v>
      </c>
      <c r="N124" s="234"/>
    </row>
    <row r="125" spans="2:14" x14ac:dyDescent="0.25">
      <c r="B125" s="220" t="str">
        <f t="shared" si="5"/>
        <v>AM</v>
      </c>
      <c r="C125" s="208" t="str">
        <f t="shared" si="6"/>
        <v>12L</v>
      </c>
      <c r="D125" s="209" t="s">
        <v>75</v>
      </c>
      <c r="E125" s="209" t="str">
        <f t="shared" si="8"/>
        <v>USD_YC1YRH_AM12L29Y</v>
      </c>
      <c r="F125" s="210" t="e">
        <f>_xll.qlRateHelperQuoteValue($E125,Trigger)</f>
        <v>#NUM!</v>
      </c>
      <c r="G125" s="210" t="e">
        <f>_xll.qlSwapRateHelperSpread($E125,Trigger)</f>
        <v>#NUM!</v>
      </c>
      <c r="H125" s="211" t="b">
        <v>0</v>
      </c>
      <c r="I125" s="211">
        <v>50</v>
      </c>
      <c r="J125" s="211">
        <v>1</v>
      </c>
      <c r="K125" s="200" t="e">
        <f>_xll.qlRateHelperEarliestDate($E125,Trigger)</f>
        <v>#NUM!</v>
      </c>
      <c r="L125" s="212" t="e">
        <f>_xll.qlRateHelperLatestDate($E125,Trigger)</f>
        <v>#NUM!</v>
      </c>
      <c r="N125" s="234"/>
    </row>
    <row r="126" spans="2:14" x14ac:dyDescent="0.25">
      <c r="B126" s="220" t="str">
        <f t="shared" ref="B126:B160" si="9">SwapFixedFreq</f>
        <v>AM</v>
      </c>
      <c r="C126" s="208" t="str">
        <f t="shared" si="6"/>
        <v>12L</v>
      </c>
      <c r="D126" s="209" t="s">
        <v>54</v>
      </c>
      <c r="E126" s="209" t="str">
        <f t="shared" si="8"/>
        <v>USD_YC1YRH_AM12L30Y</v>
      </c>
      <c r="F126" s="210" t="e">
        <f>_xll.qlRateHelperQuoteValue($E126,Trigger)</f>
        <v>#NUM!</v>
      </c>
      <c r="G126" s="210" t="e">
        <f>_xll.qlSwapRateHelperSpread($E126,Trigger)</f>
        <v>#NUM!</v>
      </c>
      <c r="H126" s="211" t="b">
        <v>0</v>
      </c>
      <c r="I126" s="211">
        <v>50</v>
      </c>
      <c r="J126" s="211">
        <v>1</v>
      </c>
      <c r="K126" s="200" t="e">
        <f>_xll.qlRateHelperEarliestDate($E126,Trigger)</f>
        <v>#NUM!</v>
      </c>
      <c r="L126" s="212" t="e">
        <f>_xll.qlRateHelperLatestDate($E126,Trigger)</f>
        <v>#NUM!</v>
      </c>
      <c r="N126" s="234"/>
    </row>
    <row r="127" spans="2:14" x14ac:dyDescent="0.25">
      <c r="B127" s="220" t="str">
        <f t="shared" si="9"/>
        <v>AM</v>
      </c>
      <c r="C127" s="208" t="str">
        <f t="shared" si="6"/>
        <v>12L</v>
      </c>
      <c r="D127" s="209" t="s">
        <v>76</v>
      </c>
      <c r="E127" s="209" t="str">
        <f t="shared" si="8"/>
        <v>USD_YC1YRH_AM12L35Y</v>
      </c>
      <c r="F127" s="210" t="e">
        <f>_xll.qlRateHelperQuoteValue($E127,Trigger)</f>
        <v>#NUM!</v>
      </c>
      <c r="G127" s="210" t="e">
        <f>_xll.qlSwapRateHelperSpread($E127,Trigger)</f>
        <v>#NUM!</v>
      </c>
      <c r="H127" s="211" t="b">
        <v>0</v>
      </c>
      <c r="I127" s="211">
        <v>50</v>
      </c>
      <c r="J127" s="211">
        <v>1</v>
      </c>
      <c r="K127" s="200" t="e">
        <f>_xll.qlRateHelperEarliestDate($E127,Trigger)</f>
        <v>#NUM!</v>
      </c>
      <c r="L127" s="212" t="e">
        <f>_xll.qlRateHelperLatestDate($E127,Trigger)</f>
        <v>#NUM!</v>
      </c>
      <c r="N127" s="234"/>
    </row>
    <row r="128" spans="2:14" x14ac:dyDescent="0.25">
      <c r="B128" s="220" t="str">
        <f t="shared" si="9"/>
        <v>AM</v>
      </c>
      <c r="C128" s="208" t="str">
        <f t="shared" si="6"/>
        <v>12L</v>
      </c>
      <c r="D128" s="209" t="s">
        <v>77</v>
      </c>
      <c r="E128" s="209" t="str">
        <f t="shared" si="8"/>
        <v>USD_YC1YRH_AM12L40Y</v>
      </c>
      <c r="F128" s="210" t="e">
        <f>_xll.qlRateHelperQuoteValue($E128,Trigger)</f>
        <v>#NUM!</v>
      </c>
      <c r="G128" s="210" t="e">
        <f>_xll.qlSwapRateHelperSpread($E128,Trigger)</f>
        <v>#NUM!</v>
      </c>
      <c r="H128" s="211" t="b">
        <v>0</v>
      </c>
      <c r="I128" s="211">
        <v>50</v>
      </c>
      <c r="J128" s="211">
        <v>1</v>
      </c>
      <c r="K128" s="200" t="e">
        <f>_xll.qlRateHelperEarliestDate($E128,Trigger)</f>
        <v>#NUM!</v>
      </c>
      <c r="L128" s="212" t="e">
        <f>_xll.qlRateHelperLatestDate($E128,Trigger)</f>
        <v>#NUM!</v>
      </c>
      <c r="N128" s="234"/>
    </row>
    <row r="129" spans="2:14" x14ac:dyDescent="0.25">
      <c r="B129" s="220" t="str">
        <f t="shared" si="9"/>
        <v>AM</v>
      </c>
      <c r="C129" s="208" t="str">
        <f t="shared" si="6"/>
        <v>12L</v>
      </c>
      <c r="D129" s="209" t="s">
        <v>78</v>
      </c>
      <c r="E129" s="209" t="str">
        <f t="shared" si="8"/>
        <v>USD_YC1YRH_AM12L50Y</v>
      </c>
      <c r="F129" s="210" t="e">
        <f>_xll.qlRateHelperQuoteValue($E129,Trigger)</f>
        <v>#NUM!</v>
      </c>
      <c r="G129" s="210" t="e">
        <f>_xll.qlSwapRateHelperSpread($E129,Trigger)</f>
        <v>#NUM!</v>
      </c>
      <c r="H129" s="211" t="b">
        <v>0</v>
      </c>
      <c r="I129" s="211">
        <v>50</v>
      </c>
      <c r="J129" s="211">
        <v>1</v>
      </c>
      <c r="K129" s="200" t="e">
        <f>_xll.qlRateHelperEarliestDate($E129,Trigger)</f>
        <v>#NUM!</v>
      </c>
      <c r="L129" s="212" t="e">
        <f>_xll.qlRateHelperLatestDate($E129,Trigger)</f>
        <v>#NUM!</v>
      </c>
      <c r="N129" s="234"/>
    </row>
    <row r="130" spans="2:14" x14ac:dyDescent="0.25">
      <c r="B130" s="221" t="str">
        <f t="shared" si="9"/>
        <v>AM</v>
      </c>
      <c r="C130" s="214" t="str">
        <f t="shared" si="6"/>
        <v>12L</v>
      </c>
      <c r="D130" s="215" t="s">
        <v>79</v>
      </c>
      <c r="E130" s="215" t="str">
        <f t="shared" si="8"/>
        <v>USD_YC1YRH_AM12L60Y</v>
      </c>
      <c r="F130" s="216" t="e">
        <f>_xll.qlRateHelperQuoteValue($E130,Trigger)</f>
        <v>#NUM!</v>
      </c>
      <c r="G130" s="216" t="e">
        <f>_xll.qlSwapRateHelperSpread($E130,Trigger)</f>
        <v>#NUM!</v>
      </c>
      <c r="H130" s="217" t="b">
        <v>0</v>
      </c>
      <c r="I130" s="217">
        <v>50</v>
      </c>
      <c r="J130" s="217">
        <v>1</v>
      </c>
      <c r="K130" s="218" t="e">
        <f>_xll.qlRateHelperEarliestDate($E130,Trigger)</f>
        <v>#NUM!</v>
      </c>
      <c r="L130" s="219" t="e">
        <f>_xll.qlRateHelperLatestDate($E130,Trigger)</f>
        <v>#NUM!</v>
      </c>
      <c r="N130" s="234"/>
    </row>
    <row r="131" spans="2:14" x14ac:dyDescent="0.25">
      <c r="B131" s="220" t="str">
        <f t="shared" si="9"/>
        <v>AM</v>
      </c>
      <c r="C131" s="208" t="str">
        <f t="shared" ref="C131:C167" si="10">IborType&amp;"BASIS"</f>
        <v>12LBASIS</v>
      </c>
      <c r="D131" s="209" t="s">
        <v>39</v>
      </c>
      <c r="E131" s="209" t="str">
        <f t="shared" ref="E131:E167" si="11">RateHelperPrefix&amp;"_"&amp;$B131&amp;$C131&amp;$D131</f>
        <v>USD_YC1YRH_AM12LBASIS1Y</v>
      </c>
      <c r="F131" s="210">
        <f>_xll.qlRateHelperQuoteValue($E131,Trigger)</f>
        <v>5.4332226273290053E-3</v>
      </c>
      <c r="G131" s="210">
        <f>_xll.qlSwapRateHelperSpread($E131,Trigger)</f>
        <v>0</v>
      </c>
      <c r="H131" s="211" t="b">
        <v>0</v>
      </c>
      <c r="I131" s="211">
        <v>40</v>
      </c>
      <c r="J131" s="211">
        <v>1</v>
      </c>
      <c r="K131" s="200">
        <f>_xll.qlRateHelperEarliestDate($E131,Trigger)</f>
        <v>41767</v>
      </c>
      <c r="L131" s="212">
        <f>_xll.qlRateHelperLatestDate($E131,Trigger)</f>
        <v>42132</v>
      </c>
    </row>
    <row r="132" spans="2:14" x14ac:dyDescent="0.25">
      <c r="B132" s="220" t="str">
        <f t="shared" si="9"/>
        <v>AM</v>
      </c>
      <c r="C132" s="208" t="str">
        <f t="shared" si="10"/>
        <v>12LBASIS</v>
      </c>
      <c r="D132" s="209" t="s">
        <v>40</v>
      </c>
      <c r="E132" s="209" t="str">
        <f t="shared" si="11"/>
        <v>USD_YC1YRH_AM12LBASIS15M</v>
      </c>
      <c r="F132" s="210" t="e">
        <f>_xll.qlRateHelperQuoteValue($E132,Trigger)</f>
        <v>#NUM!</v>
      </c>
      <c r="G132" s="210" t="e">
        <f>_xll.qlSwapRateHelperSpread($E132,Trigger)</f>
        <v>#NUM!</v>
      </c>
      <c r="H132" s="211" t="b">
        <v>0</v>
      </c>
      <c r="I132" s="211">
        <v>37</v>
      </c>
      <c r="J132" s="211">
        <v>1</v>
      </c>
      <c r="K132" s="200" t="e">
        <f>_xll.qlRateHelperEarliestDate($E132,Trigger)</f>
        <v>#NUM!</v>
      </c>
      <c r="L132" s="212" t="e">
        <f>_xll.qlRateHelperLatestDate($E132,Trigger)</f>
        <v>#NUM!</v>
      </c>
    </row>
    <row r="133" spans="2:14" x14ac:dyDescent="0.25">
      <c r="B133" s="220" t="str">
        <f t="shared" si="9"/>
        <v>AM</v>
      </c>
      <c r="C133" s="208" t="str">
        <f t="shared" si="10"/>
        <v>12LBASIS</v>
      </c>
      <c r="D133" s="209" t="s">
        <v>41</v>
      </c>
      <c r="E133" s="209" t="str">
        <f t="shared" si="11"/>
        <v>USD_YC1YRH_AM12LBASIS18M</v>
      </c>
      <c r="F133" s="210" t="e">
        <f>_xll.qlRateHelperQuoteValue($E133,Trigger)</f>
        <v>#NUM!</v>
      </c>
      <c r="G133" s="210" t="e">
        <f>_xll.qlSwapRateHelperSpread($E133,Trigger)</f>
        <v>#NUM!</v>
      </c>
      <c r="H133" s="211" t="b">
        <v>0</v>
      </c>
      <c r="I133" s="211">
        <v>38</v>
      </c>
      <c r="J133" s="211">
        <v>1</v>
      </c>
      <c r="K133" s="200" t="e">
        <f>_xll.qlRateHelperEarliestDate($E133,Trigger)</f>
        <v>#NUM!</v>
      </c>
      <c r="L133" s="212" t="e">
        <f>_xll.qlRateHelperLatestDate($E133,Trigger)</f>
        <v>#NUM!</v>
      </c>
    </row>
    <row r="134" spans="2:14" x14ac:dyDescent="0.25">
      <c r="B134" s="220" t="str">
        <f t="shared" si="9"/>
        <v>AM</v>
      </c>
      <c r="C134" s="208" t="str">
        <f t="shared" si="10"/>
        <v>12LBASIS</v>
      </c>
      <c r="D134" s="209" t="s">
        <v>42</v>
      </c>
      <c r="E134" s="209" t="str">
        <f t="shared" si="11"/>
        <v>USD_YC1YRH_AM12LBASIS21M</v>
      </c>
      <c r="F134" s="210" t="e">
        <f>_xll.qlRateHelperQuoteValue($E134,Trigger)</f>
        <v>#NUM!</v>
      </c>
      <c r="G134" s="210" t="e">
        <f>_xll.qlSwapRateHelperSpread($E134,Trigger)</f>
        <v>#NUM!</v>
      </c>
      <c r="H134" s="211" t="b">
        <v>0</v>
      </c>
      <c r="I134" s="211">
        <v>39</v>
      </c>
      <c r="J134" s="211">
        <v>1</v>
      </c>
      <c r="K134" s="200" t="e">
        <f>_xll.qlRateHelperEarliestDate($E134,Trigger)</f>
        <v>#NUM!</v>
      </c>
      <c r="L134" s="212" t="e">
        <f>_xll.qlRateHelperLatestDate($E134,Trigger)</f>
        <v>#NUM!</v>
      </c>
    </row>
    <row r="135" spans="2:14" x14ac:dyDescent="0.25">
      <c r="B135" s="220" t="str">
        <f t="shared" si="9"/>
        <v>AM</v>
      </c>
      <c r="C135" s="208" t="str">
        <f t="shared" si="10"/>
        <v>12LBASIS</v>
      </c>
      <c r="D135" s="209" t="s">
        <v>43</v>
      </c>
      <c r="E135" s="209" t="str">
        <f t="shared" si="11"/>
        <v>USD_YC1YRH_AM12LBASIS2Y</v>
      </c>
      <c r="F135" s="210">
        <f>_xll.qlRateHelperQuoteValue($E135,Trigger)</f>
        <v>8.4565525773723921E-3</v>
      </c>
      <c r="G135" s="210">
        <f>_xll.qlSwapRateHelperSpread($E135,Trigger)</f>
        <v>0</v>
      </c>
      <c r="H135" s="211" t="b">
        <v>1</v>
      </c>
      <c r="I135" s="211">
        <v>40</v>
      </c>
      <c r="J135" s="211">
        <v>1</v>
      </c>
      <c r="K135" s="200">
        <f>_xll.qlRateHelperEarliestDate($E135,Trigger)</f>
        <v>41767</v>
      </c>
      <c r="L135" s="212">
        <f>_xll.qlRateHelperLatestDate($E135,Trigger)</f>
        <v>42499</v>
      </c>
    </row>
    <row r="136" spans="2:14" x14ac:dyDescent="0.25">
      <c r="B136" s="220" t="str">
        <f t="shared" si="9"/>
        <v>AM</v>
      </c>
      <c r="C136" s="208" t="str">
        <f t="shared" si="10"/>
        <v>12LBASIS</v>
      </c>
      <c r="D136" s="209" t="s">
        <v>44</v>
      </c>
      <c r="E136" s="209" t="str">
        <f t="shared" si="11"/>
        <v>USD_YC1YRH_AM12LBASIS3Y</v>
      </c>
      <c r="F136" s="210">
        <f>_xll.qlRateHelperQuoteValue($E136,Trigger)</f>
        <v>1.2880485968584633E-2</v>
      </c>
      <c r="G136" s="210">
        <f>_xll.qlSwapRateHelperSpread($E136,Trigger)</f>
        <v>0</v>
      </c>
      <c r="H136" s="211" t="b">
        <v>1</v>
      </c>
      <c r="I136" s="211">
        <v>40</v>
      </c>
      <c r="J136" s="211">
        <v>1</v>
      </c>
      <c r="K136" s="200">
        <f>_xll.qlRateHelperEarliestDate($E136,Trigger)</f>
        <v>41767</v>
      </c>
      <c r="L136" s="212">
        <f>_xll.qlRateHelperLatestDate($E136,Trigger)</f>
        <v>42863</v>
      </c>
    </row>
    <row r="137" spans="2:14" x14ac:dyDescent="0.25">
      <c r="B137" s="220" t="str">
        <f t="shared" si="9"/>
        <v>AM</v>
      </c>
      <c r="C137" s="208" t="str">
        <f t="shared" si="10"/>
        <v>12LBASIS</v>
      </c>
      <c r="D137" s="209" t="s">
        <v>45</v>
      </c>
      <c r="E137" s="209" t="str">
        <f t="shared" si="11"/>
        <v>USD_YC1YRH_AM12LBASIS4Y</v>
      </c>
      <c r="F137" s="210">
        <f>_xll.qlRateHelperQuoteValue($E137,Trigger)</f>
        <v>1.6994516319545391E-2</v>
      </c>
      <c r="G137" s="210">
        <f>_xll.qlSwapRateHelperSpread($E137,Trigger)</f>
        <v>0</v>
      </c>
      <c r="H137" s="211" t="b">
        <v>1</v>
      </c>
      <c r="I137" s="211">
        <v>40</v>
      </c>
      <c r="J137" s="211">
        <v>1</v>
      </c>
      <c r="K137" s="200">
        <f>_xll.qlRateHelperEarliestDate($E137,Trigger)</f>
        <v>41767</v>
      </c>
      <c r="L137" s="212">
        <f>_xll.qlRateHelperLatestDate($E137,Trigger)</f>
        <v>43228</v>
      </c>
    </row>
    <row r="138" spans="2:14" x14ac:dyDescent="0.25">
      <c r="B138" s="220" t="str">
        <f t="shared" si="9"/>
        <v>AM</v>
      </c>
      <c r="C138" s="208" t="str">
        <f t="shared" si="10"/>
        <v>12LBASIS</v>
      </c>
      <c r="D138" s="209" t="s">
        <v>46</v>
      </c>
      <c r="E138" s="209" t="str">
        <f t="shared" si="11"/>
        <v>USD_YC1YRH_AM12LBASIS5Y</v>
      </c>
      <c r="F138" s="210">
        <f>_xll.qlRateHelperQuoteValue($E138,Trigger)</f>
        <v>2.035772575438622E-2</v>
      </c>
      <c r="G138" s="210">
        <f>_xll.qlSwapRateHelperSpread($E138,Trigger)</f>
        <v>0</v>
      </c>
      <c r="H138" s="211" t="b">
        <v>1</v>
      </c>
      <c r="I138" s="211">
        <v>40</v>
      </c>
      <c r="J138" s="211">
        <v>1</v>
      </c>
      <c r="K138" s="200">
        <f>_xll.qlRateHelperEarliestDate($E138,Trigger)</f>
        <v>41767</v>
      </c>
      <c r="L138" s="212">
        <f>_xll.qlRateHelperLatestDate($E138,Trigger)</f>
        <v>43593</v>
      </c>
    </row>
    <row r="139" spans="2:14" x14ac:dyDescent="0.25">
      <c r="B139" s="220" t="str">
        <f t="shared" si="9"/>
        <v>AM</v>
      </c>
      <c r="C139" s="208" t="str">
        <f t="shared" si="10"/>
        <v>12LBASIS</v>
      </c>
      <c r="D139" s="209" t="s">
        <v>47</v>
      </c>
      <c r="E139" s="209" t="str">
        <f t="shared" si="11"/>
        <v>USD_YC1YRH_AM12LBASIS6Y</v>
      </c>
      <c r="F139" s="210">
        <f>_xll.qlRateHelperQuoteValue($E139,Trigger)</f>
        <v>2.30801222547934E-2</v>
      </c>
      <c r="G139" s="210">
        <f>_xll.qlSwapRateHelperSpread($E139,Trigger)</f>
        <v>0</v>
      </c>
      <c r="H139" s="211" t="b">
        <v>1</v>
      </c>
      <c r="I139" s="211">
        <v>40</v>
      </c>
      <c r="J139" s="211">
        <v>1</v>
      </c>
      <c r="K139" s="200">
        <f>_xll.qlRateHelperEarliestDate($E139,Trigger)</f>
        <v>41767</v>
      </c>
      <c r="L139" s="212">
        <f>_xll.qlRateHelperLatestDate($E139,Trigger)</f>
        <v>43959</v>
      </c>
    </row>
    <row r="140" spans="2:14" x14ac:dyDescent="0.25">
      <c r="B140" s="220" t="str">
        <f t="shared" si="9"/>
        <v>AM</v>
      </c>
      <c r="C140" s="208" t="str">
        <f t="shared" si="10"/>
        <v>12LBASIS</v>
      </c>
      <c r="D140" s="209" t="s">
        <v>48</v>
      </c>
      <c r="E140" s="209" t="str">
        <f t="shared" si="11"/>
        <v>USD_YC1YRH_AM12LBASIS7Y</v>
      </c>
      <c r="F140" s="210">
        <f>_xll.qlRateHelperQuoteValue($E140,Trigger)</f>
        <v>2.5251902652180296E-2</v>
      </c>
      <c r="G140" s="210">
        <f>_xll.qlSwapRateHelperSpread($E140,Trigger)</f>
        <v>0</v>
      </c>
      <c r="H140" s="211" t="b">
        <v>1</v>
      </c>
      <c r="I140" s="211">
        <v>40</v>
      </c>
      <c r="J140" s="211">
        <v>1</v>
      </c>
      <c r="K140" s="200">
        <f>_xll.qlRateHelperEarliestDate($E140,Trigger)</f>
        <v>41767</v>
      </c>
      <c r="L140" s="212">
        <f>_xll.qlRateHelperLatestDate($E140,Trigger)</f>
        <v>44326</v>
      </c>
    </row>
    <row r="141" spans="2:14" x14ac:dyDescent="0.25">
      <c r="B141" s="220" t="str">
        <f t="shared" si="9"/>
        <v>AM</v>
      </c>
      <c r="C141" s="208" t="str">
        <f t="shared" si="10"/>
        <v>12LBASIS</v>
      </c>
      <c r="D141" s="209" t="s">
        <v>49</v>
      </c>
      <c r="E141" s="209" t="str">
        <f t="shared" si="11"/>
        <v>USD_YC1YRH_AM12LBASIS8Y</v>
      </c>
      <c r="F141" s="210">
        <f>_xll.qlRateHelperQuoteValue($E141,Trigger)</f>
        <v>2.6973097567343878E-2</v>
      </c>
      <c r="G141" s="210">
        <f>_xll.qlSwapRateHelperSpread($E141,Trigger)</f>
        <v>0</v>
      </c>
      <c r="H141" s="211" t="b">
        <v>1</v>
      </c>
      <c r="I141" s="211">
        <v>40</v>
      </c>
      <c r="J141" s="211">
        <v>1</v>
      </c>
      <c r="K141" s="200">
        <f>_xll.qlRateHelperEarliestDate($E141,Trigger)</f>
        <v>41767</v>
      </c>
      <c r="L141" s="212">
        <f>_xll.qlRateHelperLatestDate($E141,Trigger)</f>
        <v>44690</v>
      </c>
    </row>
    <row r="142" spans="2:14" x14ac:dyDescent="0.25">
      <c r="B142" s="220" t="str">
        <f t="shared" si="9"/>
        <v>AM</v>
      </c>
      <c r="C142" s="208" t="str">
        <f t="shared" si="10"/>
        <v>12LBASIS</v>
      </c>
      <c r="D142" s="209" t="s">
        <v>50</v>
      </c>
      <c r="E142" s="209" t="str">
        <f t="shared" si="11"/>
        <v>USD_YC1YRH_AM12LBASIS9Y</v>
      </c>
      <c r="F142" s="210">
        <f>_xll.qlRateHelperQuoteValue($E142,Trigger)</f>
        <v>2.8404137730848881E-2</v>
      </c>
      <c r="G142" s="210">
        <f>_xll.qlSwapRateHelperSpread($E142,Trigger)</f>
        <v>0</v>
      </c>
      <c r="H142" s="211" t="b">
        <v>1</v>
      </c>
      <c r="I142" s="211">
        <v>40</v>
      </c>
      <c r="J142" s="211">
        <v>1</v>
      </c>
      <c r="K142" s="200">
        <f>_xll.qlRateHelperEarliestDate($E142,Trigger)</f>
        <v>41767</v>
      </c>
      <c r="L142" s="212">
        <f>_xll.qlRateHelperLatestDate($E142,Trigger)</f>
        <v>45054</v>
      </c>
    </row>
    <row r="143" spans="2:14" x14ac:dyDescent="0.25">
      <c r="B143" s="220" t="str">
        <f t="shared" si="9"/>
        <v>AM</v>
      </c>
      <c r="C143" s="208" t="str">
        <f t="shared" si="10"/>
        <v>12LBASIS</v>
      </c>
      <c r="D143" s="209" t="s">
        <v>51</v>
      </c>
      <c r="E143" s="209" t="str">
        <f t="shared" si="11"/>
        <v>USD_YC1YRH_AM12LBASIS10Y</v>
      </c>
      <c r="F143" s="210">
        <f>_xll.qlRateHelperQuoteValue($E143,Trigger)</f>
        <v>2.9604958208334808E-2</v>
      </c>
      <c r="G143" s="210">
        <f>_xll.qlSwapRateHelperSpread($E143,Trigger)</f>
        <v>0</v>
      </c>
      <c r="H143" s="211" t="b">
        <v>1</v>
      </c>
      <c r="I143" s="211">
        <v>40</v>
      </c>
      <c r="J143" s="211">
        <v>1</v>
      </c>
      <c r="K143" s="200">
        <f>_xll.qlRateHelperEarliestDate($E143,Trigger)</f>
        <v>41767</v>
      </c>
      <c r="L143" s="212">
        <f>_xll.qlRateHelperLatestDate($E143,Trigger)</f>
        <v>45420</v>
      </c>
    </row>
    <row r="144" spans="2:14" x14ac:dyDescent="0.25">
      <c r="B144" s="220" t="str">
        <f t="shared" si="9"/>
        <v>AM</v>
      </c>
      <c r="C144" s="208" t="str">
        <f t="shared" si="10"/>
        <v>12LBASIS</v>
      </c>
      <c r="D144" s="209" t="s">
        <v>59</v>
      </c>
      <c r="E144" s="209" t="str">
        <f t="shared" si="11"/>
        <v>USD_YC1YRH_AM12LBASIS11Y</v>
      </c>
      <c r="F144" s="210">
        <f>_xll.qlRateHelperQuoteValue($E144,Trigger)</f>
        <v>3.0644274210573422E-2</v>
      </c>
      <c r="G144" s="210">
        <f>_xll.qlSwapRateHelperSpread($E144,Trigger)</f>
        <v>0</v>
      </c>
      <c r="H144" s="211" t="b">
        <v>1</v>
      </c>
      <c r="I144" s="211">
        <v>40</v>
      </c>
      <c r="J144" s="211">
        <v>1</v>
      </c>
      <c r="K144" s="200">
        <f>_xll.qlRateHelperEarliestDate($E144,Trigger)</f>
        <v>41767</v>
      </c>
      <c r="L144" s="212">
        <f>_xll.qlRateHelperLatestDate($E144,Trigger)</f>
        <v>45785</v>
      </c>
    </row>
    <row r="145" spans="2:12" x14ac:dyDescent="0.25">
      <c r="B145" s="220" t="str">
        <f t="shared" si="9"/>
        <v>AM</v>
      </c>
      <c r="C145" s="208" t="str">
        <f t="shared" si="10"/>
        <v>12LBASIS</v>
      </c>
      <c r="D145" s="209" t="s">
        <v>60</v>
      </c>
      <c r="E145" s="209" t="str">
        <f t="shared" si="11"/>
        <v>USD_YC1YRH_AM12LBASIS12Y</v>
      </c>
      <c r="F145" s="210">
        <f>_xll.qlRateHelperQuoteValue($E145,Trigger)</f>
        <v>3.1536209869758365E-2</v>
      </c>
      <c r="G145" s="210">
        <f>_xll.qlSwapRateHelperSpread($E145,Trigger)</f>
        <v>0</v>
      </c>
      <c r="H145" s="211" t="b">
        <v>1</v>
      </c>
      <c r="I145" s="211">
        <v>40</v>
      </c>
      <c r="J145" s="211">
        <v>1</v>
      </c>
      <c r="K145" s="200">
        <f>_xll.qlRateHelperEarliestDate($E145,Trigger)</f>
        <v>41767</v>
      </c>
      <c r="L145" s="212">
        <f>_xll.qlRateHelperLatestDate($E145,Trigger)</f>
        <v>46150</v>
      </c>
    </row>
    <row r="146" spans="2:12" x14ac:dyDescent="0.25">
      <c r="B146" s="220" t="str">
        <f t="shared" si="9"/>
        <v>AM</v>
      </c>
      <c r="C146" s="208" t="str">
        <f t="shared" si="10"/>
        <v>12LBASIS</v>
      </c>
      <c r="D146" s="209" t="s">
        <v>61</v>
      </c>
      <c r="E146" s="209" t="str">
        <f t="shared" si="11"/>
        <v>USD_YC1YRH_AM12LBASIS13Y</v>
      </c>
      <c r="F146" s="210">
        <f>_xll.qlRateHelperQuoteValue($E146,Trigger)</f>
        <v>3.2285065995052376E-2</v>
      </c>
      <c r="G146" s="210">
        <f>_xll.qlSwapRateHelperSpread($E146,Trigger)</f>
        <v>0</v>
      </c>
      <c r="H146" s="211" t="b">
        <v>1</v>
      </c>
      <c r="I146" s="211">
        <v>40</v>
      </c>
      <c r="J146" s="211">
        <v>1</v>
      </c>
      <c r="K146" s="200">
        <f>_xll.qlRateHelperEarliestDate($E146,Trigger)</f>
        <v>41767</v>
      </c>
      <c r="L146" s="212">
        <f>_xll.qlRateHelperLatestDate($E146,Trigger)</f>
        <v>46517</v>
      </c>
    </row>
    <row r="147" spans="2:12" x14ac:dyDescent="0.25">
      <c r="B147" s="220" t="str">
        <f t="shared" si="9"/>
        <v>AM</v>
      </c>
      <c r="C147" s="208" t="str">
        <f t="shared" si="10"/>
        <v>12LBASIS</v>
      </c>
      <c r="D147" s="209" t="s">
        <v>62</v>
      </c>
      <c r="E147" s="209" t="str">
        <f t="shared" si="11"/>
        <v>USD_YC1YRH_AM12LBASIS14Y</v>
      </c>
      <c r="F147" s="210">
        <f>_xll.qlRateHelperQuoteValue($E147,Trigger)</f>
        <v>3.2904827933025932E-2</v>
      </c>
      <c r="G147" s="210">
        <f>_xll.qlSwapRateHelperSpread($E147,Trigger)</f>
        <v>0</v>
      </c>
      <c r="H147" s="211" t="b">
        <v>1</v>
      </c>
      <c r="I147" s="211">
        <v>40</v>
      </c>
      <c r="J147" s="211">
        <v>1</v>
      </c>
      <c r="K147" s="200">
        <f>_xll.qlRateHelperEarliestDate($E147,Trigger)</f>
        <v>41767</v>
      </c>
      <c r="L147" s="212">
        <f>_xll.qlRateHelperLatestDate($E147,Trigger)</f>
        <v>46881</v>
      </c>
    </row>
    <row r="148" spans="2:12" x14ac:dyDescent="0.25">
      <c r="B148" s="220" t="str">
        <f t="shared" si="9"/>
        <v>AM</v>
      </c>
      <c r="C148" s="208" t="str">
        <f t="shared" si="10"/>
        <v>12LBASIS</v>
      </c>
      <c r="D148" s="209" t="s">
        <v>52</v>
      </c>
      <c r="E148" s="209" t="str">
        <f t="shared" si="11"/>
        <v>USD_YC1YRH_AM12LBASIS15Y</v>
      </c>
      <c r="F148" s="210">
        <f>_xll.qlRateHelperQuoteValue($E148,Trigger)</f>
        <v>3.3427469568297362E-2</v>
      </c>
      <c r="G148" s="210">
        <f>_xll.qlSwapRateHelperSpread($E148,Trigger)</f>
        <v>0</v>
      </c>
      <c r="H148" s="211" t="b">
        <v>1</v>
      </c>
      <c r="I148" s="211">
        <v>40</v>
      </c>
      <c r="J148" s="211">
        <v>1</v>
      </c>
      <c r="K148" s="200">
        <f>_xll.qlRateHelperEarliestDate($E148,Trigger)</f>
        <v>41767</v>
      </c>
      <c r="L148" s="212">
        <f>_xll.qlRateHelperLatestDate($E148,Trigger)</f>
        <v>47246</v>
      </c>
    </row>
    <row r="149" spans="2:12" x14ac:dyDescent="0.25">
      <c r="B149" s="220" t="str">
        <f t="shared" si="9"/>
        <v>AM</v>
      </c>
      <c r="C149" s="208" t="str">
        <f t="shared" si="10"/>
        <v>12LBASIS</v>
      </c>
      <c r="D149" s="209" t="s">
        <v>63</v>
      </c>
      <c r="E149" s="209" t="str">
        <f t="shared" si="11"/>
        <v>USD_YC1YRH_AM12LBASIS16Y</v>
      </c>
      <c r="F149" s="210">
        <f>_xll.qlRateHelperQuoteValue($E149,Trigger)</f>
        <v>3.3868974085724146E-2</v>
      </c>
      <c r="G149" s="210">
        <f>_xll.qlSwapRateHelperSpread($E149,Trigger)</f>
        <v>0</v>
      </c>
      <c r="H149" s="211" t="b">
        <v>1</v>
      </c>
      <c r="I149" s="211">
        <v>40</v>
      </c>
      <c r="J149" s="211">
        <v>1</v>
      </c>
      <c r="K149" s="200">
        <f>_xll.qlRateHelperEarliestDate($E149,Trigger)</f>
        <v>41767</v>
      </c>
      <c r="L149" s="212">
        <f>_xll.qlRateHelperLatestDate($E149,Trigger)</f>
        <v>47611</v>
      </c>
    </row>
    <row r="150" spans="2:12" x14ac:dyDescent="0.25">
      <c r="B150" s="220" t="str">
        <f t="shared" si="9"/>
        <v>AM</v>
      </c>
      <c r="C150" s="208" t="str">
        <f t="shared" si="10"/>
        <v>12LBASIS</v>
      </c>
      <c r="D150" s="209" t="s">
        <v>64</v>
      </c>
      <c r="E150" s="209" t="str">
        <f t="shared" si="11"/>
        <v>USD_YC1YRH_AM12LBASIS17Y</v>
      </c>
      <c r="F150" s="210">
        <f>_xll.qlRateHelperQuoteValue($E150,Trigger)</f>
        <v>3.4243803059742083E-2</v>
      </c>
      <c r="G150" s="210">
        <f>_xll.qlSwapRateHelperSpread($E150,Trigger)</f>
        <v>0</v>
      </c>
      <c r="H150" s="211" t="b">
        <v>1</v>
      </c>
      <c r="I150" s="211">
        <v>40</v>
      </c>
      <c r="J150" s="211">
        <v>1</v>
      </c>
      <c r="K150" s="200">
        <f>_xll.qlRateHelperEarliestDate($E150,Trigger)</f>
        <v>41767</v>
      </c>
      <c r="L150" s="212">
        <f>_xll.qlRateHelperLatestDate($E150,Trigger)</f>
        <v>47976</v>
      </c>
    </row>
    <row r="151" spans="2:12" x14ac:dyDescent="0.25">
      <c r="B151" s="220" t="str">
        <f t="shared" si="9"/>
        <v>AM</v>
      </c>
      <c r="C151" s="208" t="str">
        <f t="shared" si="10"/>
        <v>12LBASIS</v>
      </c>
      <c r="D151" s="209" t="s">
        <v>65</v>
      </c>
      <c r="E151" s="209" t="str">
        <f t="shared" si="11"/>
        <v>USD_YC1YRH_AM12LBASIS18Y</v>
      </c>
      <c r="F151" s="210">
        <f>_xll.qlRateHelperQuoteValue($E151,Trigger)</f>
        <v>3.4565813013001559E-2</v>
      </c>
      <c r="G151" s="210">
        <f>_xll.qlSwapRateHelperSpread($E151,Trigger)</f>
        <v>0</v>
      </c>
      <c r="H151" s="211" t="b">
        <v>1</v>
      </c>
      <c r="I151" s="211">
        <v>40</v>
      </c>
      <c r="J151" s="211">
        <v>1</v>
      </c>
      <c r="K151" s="200">
        <f>_xll.qlRateHelperEarliestDate($E151,Trigger)</f>
        <v>41767</v>
      </c>
      <c r="L151" s="212">
        <f>_xll.qlRateHelperLatestDate($E151,Trigger)</f>
        <v>48344</v>
      </c>
    </row>
    <row r="152" spans="2:12" x14ac:dyDescent="0.25">
      <c r="B152" s="220" t="str">
        <f t="shared" si="9"/>
        <v>AM</v>
      </c>
      <c r="C152" s="208" t="str">
        <f t="shared" si="10"/>
        <v>12LBASIS</v>
      </c>
      <c r="D152" s="209" t="s">
        <v>66</v>
      </c>
      <c r="E152" s="209" t="str">
        <f t="shared" si="11"/>
        <v>USD_YC1YRH_AM12LBASIS19Y</v>
      </c>
      <c r="F152" s="210">
        <f>_xll.qlRateHelperQuoteValue($E152,Trigger)</f>
        <v>3.4837089979075253E-2</v>
      </c>
      <c r="G152" s="210">
        <f>_xll.qlSwapRateHelperSpread($E152,Trigger)</f>
        <v>0</v>
      </c>
      <c r="H152" s="211" t="b">
        <v>1</v>
      </c>
      <c r="I152" s="211">
        <v>40</v>
      </c>
      <c r="J152" s="211">
        <v>1</v>
      </c>
      <c r="K152" s="200">
        <f>_xll.qlRateHelperEarliestDate($E152,Trigger)</f>
        <v>41767</v>
      </c>
      <c r="L152" s="212">
        <f>_xll.qlRateHelperLatestDate($E152,Trigger)</f>
        <v>48708</v>
      </c>
    </row>
    <row r="153" spans="2:12" x14ac:dyDescent="0.25">
      <c r="B153" s="220" t="str">
        <f t="shared" si="9"/>
        <v>AM</v>
      </c>
      <c r="C153" s="208" t="str">
        <f t="shared" si="10"/>
        <v>12LBASIS</v>
      </c>
      <c r="D153" s="209" t="s">
        <v>53</v>
      </c>
      <c r="E153" s="209" t="str">
        <f t="shared" si="11"/>
        <v>USD_YC1YRH_AM12LBASIS20Y</v>
      </c>
      <c r="F153" s="210">
        <f>_xll.qlRateHelperQuoteValue($E153,Trigger)</f>
        <v>3.5068432399825419E-2</v>
      </c>
      <c r="G153" s="210">
        <f>_xll.qlSwapRateHelperSpread($E153,Trigger)</f>
        <v>0</v>
      </c>
      <c r="H153" s="211" t="b">
        <v>1</v>
      </c>
      <c r="I153" s="211">
        <v>40</v>
      </c>
      <c r="J153" s="211">
        <v>1</v>
      </c>
      <c r="K153" s="200">
        <f>_xll.qlRateHelperEarliestDate($E153,Trigger)</f>
        <v>41767</v>
      </c>
      <c r="L153" s="212">
        <f>_xll.qlRateHelperLatestDate($E153,Trigger)</f>
        <v>49072</v>
      </c>
    </row>
    <row r="154" spans="2:12" x14ac:dyDescent="0.25">
      <c r="B154" s="220" t="str">
        <f t="shared" si="9"/>
        <v>AM</v>
      </c>
      <c r="C154" s="208" t="str">
        <f t="shared" si="10"/>
        <v>12LBASIS</v>
      </c>
      <c r="D154" s="209" t="s">
        <v>67</v>
      </c>
      <c r="E154" s="209" t="str">
        <f t="shared" si="11"/>
        <v>USD_YC1YRH_AM12LBASIS21Y</v>
      </c>
      <c r="F154" s="210">
        <f>_xll.qlRateHelperQuoteValue($E154,Trigger)</f>
        <v>3.526579742212485E-2</v>
      </c>
      <c r="G154" s="210">
        <f>_xll.qlSwapRateHelperSpread($E154,Trigger)</f>
        <v>0</v>
      </c>
      <c r="H154" s="211" t="b">
        <v>1</v>
      </c>
      <c r="I154" s="211">
        <v>40</v>
      </c>
      <c r="J154" s="211">
        <v>1</v>
      </c>
      <c r="K154" s="200">
        <f>_xll.qlRateHelperEarliestDate($E154,Trigger)</f>
        <v>41767</v>
      </c>
      <c r="L154" s="212">
        <f>_xll.qlRateHelperLatestDate($E154,Trigger)</f>
        <v>49437</v>
      </c>
    </row>
    <row r="155" spans="2:12" x14ac:dyDescent="0.25">
      <c r="B155" s="220" t="str">
        <f t="shared" si="9"/>
        <v>AM</v>
      </c>
      <c r="C155" s="208" t="str">
        <f t="shared" si="10"/>
        <v>12LBASIS</v>
      </c>
      <c r="D155" s="209" t="s">
        <v>68</v>
      </c>
      <c r="E155" s="209" t="str">
        <f t="shared" si="11"/>
        <v>USD_YC1YRH_AM12LBASIS22Y</v>
      </c>
      <c r="F155" s="210">
        <f>_xll.qlRateHelperQuoteValue($E155,Trigger)</f>
        <v>3.5433935865624849E-2</v>
      </c>
      <c r="G155" s="210">
        <f>_xll.qlSwapRateHelperSpread($E155,Trigger)</f>
        <v>0</v>
      </c>
      <c r="H155" s="211" t="b">
        <v>1</v>
      </c>
      <c r="I155" s="211">
        <v>40</v>
      </c>
      <c r="J155" s="211">
        <v>1</v>
      </c>
      <c r="K155" s="200">
        <f>_xll.qlRateHelperEarliestDate($E155,Trigger)</f>
        <v>41767</v>
      </c>
      <c r="L155" s="212">
        <f>_xll.qlRateHelperLatestDate($E155,Trigger)</f>
        <v>49803</v>
      </c>
    </row>
    <row r="156" spans="2:12" x14ac:dyDescent="0.25">
      <c r="B156" s="220" t="str">
        <f t="shared" si="9"/>
        <v>AM</v>
      </c>
      <c r="C156" s="208" t="str">
        <f t="shared" si="10"/>
        <v>12LBASIS</v>
      </c>
      <c r="D156" s="209" t="s">
        <v>69</v>
      </c>
      <c r="E156" s="209" t="str">
        <f t="shared" si="11"/>
        <v>USD_YC1YRH_AM12LBASIS23Y</v>
      </c>
      <c r="F156" s="210">
        <f>_xll.qlRateHelperQuoteValue($E156,Trigger)</f>
        <v>3.5576131197136637E-2</v>
      </c>
      <c r="G156" s="210">
        <f>_xll.qlSwapRateHelperSpread($E156,Trigger)</f>
        <v>0</v>
      </c>
      <c r="H156" s="211" t="b">
        <v>1</v>
      </c>
      <c r="I156" s="211">
        <v>40</v>
      </c>
      <c r="J156" s="211">
        <v>1</v>
      </c>
      <c r="K156" s="200">
        <f>_xll.qlRateHelperEarliestDate($E156,Trigger)</f>
        <v>41767</v>
      </c>
      <c r="L156" s="212">
        <f>_xll.qlRateHelperLatestDate($E156,Trigger)</f>
        <v>50168</v>
      </c>
    </row>
    <row r="157" spans="2:12" x14ac:dyDescent="0.25">
      <c r="B157" s="220" t="str">
        <f t="shared" si="9"/>
        <v>AM</v>
      </c>
      <c r="C157" s="208" t="str">
        <f t="shared" si="10"/>
        <v>12LBASIS</v>
      </c>
      <c r="D157" s="209" t="s">
        <v>70</v>
      </c>
      <c r="E157" s="209" t="str">
        <f t="shared" si="11"/>
        <v>USD_YC1YRH_AM12LBASIS24Y</v>
      </c>
      <c r="F157" s="210">
        <f>_xll.qlRateHelperQuoteValue($E157,Trigger)</f>
        <v>3.5697323915741271E-2</v>
      </c>
      <c r="G157" s="210">
        <f>_xll.qlSwapRateHelperSpread($E157,Trigger)</f>
        <v>0</v>
      </c>
      <c r="H157" s="211" t="b">
        <v>1</v>
      </c>
      <c r="I157" s="211">
        <v>40</v>
      </c>
      <c r="J157" s="211">
        <v>1</v>
      </c>
      <c r="K157" s="200">
        <f>_xll.qlRateHelperEarliestDate($E157,Trigger)</f>
        <v>41767</v>
      </c>
      <c r="L157" s="212">
        <f>_xll.qlRateHelperLatestDate($E157,Trigger)</f>
        <v>50535</v>
      </c>
    </row>
    <row r="158" spans="2:12" x14ac:dyDescent="0.25">
      <c r="B158" s="220" t="str">
        <f t="shared" si="9"/>
        <v>AM</v>
      </c>
      <c r="C158" s="208" t="str">
        <f t="shared" si="10"/>
        <v>12LBASIS</v>
      </c>
      <c r="D158" s="209" t="s">
        <v>71</v>
      </c>
      <c r="E158" s="209" t="str">
        <f t="shared" si="11"/>
        <v>USD_YC1YRH_AM12LBASIS25Y</v>
      </c>
      <c r="F158" s="210">
        <f>_xll.qlRateHelperQuoteValue($E158,Trigger)</f>
        <v>3.5798722857953852E-2</v>
      </c>
      <c r="G158" s="210">
        <f>_xll.qlSwapRateHelperSpread($E158,Trigger)</f>
        <v>0</v>
      </c>
      <c r="H158" s="211" t="b">
        <v>1</v>
      </c>
      <c r="I158" s="211">
        <v>40</v>
      </c>
      <c r="J158" s="211">
        <v>1</v>
      </c>
      <c r="K158" s="200">
        <f>_xll.qlRateHelperEarliestDate($E158,Trigger)</f>
        <v>41767</v>
      </c>
      <c r="L158" s="212">
        <f>_xll.qlRateHelperLatestDate($E158,Trigger)</f>
        <v>50899</v>
      </c>
    </row>
    <row r="159" spans="2:12" x14ac:dyDescent="0.25">
      <c r="B159" s="220" t="str">
        <f t="shared" si="9"/>
        <v>AM</v>
      </c>
      <c r="C159" s="208" t="str">
        <f t="shared" si="10"/>
        <v>12LBASIS</v>
      </c>
      <c r="D159" s="209" t="s">
        <v>72</v>
      </c>
      <c r="E159" s="209" t="str">
        <f t="shared" si="11"/>
        <v>USD_YC1YRH_AM12LBASIS26Y</v>
      </c>
      <c r="F159" s="210">
        <f>_xll.qlRateHelperQuoteValue($E159,Trigger)</f>
        <v>3.5884583098660196E-2</v>
      </c>
      <c r="G159" s="210">
        <f>_xll.qlSwapRateHelperSpread($E159,Trigger)</f>
        <v>0</v>
      </c>
      <c r="H159" s="211" t="b">
        <v>1</v>
      </c>
      <c r="I159" s="211">
        <v>40</v>
      </c>
      <c r="J159" s="211">
        <v>1</v>
      </c>
      <c r="K159" s="200">
        <f>_xll.qlRateHelperEarliestDate($E159,Trigger)</f>
        <v>41767</v>
      </c>
      <c r="L159" s="212">
        <f>_xll.qlRateHelperLatestDate($E159,Trigger)</f>
        <v>51264</v>
      </c>
    </row>
    <row r="160" spans="2:12" x14ac:dyDescent="0.25">
      <c r="B160" s="220" t="str">
        <f t="shared" si="9"/>
        <v>AM</v>
      </c>
      <c r="C160" s="208" t="str">
        <f t="shared" si="10"/>
        <v>12LBASIS</v>
      </c>
      <c r="D160" s="209" t="s">
        <v>73</v>
      </c>
      <c r="E160" s="209" t="str">
        <f t="shared" si="11"/>
        <v>USD_YC1YRH_AM12LBASIS27Y</v>
      </c>
      <c r="F160" s="210">
        <f>_xll.qlRateHelperQuoteValue($E160,Trigger)</f>
        <v>3.5957285142990715E-2</v>
      </c>
      <c r="G160" s="210">
        <f>_xll.qlSwapRateHelperSpread($E160,Trigger)</f>
        <v>0</v>
      </c>
      <c r="H160" s="211" t="b">
        <v>1</v>
      </c>
      <c r="I160" s="211">
        <v>40</v>
      </c>
      <c r="J160" s="211">
        <v>1</v>
      </c>
      <c r="K160" s="200">
        <f>_xll.qlRateHelperEarliestDate($E160,Trigger)</f>
        <v>41767</v>
      </c>
      <c r="L160" s="212">
        <f>_xll.qlRateHelperLatestDate($E160,Trigger)</f>
        <v>51629</v>
      </c>
    </row>
    <row r="161" spans="2:12" x14ac:dyDescent="0.25">
      <c r="B161" s="220" t="str">
        <f t="shared" ref="B161:B167" si="12">SwapFixedFreq</f>
        <v>AM</v>
      </c>
      <c r="C161" s="208" t="str">
        <f t="shared" si="10"/>
        <v>12LBASIS</v>
      </c>
      <c r="D161" s="209" t="s">
        <v>74</v>
      </c>
      <c r="E161" s="209" t="str">
        <f t="shared" si="11"/>
        <v>USD_YC1YRH_AM12LBASIS28Y</v>
      </c>
      <c r="F161" s="210">
        <f>_xll.qlRateHelperQuoteValue($E161,Trigger)</f>
        <v>3.6019212784798353E-2</v>
      </c>
      <c r="G161" s="210">
        <f>_xll.qlSwapRateHelperSpread($E161,Trigger)</f>
        <v>0</v>
      </c>
      <c r="H161" s="211" t="b">
        <v>1</v>
      </c>
      <c r="I161" s="211">
        <v>40</v>
      </c>
      <c r="J161" s="211">
        <v>1</v>
      </c>
      <c r="K161" s="200">
        <f>_xll.qlRateHelperEarliestDate($E161,Trigger)</f>
        <v>41767</v>
      </c>
      <c r="L161" s="212">
        <f>_xll.qlRateHelperLatestDate($E161,Trigger)</f>
        <v>51994</v>
      </c>
    </row>
    <row r="162" spans="2:12" x14ac:dyDescent="0.25">
      <c r="B162" s="220" t="str">
        <f t="shared" si="12"/>
        <v>AM</v>
      </c>
      <c r="C162" s="208" t="str">
        <f t="shared" si="10"/>
        <v>12LBASIS</v>
      </c>
      <c r="D162" s="209" t="s">
        <v>75</v>
      </c>
      <c r="E162" s="209" t="str">
        <f t="shared" si="11"/>
        <v>USD_YC1YRH_AM12LBASIS29Y</v>
      </c>
      <c r="F162" s="210">
        <f>_xll.qlRateHelperQuoteValue($E162,Trigger)</f>
        <v>3.6072356253144637E-2</v>
      </c>
      <c r="G162" s="210">
        <f>_xll.qlSwapRateHelperSpread($E162,Trigger)</f>
        <v>0</v>
      </c>
      <c r="H162" s="211" t="b">
        <v>1</v>
      </c>
      <c r="I162" s="211">
        <v>40</v>
      </c>
      <c r="J162" s="211">
        <v>1</v>
      </c>
      <c r="K162" s="200">
        <f>_xll.qlRateHelperEarliestDate($E162,Trigger)</f>
        <v>41767</v>
      </c>
      <c r="L162" s="212">
        <f>_xll.qlRateHelperLatestDate($E162,Trigger)</f>
        <v>52359</v>
      </c>
    </row>
    <row r="163" spans="2:12" x14ac:dyDescent="0.25">
      <c r="B163" s="220" t="str">
        <f t="shared" si="12"/>
        <v>AM</v>
      </c>
      <c r="C163" s="208" t="str">
        <f t="shared" si="10"/>
        <v>12LBASIS</v>
      </c>
      <c r="D163" s="209" t="s">
        <v>54</v>
      </c>
      <c r="E163" s="209" t="str">
        <f t="shared" si="11"/>
        <v>USD_YC1YRH_AM12LBASIS30Y</v>
      </c>
      <c r="F163" s="210">
        <f>_xll.qlRateHelperQuoteValue($E163,Trigger)</f>
        <v>3.6118699176771234E-2</v>
      </c>
      <c r="G163" s="210">
        <f>_xll.qlSwapRateHelperSpread($E163,Trigger)</f>
        <v>0</v>
      </c>
      <c r="H163" s="211" t="b">
        <v>1</v>
      </c>
      <c r="I163" s="211">
        <v>40</v>
      </c>
      <c r="J163" s="211">
        <v>1</v>
      </c>
      <c r="K163" s="200">
        <f>_xll.qlRateHelperEarliestDate($E163,Trigger)</f>
        <v>41767</v>
      </c>
      <c r="L163" s="212">
        <f>_xll.qlRateHelperLatestDate($E163,Trigger)</f>
        <v>52726</v>
      </c>
    </row>
    <row r="164" spans="2:12" x14ac:dyDescent="0.25">
      <c r="B164" s="220" t="str">
        <f t="shared" si="12"/>
        <v>AM</v>
      </c>
      <c r="C164" s="208" t="str">
        <f t="shared" si="10"/>
        <v>12LBASIS</v>
      </c>
      <c r="D164" s="209" t="s">
        <v>76</v>
      </c>
      <c r="E164" s="209" t="str">
        <f t="shared" si="11"/>
        <v>USD_YC1YRH_AM12LBASIS35Y</v>
      </c>
      <c r="F164" s="210">
        <f>_xll.qlRateHelperQuoteValue($E164,Trigger)</f>
        <v>3.6280892599598713E-2</v>
      </c>
      <c r="G164" s="210">
        <f>_xll.qlSwapRateHelperSpread($E164,Trigger)</f>
        <v>0</v>
      </c>
      <c r="H164" s="211" t="b">
        <v>1</v>
      </c>
      <c r="I164" s="211">
        <v>40</v>
      </c>
      <c r="J164" s="211">
        <v>1</v>
      </c>
      <c r="K164" s="200">
        <f>_xll.qlRateHelperEarliestDate($E164,Trigger)</f>
        <v>41767</v>
      </c>
      <c r="L164" s="212">
        <f>_xll.qlRateHelperLatestDate($E164,Trigger)</f>
        <v>54553</v>
      </c>
    </row>
    <row r="165" spans="2:12" x14ac:dyDescent="0.25">
      <c r="B165" s="220" t="str">
        <f t="shared" si="12"/>
        <v>AM</v>
      </c>
      <c r="C165" s="208" t="str">
        <f t="shared" si="10"/>
        <v>12LBASIS</v>
      </c>
      <c r="D165" s="209" t="s">
        <v>77</v>
      </c>
      <c r="E165" s="209" t="str">
        <f t="shared" si="11"/>
        <v>USD_YC1YRH_AM12LBASIS40Y</v>
      </c>
      <c r="F165" s="210">
        <f>_xll.qlRateHelperQuoteValue($E165,Trigger)</f>
        <v>3.6308765565225984E-2</v>
      </c>
      <c r="G165" s="210">
        <f>_xll.qlSwapRateHelperSpread($E165,Trigger)</f>
        <v>0</v>
      </c>
      <c r="H165" s="211" t="b">
        <v>1</v>
      </c>
      <c r="I165" s="211">
        <v>40</v>
      </c>
      <c r="J165" s="211">
        <v>1</v>
      </c>
      <c r="K165" s="200">
        <f>_xll.qlRateHelperEarliestDate($E165,Trigger)</f>
        <v>41767</v>
      </c>
      <c r="L165" s="212">
        <f>_xll.qlRateHelperLatestDate($E165,Trigger)</f>
        <v>56377</v>
      </c>
    </row>
    <row r="166" spans="2:12" x14ac:dyDescent="0.25">
      <c r="B166" s="220" t="str">
        <f t="shared" si="12"/>
        <v>AM</v>
      </c>
      <c r="C166" s="208" t="str">
        <f t="shared" si="10"/>
        <v>12LBASIS</v>
      </c>
      <c r="D166" s="209" t="s">
        <v>78</v>
      </c>
      <c r="E166" s="209" t="str">
        <f t="shared" si="11"/>
        <v>USD_YC1YRH_AM12LBASIS50Y</v>
      </c>
      <c r="F166" s="210">
        <f>_xll.qlRateHelperQuoteValue($E166,Trigger)</f>
        <v>3.6118569348858987E-2</v>
      </c>
      <c r="G166" s="210">
        <f>_xll.qlSwapRateHelperSpread($E166,Trigger)</f>
        <v>0</v>
      </c>
      <c r="H166" s="211" t="b">
        <v>1</v>
      </c>
      <c r="I166" s="211">
        <v>40</v>
      </c>
      <c r="J166" s="211">
        <v>1</v>
      </c>
      <c r="K166" s="200">
        <f>_xll.qlRateHelperEarliestDate($E166,Trigger)</f>
        <v>41767</v>
      </c>
      <c r="L166" s="212">
        <f>_xll.qlRateHelperLatestDate($E166,Trigger)</f>
        <v>60030</v>
      </c>
    </row>
    <row r="167" spans="2:12" x14ac:dyDescent="0.25">
      <c r="B167" s="221" t="str">
        <f t="shared" si="12"/>
        <v>AM</v>
      </c>
      <c r="C167" s="214" t="str">
        <f t="shared" si="10"/>
        <v>12LBASIS</v>
      </c>
      <c r="D167" s="215" t="s">
        <v>79</v>
      </c>
      <c r="E167" s="215" t="str">
        <f t="shared" si="11"/>
        <v>USD_YC1YRH_AM12LBASIS60Y</v>
      </c>
      <c r="F167" s="216">
        <f>_xll.qlRateHelperQuoteValue($E167,Trigger)</f>
        <v>3.5946530111941349E-2</v>
      </c>
      <c r="G167" s="216">
        <f>_xll.qlSwapRateHelperSpread($E167,Trigger)</f>
        <v>0</v>
      </c>
      <c r="H167" s="217" t="b">
        <v>0</v>
      </c>
      <c r="I167" s="217">
        <v>40</v>
      </c>
      <c r="J167" s="217">
        <v>1</v>
      </c>
      <c r="K167" s="218">
        <f>_xll.qlRateHelperEarliestDate($E167,Trigger)</f>
        <v>41767</v>
      </c>
      <c r="L167" s="219">
        <f>_xll.qlRateHelperLatestDate($E167,Trigger)</f>
        <v>63682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28.140625" style="182" bestFit="1" customWidth="1"/>
    <col min="2" max="2" width="9" style="182" bestFit="1" customWidth="1"/>
    <col min="3" max="3" width="6.7109375" style="182" customWidth="1"/>
    <col min="4" max="4" width="25.5703125" style="199" bestFit="1" customWidth="1"/>
    <col min="5" max="6" width="8" style="199" bestFit="1" customWidth="1"/>
    <col min="7" max="7" width="17.28515625" style="199" bestFit="1" customWidth="1"/>
    <col min="8" max="8" width="17.42578125" style="199" bestFit="1" customWidth="1"/>
    <col min="9" max="9" width="12" style="182" bestFit="1" customWidth="1"/>
    <col min="10" max="16384" width="9.140625" style="182"/>
  </cols>
  <sheetData>
    <row r="1" spans="1:9" ht="24.75" customHeight="1" thickBot="1" x14ac:dyDescent="0.25">
      <c r="A1" s="244" t="s">
        <v>36</v>
      </c>
      <c r="B1" s="245"/>
      <c r="D1" s="183" t="s">
        <v>35</v>
      </c>
      <c r="E1" s="184" t="s">
        <v>31</v>
      </c>
      <c r="F1" s="184"/>
      <c r="G1" s="184" t="s">
        <v>0</v>
      </c>
      <c r="H1" s="185" t="s">
        <v>1</v>
      </c>
      <c r="I1" s="186">
        <f t="array" ref="I1:I126">_xll.qlPiecewiseYieldCurveData(YieldCurve)</f>
        <v>1</v>
      </c>
    </row>
    <row r="2" spans="1:9" x14ac:dyDescent="0.2">
      <c r="A2" s="187" t="s">
        <v>82</v>
      </c>
      <c r="B2" s="188">
        <v>8</v>
      </c>
      <c r="D2" s="18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USD_YC1YRH_SND</v>
      </c>
      <c r="E2" s="190">
        <f>_xll.qlRateHelperRate($D2)</f>
        <v>5.0220000000000004E-3</v>
      </c>
      <c r="F2" s="190">
        <f>IF(ISERROR(_xll.qlSwapRateHelperSpread($D2)),IF(ISERROR(_xll.qlFuturesRateHelperConvexityAdjustment($D2)),0,_xll.qlFuturesRateHelperConvexityAdjustment($D2)),_xll.qlSwapRateHelperSpread($D2))</f>
        <v>0</v>
      </c>
      <c r="G2" s="200">
        <f>_xll.qlRateHelperEarliestDate($D2)</f>
        <v>41767</v>
      </c>
      <c r="H2" s="201">
        <f>_xll.qlRateHelperLatestDate($D2)</f>
        <v>41768</v>
      </c>
      <c r="I2" s="186">
        <v>0.99998605019459985</v>
      </c>
    </row>
    <row r="3" spans="1:9" x14ac:dyDescent="0.2">
      <c r="A3" s="191" t="s">
        <v>83</v>
      </c>
      <c r="B3" s="192">
        <v>1</v>
      </c>
      <c r="D3" s="189" t="str">
        <v>USD_YC1YRH_SWD</v>
      </c>
      <c r="E3" s="190">
        <f>_xll.qlRateHelperRate($D3)</f>
        <v>5.0220000000000004E-3</v>
      </c>
      <c r="F3" s="190">
        <f>IF(ISERROR(_xll.qlSwapRateHelperSpread($D3)),IF(ISERROR(_xll.qlFuturesRateHelperConvexityAdjustment($D3)),0,_xll.qlFuturesRateHelperConvexityAdjustment($D3)),_xll.qlSwapRateHelperSpread($D3))</f>
        <v>0</v>
      </c>
      <c r="G3" s="200">
        <f>_xll.qlRateHelperEarliestDate($D3)</f>
        <v>41767</v>
      </c>
      <c r="H3" s="201">
        <f>_xll.qlRateHelperLatestDate($D3)</f>
        <v>41774</v>
      </c>
      <c r="I3" s="186">
        <v>0.99990235953459139</v>
      </c>
    </row>
    <row r="4" spans="1:9" x14ac:dyDescent="0.2">
      <c r="A4" s="191" t="s">
        <v>32</v>
      </c>
      <c r="B4" s="192">
        <v>2</v>
      </c>
      <c r="D4" s="189" t="str">
        <v>USD_YC1YRH_2WD</v>
      </c>
      <c r="E4" s="190">
        <f>_xll.qlRateHelperRate($D4)</f>
        <v>5.0220000000000004E-3</v>
      </c>
      <c r="F4" s="190">
        <f>IF(ISERROR(_xll.qlSwapRateHelperSpread($D4)),IF(ISERROR(_xll.qlFuturesRateHelperConvexityAdjustment($D4)),0,_xll.qlFuturesRateHelperConvexityAdjustment($D4)),_xll.qlSwapRateHelperSpread($D4))</f>
        <v>0</v>
      </c>
      <c r="G4" s="200">
        <f>_xll.qlRateHelperEarliestDate($D4)</f>
        <v>41767</v>
      </c>
      <c r="H4" s="201">
        <f>_xll.qlRateHelperLatestDate($D4)</f>
        <v>41781</v>
      </c>
      <c r="I4" s="186">
        <v>0.99980473813464243</v>
      </c>
    </row>
    <row r="5" spans="1:9" x14ac:dyDescent="0.2">
      <c r="A5" s="191" t="s">
        <v>33</v>
      </c>
      <c r="B5" s="193" t="s">
        <v>56</v>
      </c>
      <c r="D5" s="189" t="str">
        <v>USD_YC1YRH_3WD</v>
      </c>
      <c r="E5" s="190">
        <f>_xll.qlRateHelperRate($D5)</f>
        <v>5.0220000000000004E-3</v>
      </c>
      <c r="F5" s="190">
        <f>IF(ISERROR(_xll.qlSwapRateHelperSpread($D5)),IF(ISERROR(_xll.qlFuturesRateHelperConvexityAdjustment($D5)),0,_xll.qlFuturesRateHelperConvexityAdjustment($D5)),_xll.qlSwapRateHelperSpread($D5))</f>
        <v>0</v>
      </c>
      <c r="G5" s="200">
        <f>_xll.qlRateHelperEarliestDate($D5)</f>
        <v>41767</v>
      </c>
      <c r="H5" s="201">
        <f>_xll.qlRateHelperLatestDate($D5)</f>
        <v>41788</v>
      </c>
      <c r="I5" s="186">
        <v>0.99970713579456905</v>
      </c>
    </row>
    <row r="6" spans="1:9" x14ac:dyDescent="0.2">
      <c r="A6" s="191" t="s">
        <v>30</v>
      </c>
      <c r="B6" s="194" t="str">
        <f>_xll.ohRangeRetrieveError(Selected!D2)</f>
        <v/>
      </c>
      <c r="D6" s="189" t="str">
        <v>USD_YC1YRH_1MD</v>
      </c>
      <c r="E6" s="190">
        <f>_xll.qlRateHelperRate($D6)</f>
        <v>5.0220000000000004E-3</v>
      </c>
      <c r="F6" s="190">
        <f>IF(ISERROR(_xll.qlSwapRateHelperSpread($D6)),IF(ISERROR(_xll.qlFuturesRateHelperConvexityAdjustment($D6)),0,_xll.qlFuturesRateHelperConvexityAdjustment($D6)),_xll.qlSwapRateHelperSpread($D6))</f>
        <v>0</v>
      </c>
      <c r="G6" s="200">
        <f>_xll.qlRateHelperEarliestDate($D6)</f>
        <v>41767</v>
      </c>
      <c r="H6" s="201">
        <f>_xll.qlRateHelperLatestDate($D6)</f>
        <v>41799</v>
      </c>
      <c r="I6" s="186">
        <v>0.9995537991840443</v>
      </c>
    </row>
    <row r="7" spans="1:9" ht="12" thickBot="1" x14ac:dyDescent="0.25">
      <c r="A7" s="195" t="str">
        <f>_xll.ohGroup(RateHelperPrefix&amp;"_RateHelpersSelected",_xll.ohPack(Selected!D2:D126),TRUE,,ObjectOverwrite)</f>
        <v>USD_YC1YRH_RateHelpersSelected#0001</v>
      </c>
      <c r="B7" s="196" t="str">
        <f>_xll.ohRangeRetrieveError(RateHelpersSelected)</f>
        <v/>
      </c>
      <c r="D7" s="189" t="str">
        <v>USD_YC1YRH_2MD</v>
      </c>
      <c r="E7" s="190">
        <f>_xll.qlRateHelperRate($D7)</f>
        <v>5.0619999999999997E-3</v>
      </c>
      <c r="F7" s="190">
        <f>IF(ISERROR(_xll.qlSwapRateHelperSpread($D7)),IF(ISERROR(_xll.qlFuturesRateHelperConvexityAdjustment($D7)),0,_xll.qlFuturesRateHelperConvexityAdjustment($D7)),_xll.qlSwapRateHelperSpread($D7))</f>
        <v>0</v>
      </c>
      <c r="G7" s="200">
        <f>_xll.qlRateHelperEarliestDate($D7)</f>
        <v>41767</v>
      </c>
      <c r="H7" s="201">
        <f>_xll.qlRateHelperLatestDate($D7)</f>
        <v>41828</v>
      </c>
      <c r="I7" s="186">
        <v>0.99914300728892513</v>
      </c>
    </row>
    <row r="8" spans="1:9" x14ac:dyDescent="0.2">
      <c r="D8" s="189" t="str">
        <v>USD_YC1YRH_3MD</v>
      </c>
      <c r="E8" s="190">
        <f>_xll.qlRateHelperRate($D8)</f>
        <v>5.0920000000000002E-3</v>
      </c>
      <c r="F8" s="190">
        <f>IF(ISERROR(_xll.qlSwapRateHelperSpread($D8)),IF(ISERROR(_xll.qlFuturesRateHelperConvexityAdjustment($D8)),0,_xll.qlFuturesRateHelperConvexityAdjustment($D8)),_xll.qlSwapRateHelperSpread($D8))</f>
        <v>0</v>
      </c>
      <c r="G8" s="200">
        <f>_xll.qlRateHelperEarliestDate($D8)</f>
        <v>41767</v>
      </c>
      <c r="H8" s="201">
        <f>_xll.qlRateHelperLatestDate($D8)</f>
        <v>41859</v>
      </c>
      <c r="I8" s="186">
        <v>0.99870040226335</v>
      </c>
    </row>
    <row r="9" spans="1:9" x14ac:dyDescent="0.2">
      <c r="D9" s="189" t="str">
        <v>USD_YC1YRH_4MD</v>
      </c>
      <c r="E9" s="190">
        <f>_xll.qlRateHelperRate($D9)</f>
        <v>5.1219999999999998E-3</v>
      </c>
      <c r="F9" s="190">
        <f>IF(ISERROR(_xll.qlSwapRateHelperSpread($D9)),IF(ISERROR(_xll.qlFuturesRateHelperConvexityAdjustment($D9)),0,_xll.qlFuturesRateHelperConvexityAdjustment($D9)),_xll.qlSwapRateHelperSpread($D9))</f>
        <v>0</v>
      </c>
      <c r="G9" s="200">
        <f>_xll.qlRateHelperEarliestDate($D9)</f>
        <v>41767</v>
      </c>
      <c r="H9" s="201">
        <f>_xll.qlRateHelperLatestDate($D9)</f>
        <v>41890</v>
      </c>
      <c r="I9" s="186">
        <v>0.99825304054150177</v>
      </c>
    </row>
    <row r="10" spans="1:9" x14ac:dyDescent="0.2">
      <c r="D10" s="189" t="str">
        <v>USD_YC1YRH_5MD</v>
      </c>
      <c r="E10" s="190">
        <f>_xll.qlRateHelperRate($D10)</f>
        <v>5.1419999999999999E-3</v>
      </c>
      <c r="F10" s="190">
        <f>IF(ISERROR(_xll.qlSwapRateHelperSpread($D10)),IF(ISERROR(_xll.qlFuturesRateHelperConvexityAdjustment($D10)),0,_xll.qlFuturesRateHelperConvexityAdjustment($D10)),_xll.qlSwapRateHelperSpread($D10))</f>
        <v>0</v>
      </c>
      <c r="G10" s="200">
        <f>_xll.qlRateHelperEarliestDate($D10)</f>
        <v>41767</v>
      </c>
      <c r="H10" s="201">
        <f>_xll.qlRateHelperLatestDate($D10)</f>
        <v>41920</v>
      </c>
      <c r="I10" s="186">
        <v>0.99781941534079033</v>
      </c>
    </row>
    <row r="11" spans="1:9" x14ac:dyDescent="0.2">
      <c r="D11" s="189" t="str">
        <v>USD_YC1YRH_6MD</v>
      </c>
      <c r="E11" s="190">
        <f>_xll.qlRateHelperRate($D11)</f>
        <v>5.1619999999999999E-3</v>
      </c>
      <c r="F11" s="190">
        <f>IF(ISERROR(_xll.qlSwapRateHelperSpread($D11)),IF(ISERROR(_xll.qlFuturesRateHelperConvexityAdjustment($D11)),0,_xll.qlFuturesRateHelperConvexityAdjustment($D11)),_xll.qlSwapRateHelperSpread($D11))</f>
        <v>0</v>
      </c>
      <c r="G11" s="200">
        <f>_xll.qlRateHelperEarliestDate($D11)</f>
        <v>41767</v>
      </c>
      <c r="H11" s="201">
        <f>_xll.qlRateHelperLatestDate($D11)</f>
        <v>41953</v>
      </c>
      <c r="I11" s="186">
        <v>0.99734006081314253</v>
      </c>
    </row>
    <row r="12" spans="1:9" x14ac:dyDescent="0.2">
      <c r="D12" s="189" t="str">
        <v>USD_YC1YRH_9MD</v>
      </c>
      <c r="E12" s="190">
        <f>_xll.qlRateHelperRate($D12)</f>
        <v>5.2719999999999998E-3</v>
      </c>
      <c r="F12" s="190">
        <f>IF(ISERROR(_xll.qlSwapRateHelperSpread($D12)),IF(ISERROR(_xll.qlFuturesRateHelperConvexityAdjustment($D12)),0,_xll.qlFuturesRateHelperConvexityAdjustment($D12)),_xll.qlSwapRateHelperSpread($D12))</f>
        <v>0</v>
      </c>
      <c r="G12" s="200">
        <f>_xll.qlRateHelperEarliestDate($D12)</f>
        <v>41767</v>
      </c>
      <c r="H12" s="201">
        <f>_xll.qlRateHelperLatestDate($D12)</f>
        <v>42044</v>
      </c>
      <c r="I12" s="186">
        <v>0.99595987768993566</v>
      </c>
    </row>
    <row r="13" spans="1:9" x14ac:dyDescent="0.2">
      <c r="D13" s="189" t="str">
        <v>USD_YC1YRH_1YD</v>
      </c>
      <c r="E13" s="190">
        <f>_xll.qlRateHelperRate($D13)</f>
        <v>5.4720000000000003E-3</v>
      </c>
      <c r="F13" s="190">
        <f>IF(ISERROR(_xll.qlSwapRateHelperSpread($D13)),IF(ISERROR(_xll.qlFuturesRateHelperConvexityAdjustment($D13)),0,_xll.qlFuturesRateHelperConvexityAdjustment($D13)),_xll.qlSwapRateHelperSpread($D13))</f>
        <v>0</v>
      </c>
      <c r="G13" s="200">
        <f>_xll.qlRateHelperEarliestDate($D13)</f>
        <v>41767</v>
      </c>
      <c r="H13" s="201">
        <f>_xll.qlRateHelperLatestDate($D13)</f>
        <v>42132</v>
      </c>
      <c r="I13" s="186">
        <v>0.99448261047714814</v>
      </c>
    </row>
    <row r="14" spans="1:9" x14ac:dyDescent="0.2">
      <c r="D14" s="189" t="str">
        <v>USD_YC1YRH_AM12LBASIS2Y</v>
      </c>
      <c r="E14" s="190">
        <f>_xll.qlRateHelperRate($D14)</f>
        <v>8.4565525773723921E-3</v>
      </c>
      <c r="F14" s="190">
        <f>IF(ISERROR(_xll.qlSwapRateHelperSpread($D14)),IF(ISERROR(_xll.qlFuturesRateHelperConvexityAdjustment($D14)),0,_xll.qlFuturesRateHelperConvexityAdjustment($D14)),_xll.qlSwapRateHelperSpread($D14))</f>
        <v>0</v>
      </c>
      <c r="G14" s="200">
        <f>_xll.qlRateHelperEarliestDate($D14)</f>
        <v>41767</v>
      </c>
      <c r="H14" s="201">
        <f>_xll.qlRateHelperLatestDate($D14)</f>
        <v>42499</v>
      </c>
      <c r="I14" s="186">
        <v>0.98297730874653566</v>
      </c>
    </row>
    <row r="15" spans="1:9" x14ac:dyDescent="0.2">
      <c r="D15" s="189" t="str">
        <v>USD_YC1YRH_AM12LBASIS3Y</v>
      </c>
      <c r="E15" s="190">
        <f>_xll.qlRateHelperRate($D15)</f>
        <v>1.2880485968584633E-2</v>
      </c>
      <c r="F15" s="190">
        <f>IF(ISERROR(_xll.qlSwapRateHelperSpread($D15)),IF(ISERROR(_xll.qlFuturesRateHelperConvexityAdjustment($D15)),0,_xll.qlFuturesRateHelperConvexityAdjustment($D15)),_xll.qlSwapRateHelperSpread($D15))</f>
        <v>0</v>
      </c>
      <c r="G15" s="200">
        <f>_xll.qlRateHelperEarliestDate($D15)</f>
        <v>41767</v>
      </c>
      <c r="H15" s="201">
        <f>_xll.qlRateHelperLatestDate($D15)</f>
        <v>42863</v>
      </c>
      <c r="I15" s="186">
        <v>0.96162333968307268</v>
      </c>
    </row>
    <row r="16" spans="1:9" x14ac:dyDescent="0.2">
      <c r="D16" s="189" t="str">
        <v>USD_YC1YRH_AM12LBASIS4Y</v>
      </c>
      <c r="E16" s="190">
        <f>_xll.qlRateHelperRate($D16)</f>
        <v>1.6994516319545391E-2</v>
      </c>
      <c r="F16" s="190">
        <f>IF(ISERROR(_xll.qlSwapRateHelperSpread($D16)),IF(ISERROR(_xll.qlFuturesRateHelperConvexityAdjustment($D16)),0,_xll.qlFuturesRateHelperConvexityAdjustment($D16)),_xll.qlSwapRateHelperSpread($D16))</f>
        <v>0</v>
      </c>
      <c r="G16" s="200">
        <f>_xll.qlRateHelperEarliestDate($D16)</f>
        <v>41767</v>
      </c>
      <c r="H16" s="201">
        <f>_xll.qlRateHelperLatestDate($D16)</f>
        <v>43228</v>
      </c>
      <c r="I16" s="186">
        <v>0.93339207664535651</v>
      </c>
    </row>
    <row r="17" spans="4:9" x14ac:dyDescent="0.2">
      <c r="D17" s="189" t="str">
        <v>USD_YC1YRH_AM12LBASIS5Y</v>
      </c>
      <c r="E17" s="190">
        <f>_xll.qlRateHelperRate($D17)</f>
        <v>2.035772575438622E-2</v>
      </c>
      <c r="F17" s="190">
        <f>IF(ISERROR(_xll.qlSwapRateHelperSpread($D17)),IF(ISERROR(_xll.qlFuturesRateHelperConvexityAdjustment($D17)),0,_xll.qlFuturesRateHelperConvexityAdjustment($D17)),_xll.qlSwapRateHelperSpread($D17))</f>
        <v>0</v>
      </c>
      <c r="G17" s="200">
        <f>_xll.qlRateHelperEarliestDate($D17)</f>
        <v>41767</v>
      </c>
      <c r="H17" s="201">
        <f>_xll.qlRateHelperLatestDate($D17)</f>
        <v>43593</v>
      </c>
      <c r="I17" s="186">
        <v>0.90173013100409583</v>
      </c>
    </row>
    <row r="18" spans="4:9" x14ac:dyDescent="0.2">
      <c r="D18" s="189" t="str">
        <v>USD_YC1YRH_AM12LBASIS6Y</v>
      </c>
      <c r="E18" s="190">
        <f>_xll.qlRateHelperRate($D18)</f>
        <v>2.30801222547934E-2</v>
      </c>
      <c r="F18" s="190">
        <f>IF(ISERROR(_xll.qlSwapRateHelperSpread($D18)),IF(ISERROR(_xll.qlFuturesRateHelperConvexityAdjustment($D18)),0,_xll.qlFuturesRateHelperConvexityAdjustment($D18)),_xll.qlSwapRateHelperSpread($D18))</f>
        <v>0</v>
      </c>
      <c r="G18" s="200">
        <f>_xll.qlRateHelperEarliestDate($D18)</f>
        <v>41767</v>
      </c>
      <c r="H18" s="201">
        <f>_xll.qlRateHelperLatestDate($D18)</f>
        <v>43959</v>
      </c>
      <c r="I18" s="186">
        <v>0.86836630842344709</v>
      </c>
    </row>
    <row r="19" spans="4:9" x14ac:dyDescent="0.2">
      <c r="D19" s="189" t="str">
        <v>USD_YC1YRH_AM12LBASIS7Y</v>
      </c>
      <c r="E19" s="190">
        <f>_xll.qlRateHelperRate($D19)</f>
        <v>2.5251902652180296E-2</v>
      </c>
      <c r="F19" s="190">
        <f>IF(ISERROR(_xll.qlSwapRateHelperSpread($D19)),IF(ISERROR(_xll.qlFuturesRateHelperConvexityAdjustment($D19)),0,_xll.qlFuturesRateHelperConvexityAdjustment($D19)),_xll.qlSwapRateHelperSpread($D19))</f>
        <v>0</v>
      </c>
      <c r="G19" s="200">
        <f>_xll.qlRateHelperEarliestDate($D19)</f>
        <v>41767</v>
      </c>
      <c r="H19" s="201">
        <f>_xll.qlRateHelperLatestDate($D19)</f>
        <v>44326</v>
      </c>
      <c r="I19" s="186">
        <v>0.83466317884662422</v>
      </c>
    </row>
    <row r="20" spans="4:9" x14ac:dyDescent="0.2">
      <c r="D20" s="189" t="str">
        <v>USD_YC1YRH_AM12LBASIS8Y</v>
      </c>
      <c r="E20" s="190">
        <f>_xll.qlRateHelperRate($D20)</f>
        <v>2.6973097567343878E-2</v>
      </c>
      <c r="F20" s="190">
        <f>IF(ISERROR(_xll.qlSwapRateHelperSpread($D20)),IF(ISERROR(_xll.qlFuturesRateHelperConvexityAdjustment($D20)),0,_xll.qlFuturesRateHelperConvexityAdjustment($D20)),_xll.qlSwapRateHelperSpread($D20))</f>
        <v>0</v>
      </c>
      <c r="G20" s="200">
        <f>_xll.qlRateHelperEarliestDate($D20)</f>
        <v>41767</v>
      </c>
      <c r="H20" s="201">
        <f>_xll.qlRateHelperLatestDate($D20)</f>
        <v>44690</v>
      </c>
      <c r="I20" s="186">
        <v>0.80170570128278229</v>
      </c>
    </row>
    <row r="21" spans="4:9" x14ac:dyDescent="0.2">
      <c r="D21" s="189" t="str">
        <v>USD_YC1YRH_AM12LBASIS9Y</v>
      </c>
      <c r="E21" s="190">
        <f>_xll.qlRateHelperRate($D21)</f>
        <v>2.8404137730848881E-2</v>
      </c>
      <c r="F21" s="190">
        <f>IF(ISERROR(_xll.qlSwapRateHelperSpread($D21)),IF(ISERROR(_xll.qlFuturesRateHelperConvexityAdjustment($D21)),0,_xll.qlFuturesRateHelperConvexityAdjustment($D21)),_xll.qlSwapRateHelperSpread($D21))</f>
        <v>0</v>
      </c>
      <c r="G21" s="200">
        <f>_xll.qlRateHelperEarliestDate($D21)</f>
        <v>41767</v>
      </c>
      <c r="H21" s="201">
        <f>_xll.qlRateHelperLatestDate($D21)</f>
        <v>45054</v>
      </c>
      <c r="I21" s="186">
        <v>0.7692806724807244</v>
      </c>
    </row>
    <row r="22" spans="4:9" x14ac:dyDescent="0.2">
      <c r="D22" s="189" t="str">
        <v>USD_YC1YRH_AM12LBASIS10Y</v>
      </c>
      <c r="E22" s="190">
        <f>_xll.qlRateHelperRate($D22)</f>
        <v>2.9604958208334808E-2</v>
      </c>
      <c r="F22" s="190">
        <f>IF(ISERROR(_xll.qlSwapRateHelperSpread($D22)),IF(ISERROR(_xll.qlFuturesRateHelperConvexityAdjustment($D22)),0,_xll.qlFuturesRateHelperConvexityAdjustment($D22)),_xll.qlSwapRateHelperSpread($D22))</f>
        <v>0</v>
      </c>
      <c r="G22" s="200">
        <f>_xll.qlRateHelperEarliestDate($D22)</f>
        <v>41767</v>
      </c>
      <c r="H22" s="201">
        <f>_xll.qlRateHelperLatestDate($D22)</f>
        <v>45420</v>
      </c>
      <c r="I22" s="186">
        <v>0.73752695058166506</v>
      </c>
    </row>
    <row r="23" spans="4:9" x14ac:dyDescent="0.2">
      <c r="D23" s="189" t="str">
        <v>USD_YC1YRH_AM12LBASIS11Y</v>
      </c>
      <c r="E23" s="190">
        <f>_xll.qlRateHelperRate($D23)</f>
        <v>3.0644274210573422E-2</v>
      </c>
      <c r="F23" s="190">
        <f>IF(ISERROR(_xll.qlSwapRateHelperSpread($D23)),IF(ISERROR(_xll.qlFuturesRateHelperConvexityAdjustment($D23)),0,_xll.qlFuturesRateHelperConvexityAdjustment($D23)),_xll.qlSwapRateHelperSpread($D23))</f>
        <v>0</v>
      </c>
      <c r="G23" s="200">
        <f>_xll.qlRateHelperEarliestDate($D23)</f>
        <v>41767</v>
      </c>
      <c r="H23" s="201">
        <f>_xll.qlRateHelperLatestDate($D23)</f>
        <v>45785</v>
      </c>
      <c r="I23" s="186">
        <v>0.70657002245160416</v>
      </c>
    </row>
    <row r="24" spans="4:9" x14ac:dyDescent="0.2">
      <c r="D24" s="189" t="str">
        <v>USD_YC1YRH_AM12LBASIS12Y</v>
      </c>
      <c r="E24" s="190">
        <f>_xll.qlRateHelperRate($D24)</f>
        <v>3.1536209869758365E-2</v>
      </c>
      <c r="F24" s="190">
        <f>IF(ISERROR(_xll.qlSwapRateHelperSpread($D24)),IF(ISERROR(_xll.qlFuturesRateHelperConvexityAdjustment($D24)),0,_xll.qlFuturesRateHelperConvexityAdjustment($D24)),_xll.qlSwapRateHelperSpread($D24))</f>
        <v>0</v>
      </c>
      <c r="G24" s="200">
        <f>_xll.qlRateHelperEarliestDate($D24)</f>
        <v>41767</v>
      </c>
      <c r="H24" s="201">
        <f>_xll.qlRateHelperLatestDate($D24)</f>
        <v>46150</v>
      </c>
      <c r="I24" s="186">
        <v>0.67661001104857543</v>
      </c>
    </row>
    <row r="25" spans="4:9" x14ac:dyDescent="0.2">
      <c r="D25" s="189" t="str">
        <v>USD_YC1YRH_AM12LBASIS13Y</v>
      </c>
      <c r="E25" s="190">
        <f>_xll.qlRateHelperRate($D25)</f>
        <v>3.2285065995052376E-2</v>
      </c>
      <c r="F25" s="190">
        <f>IF(ISERROR(_xll.qlSwapRateHelperSpread($D25)),IF(ISERROR(_xll.qlFuturesRateHelperConvexityAdjustment($D25)),0,_xll.qlFuturesRateHelperConvexityAdjustment($D25)),_xll.qlSwapRateHelperSpread($D25))</f>
        <v>0</v>
      </c>
      <c r="G25" s="200">
        <f>_xll.qlRateHelperEarliestDate($D25)</f>
        <v>41767</v>
      </c>
      <c r="H25" s="201">
        <f>_xll.qlRateHelperLatestDate($D25)</f>
        <v>46517</v>
      </c>
      <c r="I25" s="186">
        <v>0.64781660829724597</v>
      </c>
    </row>
    <row r="26" spans="4:9" x14ac:dyDescent="0.2">
      <c r="D26" s="189" t="str">
        <v>USD_YC1YRH_AM12LBASIS14Y</v>
      </c>
      <c r="E26" s="190">
        <f>_xll.qlRateHelperRate($D26)</f>
        <v>3.2904827933025932E-2</v>
      </c>
      <c r="F26" s="190">
        <f>IF(ISERROR(_xll.qlSwapRateHelperSpread($D26)),IF(ISERROR(_xll.qlFuturesRateHelperConvexityAdjustment($D26)),0,_xll.qlFuturesRateHelperConvexityAdjustment($D26)),_xll.qlSwapRateHelperSpread($D26))</f>
        <v>0</v>
      </c>
      <c r="G26" s="200">
        <f>_xll.qlRateHelperEarliestDate($D26)</f>
        <v>41767</v>
      </c>
      <c r="H26" s="201">
        <f>_xll.qlRateHelperLatestDate($D26)</f>
        <v>46881</v>
      </c>
      <c r="I26" s="186">
        <v>0.62060172974918548</v>
      </c>
    </row>
    <row r="27" spans="4:9" x14ac:dyDescent="0.2">
      <c r="D27" s="189" t="str">
        <v>USD_YC1YRH_AM12LBASIS15Y</v>
      </c>
      <c r="E27" s="190">
        <f>_xll.qlRateHelperRate($D27)</f>
        <v>3.3427469568297362E-2</v>
      </c>
      <c r="F27" s="190">
        <f>IF(ISERROR(_xll.qlSwapRateHelperSpread($D27)),IF(ISERROR(_xll.qlFuturesRateHelperConvexityAdjustment($D27)),0,_xll.qlFuturesRateHelperConvexityAdjustment($D27)),_xll.qlSwapRateHelperSpread($D27))</f>
        <v>0</v>
      </c>
      <c r="G27" s="200">
        <f>_xll.qlRateHelperEarliestDate($D27)</f>
        <v>41767</v>
      </c>
      <c r="H27" s="201">
        <f>_xll.qlRateHelperLatestDate($D27)</f>
        <v>47246</v>
      </c>
      <c r="I27" s="186">
        <v>0.59460689146764079</v>
      </c>
    </row>
    <row r="28" spans="4:9" x14ac:dyDescent="0.2">
      <c r="D28" s="189" t="str">
        <v>USD_YC1YRH_AM12LBASIS16Y</v>
      </c>
      <c r="E28" s="190">
        <f>_xll.qlRateHelperRate($D28)</f>
        <v>3.3868974085724146E-2</v>
      </c>
      <c r="F28" s="190">
        <f>IF(ISERROR(_xll.qlSwapRateHelperSpread($D28)),IF(ISERROR(_xll.qlFuturesRateHelperConvexityAdjustment($D28)),0,_xll.qlFuturesRateHelperConvexityAdjustment($D28)),_xll.qlSwapRateHelperSpread($D28))</f>
        <v>0</v>
      </c>
      <c r="G28" s="200">
        <f>_xll.qlRateHelperEarliestDate($D28)</f>
        <v>41767</v>
      </c>
      <c r="H28" s="201">
        <f>_xll.qlRateHelperLatestDate($D28)</f>
        <v>47611</v>
      </c>
      <c r="I28" s="186">
        <v>0.56985906455544055</v>
      </c>
    </row>
    <row r="29" spans="4:9" x14ac:dyDescent="0.2">
      <c r="D29" s="189" t="str">
        <v>USD_YC1YRH_AM12LBASIS17Y</v>
      </c>
      <c r="E29" s="190">
        <f>_xll.qlRateHelperRate($D29)</f>
        <v>3.4243803059742083E-2</v>
      </c>
      <c r="F29" s="190">
        <f>IF(ISERROR(_xll.qlSwapRateHelperSpread($D29)),IF(ISERROR(_xll.qlFuturesRateHelperConvexityAdjustment($D29)),0,_xll.qlFuturesRateHelperConvexityAdjustment($D29)),_xll.qlSwapRateHelperSpread($D29))</f>
        <v>0</v>
      </c>
      <c r="G29" s="200">
        <f>_xll.qlRateHelperEarliestDate($D29)</f>
        <v>41767</v>
      </c>
      <c r="H29" s="201">
        <f>_xll.qlRateHelperLatestDate($D29)</f>
        <v>47976</v>
      </c>
      <c r="I29" s="186">
        <v>0.54629951060490578</v>
      </c>
    </row>
    <row r="30" spans="4:9" x14ac:dyDescent="0.2">
      <c r="D30" s="189" t="str">
        <v>USD_YC1YRH_AM12LBASIS18Y</v>
      </c>
      <c r="E30" s="190">
        <f>_xll.qlRateHelperRate($D30)</f>
        <v>3.4565813013001559E-2</v>
      </c>
      <c r="F30" s="190">
        <f>IF(ISERROR(_xll.qlSwapRateHelperSpread($D30)),IF(ISERROR(_xll.qlFuturesRateHelperConvexityAdjustment($D30)),0,_xll.qlFuturesRateHelperConvexityAdjustment($D30)),_xll.qlSwapRateHelperSpread($D30))</f>
        <v>0</v>
      </c>
      <c r="G30" s="200">
        <f>_xll.qlRateHelperEarliestDate($D30)</f>
        <v>41767</v>
      </c>
      <c r="H30" s="201">
        <f>_xll.qlRateHelperLatestDate($D30)</f>
        <v>48344</v>
      </c>
      <c r="I30" s="186">
        <v>0.52369167995961596</v>
      </c>
    </row>
    <row r="31" spans="4:9" x14ac:dyDescent="0.2">
      <c r="D31" s="189" t="str">
        <v>USD_YC1YRH_AM12LBASIS19Y</v>
      </c>
      <c r="E31" s="190">
        <f>_xll.qlRateHelperRate($D31)</f>
        <v>3.4837089979075253E-2</v>
      </c>
      <c r="F31" s="190">
        <f>IF(ISERROR(_xll.qlSwapRateHelperSpread($D31)),IF(ISERROR(_xll.qlFuturesRateHelperConvexityAdjustment($D31)),0,_xll.qlFuturesRateHelperConvexityAdjustment($D31)),_xll.qlSwapRateHelperSpread($D31))</f>
        <v>0</v>
      </c>
      <c r="G31" s="200">
        <f>_xll.qlRateHelperEarliestDate($D31)</f>
        <v>41767</v>
      </c>
      <c r="H31" s="201">
        <f>_xll.qlRateHelperLatestDate($D31)</f>
        <v>48708</v>
      </c>
      <c r="I31" s="186">
        <v>0.50240956907835477</v>
      </c>
    </row>
    <row r="32" spans="4:9" x14ac:dyDescent="0.2">
      <c r="D32" s="189" t="str">
        <v>USD_YC1YRH_AM12LBASIS20Y</v>
      </c>
      <c r="E32" s="190">
        <f>_xll.qlRateHelperRate($D32)</f>
        <v>3.5068432399825419E-2</v>
      </c>
      <c r="F32" s="190">
        <f>IF(ISERROR(_xll.qlSwapRateHelperSpread($D32)),IF(ISERROR(_xll.qlFuturesRateHelperConvexityAdjustment($D32)),0,_xll.qlFuturesRateHelperConvexityAdjustment($D32)),_xll.qlSwapRateHelperSpread($D32))</f>
        <v>0</v>
      </c>
      <c r="G32" s="200">
        <f>_xll.qlRateHelperEarliestDate($D32)</f>
        <v>41767</v>
      </c>
      <c r="H32" s="201">
        <f>_xll.qlRateHelperLatestDate($D32)</f>
        <v>49072</v>
      </c>
      <c r="I32" s="186">
        <v>0.48215333353678319</v>
      </c>
    </row>
    <row r="33" spans="4:9" x14ac:dyDescent="0.2">
      <c r="D33" s="189" t="str">
        <v>USD_YC1YRH_AM12LBASIS21Y</v>
      </c>
      <c r="E33" s="190">
        <f>_xll.qlRateHelperRate($D33)</f>
        <v>3.526579742212485E-2</v>
      </c>
      <c r="F33" s="190">
        <f>IF(ISERROR(_xll.qlSwapRateHelperSpread($D33)),IF(ISERROR(_xll.qlFuturesRateHelperConvexityAdjustment($D33)),0,_xll.qlFuturesRateHelperConvexityAdjustment($D33)),_xll.qlSwapRateHelperSpread($D33))</f>
        <v>0</v>
      </c>
      <c r="G33" s="200">
        <f>_xll.qlRateHelperEarliestDate($D33)</f>
        <v>41767</v>
      </c>
      <c r="H33" s="201">
        <f>_xll.qlRateHelperLatestDate($D33)</f>
        <v>49437</v>
      </c>
      <c r="I33" s="186">
        <v>0.46282521921969527</v>
      </c>
    </row>
    <row r="34" spans="4:9" x14ac:dyDescent="0.2">
      <c r="D34" s="189" t="str">
        <v>USD_YC1YRH_AM12LBASIS22Y</v>
      </c>
      <c r="E34" s="190">
        <f>_xll.qlRateHelperRate($D34)</f>
        <v>3.5433935865624849E-2</v>
      </c>
      <c r="F34" s="190">
        <f>IF(ISERROR(_xll.qlSwapRateHelperSpread($D34)),IF(ISERROR(_xll.qlFuturesRateHelperConvexityAdjustment($D34)),0,_xll.qlFuturesRateHelperConvexityAdjustment($D34)),_xll.qlSwapRateHelperSpread($D34))</f>
        <v>0</v>
      </c>
      <c r="G34" s="200">
        <f>_xll.qlRateHelperEarliestDate($D34)</f>
        <v>41767</v>
      </c>
      <c r="H34" s="201">
        <f>_xll.qlRateHelperLatestDate($D34)</f>
        <v>49803</v>
      </c>
      <c r="I34" s="186">
        <v>0.44438051510094245</v>
      </c>
    </row>
    <row r="35" spans="4:9" x14ac:dyDescent="0.2">
      <c r="D35" s="189" t="str">
        <v>USD_YC1YRH_AM12LBASIS23Y</v>
      </c>
      <c r="E35" s="190">
        <f>_xll.qlRateHelperRate($D35)</f>
        <v>3.5576131197136637E-2</v>
      </c>
      <c r="F35" s="190">
        <f>IF(ISERROR(_xll.qlSwapRateHelperSpread($D35)),IF(ISERROR(_xll.qlFuturesRateHelperConvexityAdjustment($D35)),0,_xll.qlFuturesRateHelperConvexityAdjustment($D35)),_xll.qlSwapRateHelperSpread($D35))</f>
        <v>0</v>
      </c>
      <c r="G35" s="200">
        <f>_xll.qlRateHelperEarliestDate($D35)</f>
        <v>41767</v>
      </c>
      <c r="H35" s="201">
        <f>_xll.qlRateHelperLatestDate($D35)</f>
        <v>50168</v>
      </c>
      <c r="I35" s="186">
        <v>0.42686794964932889</v>
      </c>
    </row>
    <row r="36" spans="4:9" x14ac:dyDescent="0.2">
      <c r="D36" s="189" t="str">
        <v>USD_YC1YRH_AM12LBASIS24Y</v>
      </c>
      <c r="E36" s="190">
        <f>_xll.qlRateHelperRate($D36)</f>
        <v>3.5697323915741271E-2</v>
      </c>
      <c r="F36" s="190">
        <f>IF(ISERROR(_xll.qlSwapRateHelperSpread($D36)),IF(ISERROR(_xll.qlFuturesRateHelperConvexityAdjustment($D36)),0,_xll.qlFuturesRateHelperConvexityAdjustment($D36)),_xll.qlSwapRateHelperSpread($D36))</f>
        <v>0</v>
      </c>
      <c r="G36" s="200">
        <f>_xll.qlRateHelperEarliestDate($D36)</f>
        <v>41767</v>
      </c>
      <c r="H36" s="201">
        <f>_xll.qlRateHelperLatestDate($D36)</f>
        <v>50535</v>
      </c>
      <c r="I36" s="186">
        <v>0.41009668629179052</v>
      </c>
    </row>
    <row r="37" spans="4:9" x14ac:dyDescent="0.2">
      <c r="D37" s="189" t="str">
        <v>USD_YC1YRH_AM12LBASIS25Y</v>
      </c>
      <c r="E37" s="190">
        <f>_xll.qlRateHelperRate($D37)</f>
        <v>3.5798722857953852E-2</v>
      </c>
      <c r="F37" s="190">
        <f>IF(ISERROR(_xll.qlSwapRateHelperSpread($D37)),IF(ISERROR(_xll.qlFuturesRateHelperConvexityAdjustment($D37)),0,_xll.qlFuturesRateHelperConvexityAdjustment($D37)),_xll.qlSwapRateHelperSpread($D37))</f>
        <v>0</v>
      </c>
      <c r="G37" s="200">
        <f>_xll.qlRateHelperEarliestDate($D37)</f>
        <v>41767</v>
      </c>
      <c r="H37" s="201">
        <f>_xll.qlRateHelperLatestDate($D37)</f>
        <v>50899</v>
      </c>
      <c r="I37" s="186">
        <v>0.39424550586676788</v>
      </c>
    </row>
    <row r="38" spans="4:9" x14ac:dyDescent="0.2">
      <c r="D38" s="189" t="str">
        <v>USD_YC1YRH_AM12LBASIS26Y</v>
      </c>
      <c r="E38" s="190">
        <f>_xll.qlRateHelperRate($D38)</f>
        <v>3.5884583098660196E-2</v>
      </c>
      <c r="F38" s="190">
        <f>IF(ISERROR(_xll.qlSwapRateHelperSpread($D38)),IF(ISERROR(_xll.qlFuturesRateHelperConvexityAdjustment($D38)),0,_xll.qlFuturesRateHelperConvexityAdjustment($D38)),_xll.qlSwapRateHelperSpread($D38))</f>
        <v>0</v>
      </c>
      <c r="G38" s="200">
        <f>_xll.qlRateHelperEarliestDate($D38)</f>
        <v>41767</v>
      </c>
      <c r="H38" s="201">
        <f>_xll.qlRateHelperLatestDate($D38)</f>
        <v>51264</v>
      </c>
      <c r="I38" s="186">
        <v>0.37908675579753409</v>
      </c>
    </row>
    <row r="39" spans="4:9" x14ac:dyDescent="0.2">
      <c r="D39" s="189" t="str">
        <v>USD_YC1YRH_AM12LBASIS27Y</v>
      </c>
      <c r="E39" s="190">
        <f>_xll.qlRateHelperRate($D39)</f>
        <v>3.5957285142990715E-2</v>
      </c>
      <c r="F39" s="190">
        <f>IF(ISERROR(_xll.qlSwapRateHelperSpread($D39)),IF(ISERROR(_xll.qlFuturesRateHelperConvexityAdjustment($D39)),0,_xll.qlFuturesRateHelperConvexityAdjustment($D39)),_xll.qlSwapRateHelperSpread($D39))</f>
        <v>0</v>
      </c>
      <c r="G39" s="200">
        <f>_xll.qlRateHelperEarliestDate($D39)</f>
        <v>41767</v>
      </c>
      <c r="H39" s="201">
        <f>_xll.qlRateHelperLatestDate($D39)</f>
        <v>51629</v>
      </c>
      <c r="I39" s="186">
        <v>0.36461488664502334</v>
      </c>
    </row>
    <row r="40" spans="4:9" x14ac:dyDescent="0.2">
      <c r="D40" s="189" t="str">
        <v>USD_YC1YRH_AM12LBASIS28Y</v>
      </c>
      <c r="E40" s="190">
        <f>_xll.qlRateHelperRate($D40)</f>
        <v>3.6019212784798353E-2</v>
      </c>
      <c r="F40" s="190">
        <f>IF(ISERROR(_xll.qlSwapRateHelperSpread($D40)),IF(ISERROR(_xll.qlFuturesRateHelperConvexityAdjustment($D40)),0,_xll.qlFuturesRateHelperConvexityAdjustment($D40)),_xll.qlSwapRateHelperSpread($D40))</f>
        <v>0</v>
      </c>
      <c r="G40" s="200">
        <f>_xll.qlRateHelperEarliestDate($D40)</f>
        <v>41767</v>
      </c>
      <c r="H40" s="201">
        <f>_xll.qlRateHelperLatestDate($D40)</f>
        <v>51994</v>
      </c>
      <c r="I40" s="186">
        <v>0.35078232523356701</v>
      </c>
    </row>
    <row r="41" spans="4:9" x14ac:dyDescent="0.2">
      <c r="D41" s="189" t="str">
        <v>USD_YC1YRH_AM12LBASIS29Y</v>
      </c>
      <c r="E41" s="190">
        <f>_xll.qlRateHelperRate($D41)</f>
        <v>3.6072356253144637E-2</v>
      </c>
      <c r="F41" s="190">
        <f>IF(ISERROR(_xll.qlSwapRateHelperSpread($D41)),IF(ISERROR(_xll.qlFuturesRateHelperConvexityAdjustment($D41)),0,_xll.qlFuturesRateHelperConvexityAdjustment($D41)),_xll.qlSwapRateHelperSpread($D41))</f>
        <v>0</v>
      </c>
      <c r="G41" s="200">
        <f>_xll.qlRateHelperEarliestDate($D41)</f>
        <v>41767</v>
      </c>
      <c r="H41" s="201">
        <f>_xll.qlRateHelperLatestDate($D41)</f>
        <v>52359</v>
      </c>
      <c r="I41" s="186">
        <v>0.3375457149586511</v>
      </c>
    </row>
    <row r="42" spans="4:9" x14ac:dyDescent="0.2">
      <c r="D42" s="189" t="str">
        <v>USD_YC1YRH_AM12LBASIS30Y</v>
      </c>
      <c r="E42" s="190">
        <f>_xll.qlRateHelperRate($D42)</f>
        <v>3.6118699176771234E-2</v>
      </c>
      <c r="F42" s="190">
        <f>IF(ISERROR(_xll.qlSwapRateHelperSpread($D42)),IF(ISERROR(_xll.qlFuturesRateHelperConvexityAdjustment($D42)),0,_xll.qlFuturesRateHelperConvexityAdjustment($D42)),_xll.qlSwapRateHelperSpread($D42))</f>
        <v>0</v>
      </c>
      <c r="G42" s="200">
        <f>_xll.qlRateHelperEarliestDate($D42)</f>
        <v>41767</v>
      </c>
      <c r="H42" s="201">
        <f>_xll.qlRateHelperLatestDate($D42)</f>
        <v>52726</v>
      </c>
      <c r="I42" s="186">
        <v>0.32479737892490268</v>
      </c>
    </row>
    <row r="43" spans="4:9" x14ac:dyDescent="0.2">
      <c r="D43" s="189" t="str">
        <v>USD_YC1YRH_AM12LBASIS35Y</v>
      </c>
      <c r="E43" s="190">
        <f>_xll.qlRateHelperRate($D43)</f>
        <v>3.6280892599598713E-2</v>
      </c>
      <c r="F43" s="190">
        <f>IF(ISERROR(_xll.qlSwapRateHelperSpread($D43)),IF(ISERROR(_xll.qlFuturesRateHelperConvexityAdjustment($D43)),0,_xll.qlFuturesRateHelperConvexityAdjustment($D43)),_xll.qlSwapRateHelperSpread($D43))</f>
        <v>0</v>
      </c>
      <c r="G43" s="200">
        <f>_xll.qlRateHelperEarliestDate($D43)</f>
        <v>41767</v>
      </c>
      <c r="H43" s="201">
        <f>_xll.qlRateHelperLatestDate($D43)</f>
        <v>54553</v>
      </c>
      <c r="I43" s="186">
        <v>0.26860459700647404</v>
      </c>
    </row>
    <row r="44" spans="4:9" x14ac:dyDescent="0.2">
      <c r="D44" s="189" t="str">
        <v>USD_YC1YRH_AM12LBASIS40Y</v>
      </c>
      <c r="E44" s="190">
        <f>_xll.qlRateHelperRate($D44)</f>
        <v>3.6308765565225984E-2</v>
      </c>
      <c r="F44" s="190">
        <f>IF(ISERROR(_xll.qlSwapRateHelperSpread($D44)),IF(ISERROR(_xll.qlFuturesRateHelperConvexityAdjustment($D44)),0,_xll.qlFuturesRateHelperConvexityAdjustment($D44)),_xll.qlSwapRateHelperSpread($D44))</f>
        <v>0</v>
      </c>
      <c r="G44" s="200">
        <f>_xll.qlRateHelperEarliestDate($D44)</f>
        <v>41767</v>
      </c>
      <c r="H44" s="201">
        <f>_xll.qlRateHelperLatestDate($D44)</f>
        <v>56377</v>
      </c>
      <c r="I44" s="186">
        <v>0.22378375058255828</v>
      </c>
    </row>
    <row r="45" spans="4:9" x14ac:dyDescent="0.2">
      <c r="D45" s="189" t="str">
        <v>USD_YC1YRH_AM12LBASIS50Y</v>
      </c>
      <c r="E45" s="190">
        <f>_xll.qlRateHelperRate($D45)</f>
        <v>3.6118569348858987E-2</v>
      </c>
      <c r="F45" s="190">
        <f>IF(ISERROR(_xll.qlSwapRateHelperSpread($D45)),IF(ISERROR(_xll.qlFuturesRateHelperConvexityAdjustment($D45)),0,_xll.qlFuturesRateHelperConvexityAdjustment($D45)),_xll.qlSwapRateHelperSpread($D45))</f>
        <v>0</v>
      </c>
      <c r="G45" s="200">
        <f>_xll.qlRateHelperEarliestDate($D45)</f>
        <v>41767</v>
      </c>
      <c r="H45" s="201">
        <f>_xll.qlRateHelperLatestDate($D45)</f>
        <v>60030</v>
      </c>
      <c r="I45" s="186">
        <v>0.1591194926185916</v>
      </c>
    </row>
    <row r="46" spans="4:9" x14ac:dyDescent="0.2">
      <c r="D46" s="189" t="e">
        <v>#N/A</v>
      </c>
      <c r="E46" s="190" t="e">
        <f>_xll.qlRateHelperRate($D46)</f>
        <v>#VALUE!</v>
      </c>
      <c r="F46" s="190">
        <f>IF(ISERROR(_xll.qlSwapRateHelperSpread($D46)),IF(ISERROR(_xll.qlFuturesRateHelperConvexityAdjustment($D46)),0,_xll.qlFuturesRateHelperConvexityAdjustment($D46)),_xll.qlSwapRateHelperSpread($D46))</f>
        <v>0</v>
      </c>
      <c r="G46" s="200" t="e">
        <f>_xll.qlRateHelperEarliestDate($D46)</f>
        <v>#VALUE!</v>
      </c>
      <c r="H46" s="201" t="e">
        <f>_xll.qlRateHelperLatestDate($D46)</f>
        <v>#VALUE!</v>
      </c>
      <c r="I46" s="186" t="e">
        <v>#N/A</v>
      </c>
    </row>
    <row r="47" spans="4:9" x14ac:dyDescent="0.2">
      <c r="D47" s="189" t="e">
        <v>#N/A</v>
      </c>
      <c r="E47" s="190" t="e">
        <f>_xll.qlRateHelperRate($D47)</f>
        <v>#VALUE!</v>
      </c>
      <c r="F47" s="190">
        <f>IF(ISERROR(_xll.qlSwapRateHelperSpread($D47)),IF(ISERROR(_xll.qlFuturesRateHelperConvexityAdjustment($D47)),0,_xll.qlFuturesRateHelperConvexityAdjustment($D47)),_xll.qlSwapRateHelperSpread($D47))</f>
        <v>0</v>
      </c>
      <c r="G47" s="200" t="e">
        <f>_xll.qlRateHelperEarliestDate($D47)</f>
        <v>#VALUE!</v>
      </c>
      <c r="H47" s="201" t="e">
        <f>_xll.qlRateHelperLatestDate($D47)</f>
        <v>#VALUE!</v>
      </c>
      <c r="I47" s="186" t="e">
        <v>#N/A</v>
      </c>
    </row>
    <row r="48" spans="4:9" x14ac:dyDescent="0.2">
      <c r="D48" s="189" t="e">
        <v>#N/A</v>
      </c>
      <c r="E48" s="190" t="e">
        <f>_xll.qlRateHelperRate($D48)</f>
        <v>#VALUE!</v>
      </c>
      <c r="F48" s="190">
        <f>IF(ISERROR(_xll.qlSwapRateHelperSpread($D48)),IF(ISERROR(_xll.qlFuturesRateHelperConvexityAdjustment($D48)),0,_xll.qlFuturesRateHelperConvexityAdjustment($D48)),_xll.qlSwapRateHelperSpread($D48))</f>
        <v>0</v>
      </c>
      <c r="G48" s="200" t="e">
        <f>_xll.qlRateHelperEarliestDate($D48)</f>
        <v>#VALUE!</v>
      </c>
      <c r="H48" s="201" t="e">
        <f>_xll.qlRateHelperLatestDate($D48)</f>
        <v>#VALUE!</v>
      </c>
      <c r="I48" s="186" t="e">
        <v>#N/A</v>
      </c>
    </row>
    <row r="49" spans="4:9" x14ac:dyDescent="0.2">
      <c r="D49" s="189" t="e">
        <v>#N/A</v>
      </c>
      <c r="E49" s="190" t="e">
        <f>_xll.qlRateHelperRate($D49)</f>
        <v>#VALUE!</v>
      </c>
      <c r="F49" s="190">
        <f>IF(ISERROR(_xll.qlSwapRateHelperSpread($D49)),IF(ISERROR(_xll.qlFuturesRateHelperConvexityAdjustment($D49)),0,_xll.qlFuturesRateHelperConvexityAdjustment($D49)),_xll.qlSwapRateHelperSpread($D49))</f>
        <v>0</v>
      </c>
      <c r="G49" s="200" t="e">
        <f>_xll.qlRateHelperEarliestDate($D49)</f>
        <v>#VALUE!</v>
      </c>
      <c r="H49" s="201" t="e">
        <f>_xll.qlRateHelperLatestDate($D49)</f>
        <v>#VALUE!</v>
      </c>
      <c r="I49" s="186" t="e">
        <v>#N/A</v>
      </c>
    </row>
    <row r="50" spans="4:9" x14ac:dyDescent="0.2">
      <c r="D50" s="189" t="e">
        <v>#N/A</v>
      </c>
      <c r="E50" s="190" t="e">
        <f>_xll.qlRateHelperRate($D50)</f>
        <v>#VALUE!</v>
      </c>
      <c r="F50" s="190">
        <f>IF(ISERROR(_xll.qlSwapRateHelperSpread($D50)),IF(ISERROR(_xll.qlFuturesRateHelperConvexityAdjustment($D50)),0,_xll.qlFuturesRateHelperConvexityAdjustment($D50)),_xll.qlSwapRateHelperSpread($D50))</f>
        <v>0</v>
      </c>
      <c r="G50" s="200" t="e">
        <f>_xll.qlRateHelperEarliestDate($D50)</f>
        <v>#VALUE!</v>
      </c>
      <c r="H50" s="201" t="e">
        <f>_xll.qlRateHelperLatestDate($D50)</f>
        <v>#VALUE!</v>
      </c>
      <c r="I50" s="186" t="e">
        <v>#N/A</v>
      </c>
    </row>
    <row r="51" spans="4:9" x14ac:dyDescent="0.2">
      <c r="D51" s="189" t="e">
        <v>#N/A</v>
      </c>
      <c r="E51" s="190" t="e">
        <f>_xll.qlRateHelperRate($D51)</f>
        <v>#VALUE!</v>
      </c>
      <c r="F51" s="190">
        <f>IF(ISERROR(_xll.qlSwapRateHelperSpread($D51)),IF(ISERROR(_xll.qlFuturesRateHelperConvexityAdjustment($D51)),0,_xll.qlFuturesRateHelperConvexityAdjustment($D51)),_xll.qlSwapRateHelperSpread($D51))</f>
        <v>0</v>
      </c>
      <c r="G51" s="200" t="e">
        <f>_xll.qlRateHelperEarliestDate($D51)</f>
        <v>#VALUE!</v>
      </c>
      <c r="H51" s="201" t="e">
        <f>_xll.qlRateHelperLatestDate($D51)</f>
        <v>#VALUE!</v>
      </c>
      <c r="I51" s="186" t="e">
        <v>#N/A</v>
      </c>
    </row>
    <row r="52" spans="4:9" x14ac:dyDescent="0.2">
      <c r="D52" s="189" t="e">
        <v>#N/A</v>
      </c>
      <c r="E52" s="190" t="e">
        <f>_xll.qlRateHelperRate($D52)</f>
        <v>#VALUE!</v>
      </c>
      <c r="F52" s="190">
        <f>IF(ISERROR(_xll.qlSwapRateHelperSpread($D52)),IF(ISERROR(_xll.qlFuturesRateHelperConvexityAdjustment($D52)),0,_xll.qlFuturesRateHelperConvexityAdjustment($D52)),_xll.qlSwapRateHelperSpread($D52))</f>
        <v>0</v>
      </c>
      <c r="G52" s="200" t="e">
        <f>_xll.qlRateHelperEarliestDate($D52)</f>
        <v>#VALUE!</v>
      </c>
      <c r="H52" s="201" t="e">
        <f>_xll.qlRateHelperLatestDate($D52)</f>
        <v>#VALUE!</v>
      </c>
      <c r="I52" s="186" t="e">
        <v>#N/A</v>
      </c>
    </row>
    <row r="53" spans="4:9" x14ac:dyDescent="0.2">
      <c r="D53" s="189" t="e">
        <v>#N/A</v>
      </c>
      <c r="E53" s="190" t="e">
        <f>_xll.qlRateHelperRate($D53)</f>
        <v>#VALUE!</v>
      </c>
      <c r="F53" s="190">
        <f>IF(ISERROR(_xll.qlSwapRateHelperSpread($D53)),IF(ISERROR(_xll.qlFuturesRateHelperConvexityAdjustment($D53)),0,_xll.qlFuturesRateHelperConvexityAdjustment($D53)),_xll.qlSwapRateHelperSpread($D53))</f>
        <v>0</v>
      </c>
      <c r="G53" s="200" t="e">
        <f>_xll.qlRateHelperEarliestDate($D53)</f>
        <v>#VALUE!</v>
      </c>
      <c r="H53" s="201" t="e">
        <f>_xll.qlRateHelperLatestDate($D53)</f>
        <v>#VALUE!</v>
      </c>
      <c r="I53" s="186" t="e">
        <v>#N/A</v>
      </c>
    </row>
    <row r="54" spans="4:9" x14ac:dyDescent="0.2">
      <c r="D54" s="189" t="e">
        <v>#N/A</v>
      </c>
      <c r="E54" s="190" t="e">
        <f>_xll.qlRateHelperRate($D54)</f>
        <v>#VALUE!</v>
      </c>
      <c r="F54" s="190">
        <f>IF(ISERROR(_xll.qlSwapRateHelperSpread($D54)),IF(ISERROR(_xll.qlFuturesRateHelperConvexityAdjustment($D54)),0,_xll.qlFuturesRateHelperConvexityAdjustment($D54)),_xll.qlSwapRateHelperSpread($D54))</f>
        <v>0</v>
      </c>
      <c r="G54" s="200" t="e">
        <f>_xll.qlRateHelperEarliestDate($D54)</f>
        <v>#VALUE!</v>
      </c>
      <c r="H54" s="201" t="e">
        <f>_xll.qlRateHelperLatestDate($D54)</f>
        <v>#VALUE!</v>
      </c>
      <c r="I54" s="186" t="e">
        <v>#N/A</v>
      </c>
    </row>
    <row r="55" spans="4:9" x14ac:dyDescent="0.2">
      <c r="D55" s="189" t="e">
        <v>#N/A</v>
      </c>
      <c r="E55" s="190" t="e">
        <f>_xll.qlRateHelperRate($D55)</f>
        <v>#VALUE!</v>
      </c>
      <c r="F55" s="190">
        <f>IF(ISERROR(_xll.qlSwapRateHelperSpread($D55)),IF(ISERROR(_xll.qlFuturesRateHelperConvexityAdjustment($D55)),0,_xll.qlFuturesRateHelperConvexityAdjustment($D55)),_xll.qlSwapRateHelperSpread($D55))</f>
        <v>0</v>
      </c>
      <c r="G55" s="200" t="e">
        <f>_xll.qlRateHelperEarliestDate($D55)</f>
        <v>#VALUE!</v>
      </c>
      <c r="H55" s="201" t="e">
        <f>_xll.qlRateHelperLatestDate($D55)</f>
        <v>#VALUE!</v>
      </c>
      <c r="I55" s="186" t="e">
        <v>#N/A</v>
      </c>
    </row>
    <row r="56" spans="4:9" x14ac:dyDescent="0.2">
      <c r="D56" s="189" t="e">
        <v>#N/A</v>
      </c>
      <c r="E56" s="190" t="e">
        <f>_xll.qlRateHelperRate($D56)</f>
        <v>#VALUE!</v>
      </c>
      <c r="F56" s="190">
        <f>IF(ISERROR(_xll.qlSwapRateHelperSpread($D56)),IF(ISERROR(_xll.qlFuturesRateHelperConvexityAdjustment($D56)),0,_xll.qlFuturesRateHelperConvexityAdjustment($D56)),_xll.qlSwapRateHelperSpread($D56))</f>
        <v>0</v>
      </c>
      <c r="G56" s="200" t="e">
        <f>_xll.qlRateHelperEarliestDate($D56)</f>
        <v>#VALUE!</v>
      </c>
      <c r="H56" s="201" t="e">
        <f>_xll.qlRateHelperLatestDate($D56)</f>
        <v>#VALUE!</v>
      </c>
      <c r="I56" s="186" t="e">
        <v>#N/A</v>
      </c>
    </row>
    <row r="57" spans="4:9" x14ac:dyDescent="0.2">
      <c r="D57" s="189" t="e">
        <v>#N/A</v>
      </c>
      <c r="E57" s="190" t="e">
        <f>_xll.qlRateHelperRate($D57)</f>
        <v>#VALUE!</v>
      </c>
      <c r="F57" s="190">
        <f>IF(ISERROR(_xll.qlSwapRateHelperSpread($D57)),IF(ISERROR(_xll.qlFuturesRateHelperConvexityAdjustment($D57)),0,_xll.qlFuturesRateHelperConvexityAdjustment($D57)),_xll.qlSwapRateHelperSpread($D57))</f>
        <v>0</v>
      </c>
      <c r="G57" s="200" t="e">
        <f>_xll.qlRateHelperEarliestDate($D57)</f>
        <v>#VALUE!</v>
      </c>
      <c r="H57" s="201" t="e">
        <f>_xll.qlRateHelperLatestDate($D57)</f>
        <v>#VALUE!</v>
      </c>
      <c r="I57" s="186" t="e">
        <v>#N/A</v>
      </c>
    </row>
    <row r="58" spans="4:9" x14ac:dyDescent="0.2">
      <c r="D58" s="189" t="e">
        <v>#N/A</v>
      </c>
      <c r="E58" s="190" t="e">
        <f>_xll.qlRateHelperRate($D58)</f>
        <v>#VALUE!</v>
      </c>
      <c r="F58" s="190">
        <f>IF(ISERROR(_xll.qlSwapRateHelperSpread($D58)),IF(ISERROR(_xll.qlFuturesRateHelperConvexityAdjustment($D58)),0,_xll.qlFuturesRateHelperConvexityAdjustment($D58)),_xll.qlSwapRateHelperSpread($D58))</f>
        <v>0</v>
      </c>
      <c r="G58" s="200" t="e">
        <f>_xll.qlRateHelperEarliestDate($D58)</f>
        <v>#VALUE!</v>
      </c>
      <c r="H58" s="201" t="e">
        <f>_xll.qlRateHelperLatestDate($D58)</f>
        <v>#VALUE!</v>
      </c>
      <c r="I58" s="186" t="e">
        <v>#N/A</v>
      </c>
    </row>
    <row r="59" spans="4:9" x14ac:dyDescent="0.2">
      <c r="D59" s="189" t="e">
        <v>#N/A</v>
      </c>
      <c r="E59" s="190" t="e">
        <f>_xll.qlRateHelperRate($D59)</f>
        <v>#VALUE!</v>
      </c>
      <c r="F59" s="190">
        <f>IF(ISERROR(_xll.qlSwapRateHelperSpread($D59)),IF(ISERROR(_xll.qlFuturesRateHelperConvexityAdjustment($D59)),0,_xll.qlFuturesRateHelperConvexityAdjustment($D59)),_xll.qlSwapRateHelperSpread($D59))</f>
        <v>0</v>
      </c>
      <c r="G59" s="200" t="e">
        <f>_xll.qlRateHelperEarliestDate($D59)</f>
        <v>#VALUE!</v>
      </c>
      <c r="H59" s="201" t="e">
        <f>_xll.qlRateHelperLatestDate($D59)</f>
        <v>#VALUE!</v>
      </c>
      <c r="I59" s="186" t="e">
        <v>#N/A</v>
      </c>
    </row>
    <row r="60" spans="4:9" x14ac:dyDescent="0.2">
      <c r="D60" s="189" t="e">
        <v>#N/A</v>
      </c>
      <c r="E60" s="190" t="e">
        <f>_xll.qlRateHelperRate($D60)</f>
        <v>#VALUE!</v>
      </c>
      <c r="F60" s="190">
        <f>IF(ISERROR(_xll.qlSwapRateHelperSpread($D60)),IF(ISERROR(_xll.qlFuturesRateHelperConvexityAdjustment($D60)),0,_xll.qlFuturesRateHelperConvexityAdjustment($D60)),_xll.qlSwapRateHelperSpread($D60))</f>
        <v>0</v>
      </c>
      <c r="G60" s="200" t="e">
        <f>_xll.qlRateHelperEarliestDate($D60)</f>
        <v>#VALUE!</v>
      </c>
      <c r="H60" s="201" t="e">
        <f>_xll.qlRateHelperLatestDate($D60)</f>
        <v>#VALUE!</v>
      </c>
      <c r="I60" s="186" t="e">
        <v>#N/A</v>
      </c>
    </row>
    <row r="61" spans="4:9" x14ac:dyDescent="0.2">
      <c r="D61" s="189" t="e">
        <v>#N/A</v>
      </c>
      <c r="E61" s="190" t="e">
        <f>_xll.qlRateHelperRate($D61)</f>
        <v>#VALUE!</v>
      </c>
      <c r="F61" s="190">
        <f>IF(ISERROR(_xll.qlSwapRateHelperSpread($D61)),IF(ISERROR(_xll.qlFuturesRateHelperConvexityAdjustment($D61)),0,_xll.qlFuturesRateHelperConvexityAdjustment($D61)),_xll.qlSwapRateHelperSpread($D61))</f>
        <v>0</v>
      </c>
      <c r="G61" s="200" t="e">
        <f>_xll.qlRateHelperEarliestDate($D61)</f>
        <v>#VALUE!</v>
      </c>
      <c r="H61" s="201" t="e">
        <f>_xll.qlRateHelperLatestDate($D61)</f>
        <v>#VALUE!</v>
      </c>
      <c r="I61" s="186" t="e">
        <v>#N/A</v>
      </c>
    </row>
    <row r="62" spans="4:9" x14ac:dyDescent="0.2">
      <c r="D62" s="189" t="e">
        <v>#N/A</v>
      </c>
      <c r="E62" s="190" t="e">
        <f>_xll.qlRateHelperRate($D62)</f>
        <v>#VALUE!</v>
      </c>
      <c r="F62" s="190">
        <f>IF(ISERROR(_xll.qlSwapRateHelperSpread($D62)),IF(ISERROR(_xll.qlFuturesRateHelperConvexityAdjustment($D62)),0,_xll.qlFuturesRateHelperConvexityAdjustment($D62)),_xll.qlSwapRateHelperSpread($D62))</f>
        <v>0</v>
      </c>
      <c r="G62" s="200" t="e">
        <f>_xll.qlRateHelperEarliestDate($D62)</f>
        <v>#VALUE!</v>
      </c>
      <c r="H62" s="201" t="e">
        <f>_xll.qlRateHelperLatestDate($D62)</f>
        <v>#VALUE!</v>
      </c>
      <c r="I62" s="186" t="e">
        <v>#N/A</v>
      </c>
    </row>
    <row r="63" spans="4:9" x14ac:dyDescent="0.2">
      <c r="D63" s="189" t="e">
        <v>#N/A</v>
      </c>
      <c r="E63" s="190" t="e">
        <f>_xll.qlRateHelperRate($D63)</f>
        <v>#VALUE!</v>
      </c>
      <c r="F63" s="190">
        <f>IF(ISERROR(_xll.qlSwapRateHelperSpread($D63)),IF(ISERROR(_xll.qlFuturesRateHelperConvexityAdjustment($D63)),0,_xll.qlFuturesRateHelperConvexityAdjustment($D63)),_xll.qlSwapRateHelperSpread($D63))</f>
        <v>0</v>
      </c>
      <c r="G63" s="200" t="e">
        <f>_xll.qlRateHelperEarliestDate($D63)</f>
        <v>#VALUE!</v>
      </c>
      <c r="H63" s="201" t="e">
        <f>_xll.qlRateHelperLatestDate($D63)</f>
        <v>#VALUE!</v>
      </c>
      <c r="I63" s="186" t="e">
        <v>#N/A</v>
      </c>
    </row>
    <row r="64" spans="4:9" x14ac:dyDescent="0.2">
      <c r="D64" s="189" t="e">
        <v>#N/A</v>
      </c>
      <c r="E64" s="190" t="e">
        <f>_xll.qlRateHelperRate($D64)</f>
        <v>#VALUE!</v>
      </c>
      <c r="F64" s="190">
        <f>IF(ISERROR(_xll.qlSwapRateHelperSpread($D64)),IF(ISERROR(_xll.qlFuturesRateHelperConvexityAdjustment($D64)),0,_xll.qlFuturesRateHelperConvexityAdjustment($D64)),_xll.qlSwapRateHelperSpread($D64))</f>
        <v>0</v>
      </c>
      <c r="G64" s="200" t="e">
        <f>_xll.qlRateHelperEarliestDate($D64)</f>
        <v>#VALUE!</v>
      </c>
      <c r="H64" s="201" t="e">
        <f>_xll.qlRateHelperLatestDate($D64)</f>
        <v>#VALUE!</v>
      </c>
      <c r="I64" s="186" t="e">
        <v>#N/A</v>
      </c>
    </row>
    <row r="65" spans="4:9" x14ac:dyDescent="0.2">
      <c r="D65" s="189" t="e">
        <v>#N/A</v>
      </c>
      <c r="E65" s="190" t="e">
        <f>_xll.qlRateHelperRate($D65)</f>
        <v>#VALUE!</v>
      </c>
      <c r="F65" s="190">
        <f>IF(ISERROR(_xll.qlSwapRateHelperSpread($D65)),IF(ISERROR(_xll.qlFuturesRateHelperConvexityAdjustment($D65)),0,_xll.qlFuturesRateHelperConvexityAdjustment($D65)),_xll.qlSwapRateHelperSpread($D65))</f>
        <v>0</v>
      </c>
      <c r="G65" s="200" t="e">
        <f>_xll.qlRateHelperEarliestDate($D65)</f>
        <v>#VALUE!</v>
      </c>
      <c r="H65" s="201" t="e">
        <f>_xll.qlRateHelperLatestDate($D65)</f>
        <v>#VALUE!</v>
      </c>
      <c r="I65" s="186" t="e">
        <v>#N/A</v>
      </c>
    </row>
    <row r="66" spans="4:9" x14ac:dyDescent="0.2">
      <c r="D66" s="189" t="e">
        <v>#N/A</v>
      </c>
      <c r="E66" s="190" t="e">
        <f>_xll.qlRateHelperRate($D66)</f>
        <v>#VALUE!</v>
      </c>
      <c r="F66" s="190">
        <f>IF(ISERROR(_xll.qlSwapRateHelperSpread($D66)),IF(ISERROR(_xll.qlFuturesRateHelperConvexityAdjustment($D66)),0,_xll.qlFuturesRateHelperConvexityAdjustment($D66)),_xll.qlSwapRateHelperSpread($D66))</f>
        <v>0</v>
      </c>
      <c r="G66" s="200" t="e">
        <f>_xll.qlRateHelperEarliestDate($D66)</f>
        <v>#VALUE!</v>
      </c>
      <c r="H66" s="201" t="e">
        <f>_xll.qlRateHelperLatestDate($D66)</f>
        <v>#VALUE!</v>
      </c>
      <c r="I66" s="186" t="e">
        <v>#N/A</v>
      </c>
    </row>
    <row r="67" spans="4:9" x14ac:dyDescent="0.2">
      <c r="D67" s="189" t="e">
        <v>#N/A</v>
      </c>
      <c r="E67" s="190" t="e">
        <f>_xll.qlRateHelperRate($D67)</f>
        <v>#VALUE!</v>
      </c>
      <c r="F67" s="190">
        <f>IF(ISERROR(_xll.qlSwapRateHelperSpread($D67)),IF(ISERROR(_xll.qlFuturesRateHelperConvexityAdjustment($D67)),0,_xll.qlFuturesRateHelperConvexityAdjustment($D67)),_xll.qlSwapRateHelperSpread($D67))</f>
        <v>0</v>
      </c>
      <c r="G67" s="200" t="e">
        <f>_xll.qlRateHelperEarliestDate($D67)</f>
        <v>#VALUE!</v>
      </c>
      <c r="H67" s="201" t="e">
        <f>_xll.qlRateHelperLatestDate($D67)</f>
        <v>#VALUE!</v>
      </c>
      <c r="I67" s="186" t="e">
        <v>#N/A</v>
      </c>
    </row>
    <row r="68" spans="4:9" x14ac:dyDescent="0.2">
      <c r="D68" s="189" t="e">
        <v>#N/A</v>
      </c>
      <c r="E68" s="190" t="e">
        <f>_xll.qlRateHelperRate($D68)</f>
        <v>#VALUE!</v>
      </c>
      <c r="F68" s="190">
        <f>IF(ISERROR(_xll.qlSwapRateHelperSpread($D68)),IF(ISERROR(_xll.qlFuturesRateHelperConvexityAdjustment($D68)),0,_xll.qlFuturesRateHelperConvexityAdjustment($D68)),_xll.qlSwapRateHelperSpread($D68))</f>
        <v>0</v>
      </c>
      <c r="G68" s="200" t="e">
        <f>_xll.qlRateHelperEarliestDate($D68)</f>
        <v>#VALUE!</v>
      </c>
      <c r="H68" s="201" t="e">
        <f>_xll.qlRateHelperLatestDate($D68)</f>
        <v>#VALUE!</v>
      </c>
      <c r="I68" s="186" t="e">
        <v>#N/A</v>
      </c>
    </row>
    <row r="69" spans="4:9" x14ac:dyDescent="0.2">
      <c r="D69" s="189" t="e">
        <v>#N/A</v>
      </c>
      <c r="E69" s="190" t="e">
        <f>_xll.qlRateHelperRate($D69)</f>
        <v>#VALUE!</v>
      </c>
      <c r="F69" s="190">
        <f>IF(ISERROR(_xll.qlSwapRateHelperSpread($D69)),IF(ISERROR(_xll.qlFuturesRateHelperConvexityAdjustment($D69)),0,_xll.qlFuturesRateHelperConvexityAdjustment($D69)),_xll.qlSwapRateHelperSpread($D69))</f>
        <v>0</v>
      </c>
      <c r="G69" s="200" t="e">
        <f>_xll.qlRateHelperEarliestDate($D69)</f>
        <v>#VALUE!</v>
      </c>
      <c r="H69" s="201" t="e">
        <f>_xll.qlRateHelperLatestDate($D69)</f>
        <v>#VALUE!</v>
      </c>
      <c r="I69" s="186" t="e">
        <v>#N/A</v>
      </c>
    </row>
    <row r="70" spans="4:9" x14ac:dyDescent="0.2">
      <c r="D70" s="189" t="e">
        <v>#N/A</v>
      </c>
      <c r="E70" s="190" t="e">
        <f>_xll.qlRateHelperRate($D70)</f>
        <v>#VALUE!</v>
      </c>
      <c r="F70" s="190">
        <f>IF(ISERROR(_xll.qlSwapRateHelperSpread($D70)),IF(ISERROR(_xll.qlFuturesRateHelperConvexityAdjustment($D70)),0,_xll.qlFuturesRateHelperConvexityAdjustment($D70)),_xll.qlSwapRateHelperSpread($D70))</f>
        <v>0</v>
      </c>
      <c r="G70" s="200" t="e">
        <f>_xll.qlRateHelperEarliestDate($D70)</f>
        <v>#VALUE!</v>
      </c>
      <c r="H70" s="201" t="e">
        <f>_xll.qlRateHelperLatestDate($D70)</f>
        <v>#VALUE!</v>
      </c>
      <c r="I70" s="186" t="e">
        <v>#N/A</v>
      </c>
    </row>
    <row r="71" spans="4:9" x14ac:dyDescent="0.2">
      <c r="D71" s="189" t="e">
        <v>#N/A</v>
      </c>
      <c r="E71" s="190" t="e">
        <f>_xll.qlRateHelperRate($D71)</f>
        <v>#VALUE!</v>
      </c>
      <c r="F71" s="190">
        <f>IF(ISERROR(_xll.qlSwapRateHelperSpread($D71)),IF(ISERROR(_xll.qlFuturesRateHelperConvexityAdjustment($D71)),0,_xll.qlFuturesRateHelperConvexityAdjustment($D71)),_xll.qlSwapRateHelperSpread($D71))</f>
        <v>0</v>
      </c>
      <c r="G71" s="200" t="e">
        <f>_xll.qlRateHelperEarliestDate($D71)</f>
        <v>#VALUE!</v>
      </c>
      <c r="H71" s="201" t="e">
        <f>_xll.qlRateHelperLatestDate($D71)</f>
        <v>#VALUE!</v>
      </c>
      <c r="I71" s="186" t="e">
        <v>#N/A</v>
      </c>
    </row>
    <row r="72" spans="4:9" x14ac:dyDescent="0.2">
      <c r="D72" s="189" t="e">
        <v>#N/A</v>
      </c>
      <c r="E72" s="190" t="e">
        <f>_xll.qlRateHelperRate($D72)</f>
        <v>#VALUE!</v>
      </c>
      <c r="F72" s="190">
        <f>IF(ISERROR(_xll.qlSwapRateHelperSpread($D72)),IF(ISERROR(_xll.qlFuturesRateHelperConvexityAdjustment($D72)),0,_xll.qlFuturesRateHelperConvexityAdjustment($D72)),_xll.qlSwapRateHelperSpread($D72))</f>
        <v>0</v>
      </c>
      <c r="G72" s="200" t="e">
        <f>_xll.qlRateHelperEarliestDate($D72)</f>
        <v>#VALUE!</v>
      </c>
      <c r="H72" s="201" t="e">
        <f>_xll.qlRateHelperLatestDate($D72)</f>
        <v>#VALUE!</v>
      </c>
      <c r="I72" s="186" t="e">
        <v>#N/A</v>
      </c>
    </row>
    <row r="73" spans="4:9" x14ac:dyDescent="0.2">
      <c r="D73" s="189" t="e">
        <v>#N/A</v>
      </c>
      <c r="E73" s="190" t="e">
        <f>_xll.qlRateHelperRate($D73)</f>
        <v>#VALUE!</v>
      </c>
      <c r="F73" s="190">
        <f>IF(ISERROR(_xll.qlSwapRateHelperSpread($D73)),IF(ISERROR(_xll.qlFuturesRateHelperConvexityAdjustment($D73)),0,_xll.qlFuturesRateHelperConvexityAdjustment($D73)),_xll.qlSwapRateHelperSpread($D73))</f>
        <v>0</v>
      </c>
      <c r="G73" s="200" t="e">
        <f>_xll.qlRateHelperEarliestDate($D73)</f>
        <v>#VALUE!</v>
      </c>
      <c r="H73" s="201" t="e">
        <f>_xll.qlRateHelperLatestDate($D73)</f>
        <v>#VALUE!</v>
      </c>
      <c r="I73" s="186" t="e">
        <v>#N/A</v>
      </c>
    </row>
    <row r="74" spans="4:9" x14ac:dyDescent="0.2">
      <c r="D74" s="189" t="e">
        <v>#N/A</v>
      </c>
      <c r="E74" s="190" t="e">
        <f>_xll.qlRateHelperRate($D74)</f>
        <v>#VALUE!</v>
      </c>
      <c r="F74" s="190">
        <f>IF(ISERROR(_xll.qlSwapRateHelperSpread($D74)),IF(ISERROR(_xll.qlFuturesRateHelperConvexityAdjustment($D74)),0,_xll.qlFuturesRateHelperConvexityAdjustment($D74)),_xll.qlSwapRateHelperSpread($D74))</f>
        <v>0</v>
      </c>
      <c r="G74" s="200" t="e">
        <f>_xll.qlRateHelperEarliestDate($D74)</f>
        <v>#VALUE!</v>
      </c>
      <c r="H74" s="201" t="e">
        <f>_xll.qlRateHelperLatestDate($D74)</f>
        <v>#VALUE!</v>
      </c>
      <c r="I74" s="186" t="e">
        <v>#N/A</v>
      </c>
    </row>
    <row r="75" spans="4:9" x14ac:dyDescent="0.2">
      <c r="D75" s="189" t="e">
        <v>#N/A</v>
      </c>
      <c r="E75" s="190" t="e">
        <f>_xll.qlRateHelperRate($D75)</f>
        <v>#VALUE!</v>
      </c>
      <c r="F75" s="190">
        <f>IF(ISERROR(_xll.qlSwapRateHelperSpread($D75)),IF(ISERROR(_xll.qlFuturesRateHelperConvexityAdjustment($D75)),0,_xll.qlFuturesRateHelperConvexityAdjustment($D75)),_xll.qlSwapRateHelperSpread($D75))</f>
        <v>0</v>
      </c>
      <c r="G75" s="200" t="e">
        <f>_xll.qlRateHelperEarliestDate($D75)</f>
        <v>#VALUE!</v>
      </c>
      <c r="H75" s="201" t="e">
        <f>_xll.qlRateHelperLatestDate($D75)</f>
        <v>#VALUE!</v>
      </c>
      <c r="I75" s="186" t="e">
        <v>#N/A</v>
      </c>
    </row>
    <row r="76" spans="4:9" x14ac:dyDescent="0.2">
      <c r="D76" s="189" t="e">
        <v>#N/A</v>
      </c>
      <c r="E76" s="190" t="e">
        <f>_xll.qlRateHelperRate($D76)</f>
        <v>#VALUE!</v>
      </c>
      <c r="F76" s="190">
        <f>IF(ISERROR(_xll.qlSwapRateHelperSpread($D76)),IF(ISERROR(_xll.qlFuturesRateHelperConvexityAdjustment($D76)),0,_xll.qlFuturesRateHelperConvexityAdjustment($D76)),_xll.qlSwapRateHelperSpread($D76))</f>
        <v>0</v>
      </c>
      <c r="G76" s="200" t="e">
        <f>_xll.qlRateHelperEarliestDate($D76)</f>
        <v>#VALUE!</v>
      </c>
      <c r="H76" s="201" t="e">
        <f>_xll.qlRateHelperLatestDate($D76)</f>
        <v>#VALUE!</v>
      </c>
      <c r="I76" s="186" t="e">
        <v>#N/A</v>
      </c>
    </row>
    <row r="77" spans="4:9" x14ac:dyDescent="0.2">
      <c r="D77" s="189" t="e">
        <v>#N/A</v>
      </c>
      <c r="E77" s="190" t="e">
        <f>_xll.qlRateHelperRate($D77)</f>
        <v>#VALUE!</v>
      </c>
      <c r="F77" s="190">
        <f>IF(ISERROR(_xll.qlSwapRateHelperSpread($D77)),IF(ISERROR(_xll.qlFuturesRateHelperConvexityAdjustment($D77)),0,_xll.qlFuturesRateHelperConvexityAdjustment($D77)),_xll.qlSwapRateHelperSpread($D77))</f>
        <v>0</v>
      </c>
      <c r="G77" s="200" t="e">
        <f>_xll.qlRateHelperEarliestDate($D77)</f>
        <v>#VALUE!</v>
      </c>
      <c r="H77" s="201" t="e">
        <f>_xll.qlRateHelperLatestDate($D77)</f>
        <v>#VALUE!</v>
      </c>
      <c r="I77" s="186" t="e">
        <v>#N/A</v>
      </c>
    </row>
    <row r="78" spans="4:9" x14ac:dyDescent="0.2">
      <c r="D78" s="189" t="e">
        <v>#N/A</v>
      </c>
      <c r="E78" s="190" t="e">
        <f>_xll.qlRateHelperRate($D78)</f>
        <v>#VALUE!</v>
      </c>
      <c r="F78" s="190">
        <f>IF(ISERROR(_xll.qlSwapRateHelperSpread($D78)),IF(ISERROR(_xll.qlFuturesRateHelperConvexityAdjustment($D78)),0,_xll.qlFuturesRateHelperConvexityAdjustment($D78)),_xll.qlSwapRateHelperSpread($D78))</f>
        <v>0</v>
      </c>
      <c r="G78" s="200" t="e">
        <f>_xll.qlRateHelperEarliestDate($D78)</f>
        <v>#VALUE!</v>
      </c>
      <c r="H78" s="201" t="e">
        <f>_xll.qlRateHelperLatestDate($D78)</f>
        <v>#VALUE!</v>
      </c>
      <c r="I78" s="186" t="e">
        <v>#N/A</v>
      </c>
    </row>
    <row r="79" spans="4:9" x14ac:dyDescent="0.2">
      <c r="D79" s="189" t="e">
        <v>#N/A</v>
      </c>
      <c r="E79" s="190" t="e">
        <f>_xll.qlRateHelperRate($D79)</f>
        <v>#VALUE!</v>
      </c>
      <c r="F79" s="190">
        <f>IF(ISERROR(_xll.qlSwapRateHelperSpread($D79)),IF(ISERROR(_xll.qlFuturesRateHelperConvexityAdjustment($D79)),0,_xll.qlFuturesRateHelperConvexityAdjustment($D79)),_xll.qlSwapRateHelperSpread($D79))</f>
        <v>0</v>
      </c>
      <c r="G79" s="200" t="e">
        <f>_xll.qlRateHelperEarliestDate($D79)</f>
        <v>#VALUE!</v>
      </c>
      <c r="H79" s="201" t="e">
        <f>_xll.qlRateHelperLatestDate($D79)</f>
        <v>#VALUE!</v>
      </c>
      <c r="I79" s="186" t="e">
        <v>#N/A</v>
      </c>
    </row>
    <row r="80" spans="4:9" x14ac:dyDescent="0.2">
      <c r="D80" s="189" t="e">
        <v>#N/A</v>
      </c>
      <c r="E80" s="190" t="e">
        <f>_xll.qlRateHelperRate($D80)</f>
        <v>#VALUE!</v>
      </c>
      <c r="F80" s="190">
        <f>IF(ISERROR(_xll.qlSwapRateHelperSpread($D80)),IF(ISERROR(_xll.qlFuturesRateHelperConvexityAdjustment($D80)),0,_xll.qlFuturesRateHelperConvexityAdjustment($D80)),_xll.qlSwapRateHelperSpread($D80))</f>
        <v>0</v>
      </c>
      <c r="G80" s="200" t="e">
        <f>_xll.qlRateHelperEarliestDate($D80)</f>
        <v>#VALUE!</v>
      </c>
      <c r="H80" s="201" t="e">
        <f>_xll.qlRateHelperLatestDate($D80)</f>
        <v>#VALUE!</v>
      </c>
      <c r="I80" s="186" t="e">
        <v>#N/A</v>
      </c>
    </row>
    <row r="81" spans="4:9" x14ac:dyDescent="0.2">
      <c r="D81" s="189" t="e">
        <v>#N/A</v>
      </c>
      <c r="E81" s="190" t="e">
        <f>_xll.qlRateHelperRate($D81)</f>
        <v>#VALUE!</v>
      </c>
      <c r="F81" s="190">
        <f>IF(ISERROR(_xll.qlSwapRateHelperSpread($D81)),IF(ISERROR(_xll.qlFuturesRateHelperConvexityAdjustment($D81)),0,_xll.qlFuturesRateHelperConvexityAdjustment($D81)),_xll.qlSwapRateHelperSpread($D81))</f>
        <v>0</v>
      </c>
      <c r="G81" s="200" t="e">
        <f>_xll.qlRateHelperEarliestDate($D81)</f>
        <v>#VALUE!</v>
      </c>
      <c r="H81" s="201" t="e">
        <f>_xll.qlRateHelperLatestDate($D81)</f>
        <v>#VALUE!</v>
      </c>
      <c r="I81" s="186" t="e">
        <v>#N/A</v>
      </c>
    </row>
    <row r="82" spans="4:9" x14ac:dyDescent="0.2">
      <c r="D82" s="189" t="e">
        <v>#N/A</v>
      </c>
      <c r="E82" s="190" t="e">
        <f>_xll.qlRateHelperRate($D82)</f>
        <v>#VALUE!</v>
      </c>
      <c r="F82" s="190">
        <f>IF(ISERROR(_xll.qlSwapRateHelperSpread($D82)),IF(ISERROR(_xll.qlFuturesRateHelperConvexityAdjustment($D82)),0,_xll.qlFuturesRateHelperConvexityAdjustment($D82)),_xll.qlSwapRateHelperSpread($D82))</f>
        <v>0</v>
      </c>
      <c r="G82" s="200" t="e">
        <f>_xll.qlRateHelperEarliestDate($D82)</f>
        <v>#VALUE!</v>
      </c>
      <c r="H82" s="201" t="e">
        <f>_xll.qlRateHelperLatestDate($D82)</f>
        <v>#VALUE!</v>
      </c>
      <c r="I82" s="186" t="e">
        <v>#N/A</v>
      </c>
    </row>
    <row r="83" spans="4:9" x14ac:dyDescent="0.2">
      <c r="D83" s="189" t="e">
        <v>#N/A</v>
      </c>
      <c r="E83" s="190" t="e">
        <f>_xll.qlRateHelperRate($D83)</f>
        <v>#VALUE!</v>
      </c>
      <c r="F83" s="190">
        <f>IF(ISERROR(_xll.qlSwapRateHelperSpread($D83)),IF(ISERROR(_xll.qlFuturesRateHelperConvexityAdjustment($D83)),0,_xll.qlFuturesRateHelperConvexityAdjustment($D83)),_xll.qlSwapRateHelperSpread($D83))</f>
        <v>0</v>
      </c>
      <c r="G83" s="200" t="e">
        <f>_xll.qlRateHelperEarliestDate($D83)</f>
        <v>#VALUE!</v>
      </c>
      <c r="H83" s="201" t="e">
        <f>_xll.qlRateHelperLatestDate($D83)</f>
        <v>#VALUE!</v>
      </c>
      <c r="I83" s="186" t="e">
        <v>#N/A</v>
      </c>
    </row>
    <row r="84" spans="4:9" x14ac:dyDescent="0.2">
      <c r="D84" s="189" t="e">
        <v>#N/A</v>
      </c>
      <c r="E84" s="190" t="e">
        <f>_xll.qlRateHelperRate($D84)</f>
        <v>#VALUE!</v>
      </c>
      <c r="F84" s="190">
        <f>IF(ISERROR(_xll.qlSwapRateHelperSpread($D84)),IF(ISERROR(_xll.qlFuturesRateHelperConvexityAdjustment($D84)),0,_xll.qlFuturesRateHelperConvexityAdjustment($D84)),_xll.qlSwapRateHelperSpread($D84))</f>
        <v>0</v>
      </c>
      <c r="G84" s="200" t="e">
        <f>_xll.qlRateHelperEarliestDate($D84)</f>
        <v>#VALUE!</v>
      </c>
      <c r="H84" s="201" t="e">
        <f>_xll.qlRateHelperLatestDate($D84)</f>
        <v>#VALUE!</v>
      </c>
      <c r="I84" s="186" t="e">
        <v>#N/A</v>
      </c>
    </row>
    <row r="85" spans="4:9" x14ac:dyDescent="0.2">
      <c r="D85" s="189" t="e">
        <v>#N/A</v>
      </c>
      <c r="E85" s="190" t="e">
        <f>_xll.qlRateHelperRate($D85)</f>
        <v>#VALUE!</v>
      </c>
      <c r="F85" s="190">
        <f>IF(ISERROR(_xll.qlSwapRateHelperSpread($D85)),IF(ISERROR(_xll.qlFuturesRateHelperConvexityAdjustment($D85)),0,_xll.qlFuturesRateHelperConvexityAdjustment($D85)),_xll.qlSwapRateHelperSpread($D85))</f>
        <v>0</v>
      </c>
      <c r="G85" s="200" t="e">
        <f>_xll.qlRateHelperEarliestDate($D85)</f>
        <v>#VALUE!</v>
      </c>
      <c r="H85" s="201" t="e">
        <f>_xll.qlRateHelperLatestDate($D85)</f>
        <v>#VALUE!</v>
      </c>
      <c r="I85" s="186" t="e">
        <v>#N/A</v>
      </c>
    </row>
    <row r="86" spans="4:9" x14ac:dyDescent="0.2">
      <c r="D86" s="189" t="e">
        <v>#N/A</v>
      </c>
      <c r="E86" s="190" t="e">
        <f>_xll.qlRateHelperRate($D86)</f>
        <v>#VALUE!</v>
      </c>
      <c r="F86" s="190">
        <f>IF(ISERROR(_xll.qlSwapRateHelperSpread($D86)),IF(ISERROR(_xll.qlFuturesRateHelperConvexityAdjustment($D86)),0,_xll.qlFuturesRateHelperConvexityAdjustment($D86)),_xll.qlSwapRateHelperSpread($D86))</f>
        <v>0</v>
      </c>
      <c r="G86" s="200" t="e">
        <f>_xll.qlRateHelperEarliestDate($D86)</f>
        <v>#VALUE!</v>
      </c>
      <c r="H86" s="201" t="e">
        <f>_xll.qlRateHelperLatestDate($D86)</f>
        <v>#VALUE!</v>
      </c>
      <c r="I86" s="186" t="e">
        <v>#N/A</v>
      </c>
    </row>
    <row r="87" spans="4:9" x14ac:dyDescent="0.2">
      <c r="D87" s="189" t="e">
        <v>#N/A</v>
      </c>
      <c r="E87" s="190" t="e">
        <f>_xll.qlRateHelperRate($D87)</f>
        <v>#VALUE!</v>
      </c>
      <c r="F87" s="190">
        <f>IF(ISERROR(_xll.qlSwapRateHelperSpread($D87)),IF(ISERROR(_xll.qlFuturesRateHelperConvexityAdjustment($D87)),0,_xll.qlFuturesRateHelperConvexityAdjustment($D87)),_xll.qlSwapRateHelperSpread($D87))</f>
        <v>0</v>
      </c>
      <c r="G87" s="200" t="e">
        <f>_xll.qlRateHelperEarliestDate($D87)</f>
        <v>#VALUE!</v>
      </c>
      <c r="H87" s="201" t="e">
        <f>_xll.qlRateHelperLatestDate($D87)</f>
        <v>#VALUE!</v>
      </c>
      <c r="I87" s="186" t="e">
        <v>#N/A</v>
      </c>
    </row>
    <row r="88" spans="4:9" x14ac:dyDescent="0.2">
      <c r="D88" s="189" t="e">
        <v>#N/A</v>
      </c>
      <c r="E88" s="190" t="e">
        <f>_xll.qlRateHelperRate($D88)</f>
        <v>#VALUE!</v>
      </c>
      <c r="F88" s="190">
        <f>IF(ISERROR(_xll.qlSwapRateHelperSpread($D88)),IF(ISERROR(_xll.qlFuturesRateHelperConvexityAdjustment($D88)),0,_xll.qlFuturesRateHelperConvexityAdjustment($D88)),_xll.qlSwapRateHelperSpread($D88))</f>
        <v>0</v>
      </c>
      <c r="G88" s="200" t="e">
        <f>_xll.qlRateHelperEarliestDate($D88)</f>
        <v>#VALUE!</v>
      </c>
      <c r="H88" s="201" t="e">
        <f>_xll.qlRateHelperLatestDate($D88)</f>
        <v>#VALUE!</v>
      </c>
      <c r="I88" s="186" t="e">
        <v>#N/A</v>
      </c>
    </row>
    <row r="89" spans="4:9" x14ac:dyDescent="0.2">
      <c r="D89" s="189" t="e">
        <v>#N/A</v>
      </c>
      <c r="E89" s="190" t="e">
        <f>_xll.qlRateHelperRate($D89)</f>
        <v>#VALUE!</v>
      </c>
      <c r="F89" s="190">
        <f>IF(ISERROR(_xll.qlSwapRateHelperSpread($D89)),IF(ISERROR(_xll.qlFuturesRateHelperConvexityAdjustment($D89)),0,_xll.qlFuturesRateHelperConvexityAdjustment($D89)),_xll.qlSwapRateHelperSpread($D89))</f>
        <v>0</v>
      </c>
      <c r="G89" s="200" t="e">
        <f>_xll.qlRateHelperEarliestDate($D89)</f>
        <v>#VALUE!</v>
      </c>
      <c r="H89" s="201" t="e">
        <f>_xll.qlRateHelperLatestDate($D89)</f>
        <v>#VALUE!</v>
      </c>
      <c r="I89" s="186" t="e">
        <v>#N/A</v>
      </c>
    </row>
    <row r="90" spans="4:9" x14ac:dyDescent="0.2">
      <c r="D90" s="189" t="e">
        <v>#N/A</v>
      </c>
      <c r="E90" s="190" t="e">
        <f>_xll.qlRateHelperRate($D90)</f>
        <v>#VALUE!</v>
      </c>
      <c r="F90" s="190">
        <f>IF(ISERROR(_xll.qlSwapRateHelperSpread($D90)),IF(ISERROR(_xll.qlFuturesRateHelperConvexityAdjustment($D90)),0,_xll.qlFuturesRateHelperConvexityAdjustment($D90)),_xll.qlSwapRateHelperSpread($D90))</f>
        <v>0</v>
      </c>
      <c r="G90" s="200" t="e">
        <f>_xll.qlRateHelperEarliestDate($D90)</f>
        <v>#VALUE!</v>
      </c>
      <c r="H90" s="201" t="e">
        <f>_xll.qlRateHelperLatestDate($D90)</f>
        <v>#VALUE!</v>
      </c>
      <c r="I90" s="186" t="e">
        <v>#N/A</v>
      </c>
    </row>
    <row r="91" spans="4:9" x14ac:dyDescent="0.2">
      <c r="D91" s="189" t="e">
        <v>#N/A</v>
      </c>
      <c r="E91" s="190" t="e">
        <f>_xll.qlRateHelperRate($D91)</f>
        <v>#VALUE!</v>
      </c>
      <c r="F91" s="190">
        <f>IF(ISERROR(_xll.qlSwapRateHelperSpread($D91)),IF(ISERROR(_xll.qlFuturesRateHelperConvexityAdjustment($D91)),0,_xll.qlFuturesRateHelperConvexityAdjustment($D91)),_xll.qlSwapRateHelperSpread($D91))</f>
        <v>0</v>
      </c>
      <c r="G91" s="200" t="e">
        <f>_xll.qlRateHelperEarliestDate($D91)</f>
        <v>#VALUE!</v>
      </c>
      <c r="H91" s="201" t="e">
        <f>_xll.qlRateHelperLatestDate($D91)</f>
        <v>#VALUE!</v>
      </c>
      <c r="I91" s="186" t="e">
        <v>#N/A</v>
      </c>
    </row>
    <row r="92" spans="4:9" x14ac:dyDescent="0.2">
      <c r="D92" s="189" t="e">
        <v>#N/A</v>
      </c>
      <c r="E92" s="190" t="e">
        <f>_xll.qlRateHelperRate($D92)</f>
        <v>#VALUE!</v>
      </c>
      <c r="F92" s="190">
        <f>IF(ISERROR(_xll.qlSwapRateHelperSpread($D92)),IF(ISERROR(_xll.qlFuturesRateHelperConvexityAdjustment($D92)),0,_xll.qlFuturesRateHelperConvexityAdjustment($D92)),_xll.qlSwapRateHelperSpread($D92))</f>
        <v>0</v>
      </c>
      <c r="G92" s="200" t="e">
        <f>_xll.qlRateHelperEarliestDate($D92)</f>
        <v>#VALUE!</v>
      </c>
      <c r="H92" s="201" t="e">
        <f>_xll.qlRateHelperLatestDate($D92)</f>
        <v>#VALUE!</v>
      </c>
      <c r="I92" s="186" t="e">
        <v>#N/A</v>
      </c>
    </row>
    <row r="93" spans="4:9" x14ac:dyDescent="0.2">
      <c r="D93" s="189" t="e">
        <v>#N/A</v>
      </c>
      <c r="E93" s="190" t="e">
        <f>_xll.qlRateHelperRate($D93)</f>
        <v>#VALUE!</v>
      </c>
      <c r="F93" s="190">
        <f>IF(ISERROR(_xll.qlSwapRateHelperSpread($D93)),IF(ISERROR(_xll.qlFuturesRateHelperConvexityAdjustment($D93)),0,_xll.qlFuturesRateHelperConvexityAdjustment($D93)),_xll.qlSwapRateHelperSpread($D93))</f>
        <v>0</v>
      </c>
      <c r="G93" s="200" t="e">
        <f>_xll.qlRateHelperEarliestDate($D93)</f>
        <v>#VALUE!</v>
      </c>
      <c r="H93" s="201" t="e">
        <f>_xll.qlRateHelperLatestDate($D93)</f>
        <v>#VALUE!</v>
      </c>
      <c r="I93" s="186" t="e">
        <v>#N/A</v>
      </c>
    </row>
    <row r="94" spans="4:9" x14ac:dyDescent="0.2">
      <c r="D94" s="189" t="e">
        <v>#N/A</v>
      </c>
      <c r="E94" s="190" t="e">
        <f>_xll.qlRateHelperRate($D94)</f>
        <v>#VALUE!</v>
      </c>
      <c r="F94" s="190">
        <f>IF(ISERROR(_xll.qlSwapRateHelperSpread($D94)),IF(ISERROR(_xll.qlFuturesRateHelperConvexityAdjustment($D94)),0,_xll.qlFuturesRateHelperConvexityAdjustment($D94)),_xll.qlSwapRateHelperSpread($D94))</f>
        <v>0</v>
      </c>
      <c r="G94" s="200" t="e">
        <f>_xll.qlRateHelperEarliestDate($D94)</f>
        <v>#VALUE!</v>
      </c>
      <c r="H94" s="201" t="e">
        <f>_xll.qlRateHelperLatestDate($D94)</f>
        <v>#VALUE!</v>
      </c>
      <c r="I94" s="186" t="e">
        <v>#N/A</v>
      </c>
    </row>
    <row r="95" spans="4:9" x14ac:dyDescent="0.2">
      <c r="D95" s="189" t="e">
        <v>#N/A</v>
      </c>
      <c r="E95" s="190" t="e">
        <f>_xll.qlRateHelperRate($D95)</f>
        <v>#VALUE!</v>
      </c>
      <c r="F95" s="190">
        <f>IF(ISERROR(_xll.qlSwapRateHelperSpread($D95)),IF(ISERROR(_xll.qlFuturesRateHelperConvexityAdjustment($D95)),0,_xll.qlFuturesRateHelperConvexityAdjustment($D95)),_xll.qlSwapRateHelperSpread($D95))</f>
        <v>0</v>
      </c>
      <c r="G95" s="200" t="e">
        <f>_xll.qlRateHelperEarliestDate($D95)</f>
        <v>#VALUE!</v>
      </c>
      <c r="H95" s="201" t="e">
        <f>_xll.qlRateHelperLatestDate($D95)</f>
        <v>#VALUE!</v>
      </c>
      <c r="I95" s="186" t="e">
        <v>#N/A</v>
      </c>
    </row>
    <row r="96" spans="4:9" x14ac:dyDescent="0.2">
      <c r="D96" s="189" t="e">
        <v>#N/A</v>
      </c>
      <c r="E96" s="190" t="e">
        <f>_xll.qlRateHelperRate($D96)</f>
        <v>#VALUE!</v>
      </c>
      <c r="F96" s="190">
        <f>IF(ISERROR(_xll.qlSwapRateHelperSpread($D96)),IF(ISERROR(_xll.qlFuturesRateHelperConvexityAdjustment($D96)),0,_xll.qlFuturesRateHelperConvexityAdjustment($D96)),_xll.qlSwapRateHelperSpread($D96))</f>
        <v>0</v>
      </c>
      <c r="G96" s="200" t="e">
        <f>_xll.qlRateHelperEarliestDate($D96)</f>
        <v>#VALUE!</v>
      </c>
      <c r="H96" s="201" t="e">
        <f>_xll.qlRateHelperLatestDate($D96)</f>
        <v>#VALUE!</v>
      </c>
      <c r="I96" s="186" t="e">
        <v>#N/A</v>
      </c>
    </row>
    <row r="97" spans="4:9" x14ac:dyDescent="0.2">
      <c r="D97" s="189" t="e">
        <v>#N/A</v>
      </c>
      <c r="E97" s="190" t="e">
        <f>_xll.qlRateHelperRate($D97)</f>
        <v>#VALUE!</v>
      </c>
      <c r="F97" s="190">
        <f>IF(ISERROR(_xll.qlSwapRateHelperSpread($D97)),IF(ISERROR(_xll.qlFuturesRateHelperConvexityAdjustment($D97)),0,_xll.qlFuturesRateHelperConvexityAdjustment($D97)),_xll.qlSwapRateHelperSpread($D97))</f>
        <v>0</v>
      </c>
      <c r="G97" s="200" t="e">
        <f>_xll.qlRateHelperEarliestDate($D97)</f>
        <v>#VALUE!</v>
      </c>
      <c r="H97" s="201" t="e">
        <f>_xll.qlRateHelperLatestDate($D97)</f>
        <v>#VALUE!</v>
      </c>
      <c r="I97" s="186" t="e">
        <v>#N/A</v>
      </c>
    </row>
    <row r="98" spans="4:9" x14ac:dyDescent="0.2">
      <c r="D98" s="189" t="e">
        <v>#N/A</v>
      </c>
      <c r="E98" s="190" t="e">
        <f>_xll.qlRateHelperRate($D98)</f>
        <v>#VALUE!</v>
      </c>
      <c r="F98" s="190">
        <f>IF(ISERROR(_xll.qlSwapRateHelperSpread($D98)),IF(ISERROR(_xll.qlFuturesRateHelperConvexityAdjustment($D98)),0,_xll.qlFuturesRateHelperConvexityAdjustment($D98)),_xll.qlSwapRateHelperSpread($D98))</f>
        <v>0</v>
      </c>
      <c r="G98" s="200" t="e">
        <f>_xll.qlRateHelperEarliestDate($D98)</f>
        <v>#VALUE!</v>
      </c>
      <c r="H98" s="201" t="e">
        <f>_xll.qlRateHelperLatestDate($D98)</f>
        <v>#VALUE!</v>
      </c>
      <c r="I98" s="186" t="e">
        <v>#N/A</v>
      </c>
    </row>
    <row r="99" spans="4:9" x14ac:dyDescent="0.2">
      <c r="D99" s="189" t="e">
        <v>#N/A</v>
      </c>
      <c r="E99" s="190" t="e">
        <f>_xll.qlRateHelperRate($D99)</f>
        <v>#VALUE!</v>
      </c>
      <c r="F99" s="190">
        <f>IF(ISERROR(_xll.qlSwapRateHelperSpread($D99)),IF(ISERROR(_xll.qlFuturesRateHelperConvexityAdjustment($D99)),0,_xll.qlFuturesRateHelperConvexityAdjustment($D99)),_xll.qlSwapRateHelperSpread($D99))</f>
        <v>0</v>
      </c>
      <c r="G99" s="200" t="e">
        <f>_xll.qlRateHelperEarliestDate($D99)</f>
        <v>#VALUE!</v>
      </c>
      <c r="H99" s="201" t="e">
        <f>_xll.qlRateHelperLatestDate($D99)</f>
        <v>#VALUE!</v>
      </c>
      <c r="I99" s="186" t="e">
        <v>#N/A</v>
      </c>
    </row>
    <row r="100" spans="4:9" x14ac:dyDescent="0.2">
      <c r="D100" s="189" t="e">
        <v>#N/A</v>
      </c>
      <c r="E100" s="190" t="e">
        <f>_xll.qlRateHelperRate($D100)</f>
        <v>#VALUE!</v>
      </c>
      <c r="F100" s="190">
        <f>IF(ISERROR(_xll.qlSwapRateHelperSpread($D100)),IF(ISERROR(_xll.qlFuturesRateHelperConvexityAdjustment($D100)),0,_xll.qlFuturesRateHelperConvexityAdjustment($D100)),_xll.qlSwapRateHelperSpread($D100))</f>
        <v>0</v>
      </c>
      <c r="G100" s="200" t="e">
        <f>_xll.qlRateHelperEarliestDate($D100)</f>
        <v>#VALUE!</v>
      </c>
      <c r="H100" s="201" t="e">
        <f>_xll.qlRateHelperLatestDate($D100)</f>
        <v>#VALUE!</v>
      </c>
      <c r="I100" s="186" t="e">
        <v>#N/A</v>
      </c>
    </row>
    <row r="101" spans="4:9" x14ac:dyDescent="0.2">
      <c r="D101" s="189" t="e">
        <v>#N/A</v>
      </c>
      <c r="E101" s="190" t="e">
        <f>_xll.qlRateHelperRate($D101)</f>
        <v>#VALUE!</v>
      </c>
      <c r="F101" s="190">
        <f>IF(ISERROR(_xll.qlSwapRateHelperSpread($D101)),IF(ISERROR(_xll.qlFuturesRateHelperConvexityAdjustment($D101)),0,_xll.qlFuturesRateHelperConvexityAdjustment($D101)),_xll.qlSwapRateHelperSpread($D101))</f>
        <v>0</v>
      </c>
      <c r="G101" s="200" t="e">
        <f>_xll.qlRateHelperEarliestDate($D101)</f>
        <v>#VALUE!</v>
      </c>
      <c r="H101" s="201" t="e">
        <f>_xll.qlRateHelperLatestDate($D101)</f>
        <v>#VALUE!</v>
      </c>
      <c r="I101" s="186" t="e">
        <v>#N/A</v>
      </c>
    </row>
    <row r="102" spans="4:9" x14ac:dyDescent="0.2">
      <c r="D102" s="189" t="e">
        <v>#N/A</v>
      </c>
      <c r="E102" s="190" t="e">
        <f>_xll.qlRateHelperRate($D102)</f>
        <v>#VALUE!</v>
      </c>
      <c r="F102" s="190">
        <f>IF(ISERROR(_xll.qlSwapRateHelperSpread($D102)),IF(ISERROR(_xll.qlFuturesRateHelperConvexityAdjustment($D102)),0,_xll.qlFuturesRateHelperConvexityAdjustment($D102)),_xll.qlSwapRateHelperSpread($D102))</f>
        <v>0</v>
      </c>
      <c r="G102" s="200" t="e">
        <f>_xll.qlRateHelperEarliestDate($D102)</f>
        <v>#VALUE!</v>
      </c>
      <c r="H102" s="201" t="e">
        <f>_xll.qlRateHelperLatestDate($D102)</f>
        <v>#VALUE!</v>
      </c>
      <c r="I102" s="186" t="e">
        <v>#N/A</v>
      </c>
    </row>
    <row r="103" spans="4:9" x14ac:dyDescent="0.2">
      <c r="D103" s="189" t="e">
        <v>#N/A</v>
      </c>
      <c r="E103" s="190" t="e">
        <f>_xll.qlRateHelperRate($D103)</f>
        <v>#VALUE!</v>
      </c>
      <c r="F103" s="190">
        <f>IF(ISERROR(_xll.qlSwapRateHelperSpread($D103)),IF(ISERROR(_xll.qlFuturesRateHelperConvexityAdjustment($D103)),0,_xll.qlFuturesRateHelperConvexityAdjustment($D103)),_xll.qlSwapRateHelperSpread($D103))</f>
        <v>0</v>
      </c>
      <c r="G103" s="200" t="e">
        <f>_xll.qlRateHelperEarliestDate($D103)</f>
        <v>#VALUE!</v>
      </c>
      <c r="H103" s="201" t="e">
        <f>_xll.qlRateHelperLatestDate($D103)</f>
        <v>#VALUE!</v>
      </c>
      <c r="I103" s="186" t="e">
        <v>#N/A</v>
      </c>
    </row>
    <row r="104" spans="4:9" x14ac:dyDescent="0.2">
      <c r="D104" s="189" t="e">
        <v>#N/A</v>
      </c>
      <c r="E104" s="190" t="e">
        <f>_xll.qlRateHelperRate($D104)</f>
        <v>#VALUE!</v>
      </c>
      <c r="F104" s="190">
        <f>IF(ISERROR(_xll.qlSwapRateHelperSpread($D104)),IF(ISERROR(_xll.qlFuturesRateHelperConvexityAdjustment($D104)),0,_xll.qlFuturesRateHelperConvexityAdjustment($D104)),_xll.qlSwapRateHelperSpread($D104))</f>
        <v>0</v>
      </c>
      <c r="G104" s="200" t="e">
        <f>_xll.qlRateHelperEarliestDate($D104)</f>
        <v>#VALUE!</v>
      </c>
      <c r="H104" s="201" t="e">
        <f>_xll.qlRateHelperLatestDate($D104)</f>
        <v>#VALUE!</v>
      </c>
      <c r="I104" s="186" t="e">
        <v>#N/A</v>
      </c>
    </row>
    <row r="105" spans="4:9" x14ac:dyDescent="0.2">
      <c r="D105" s="189" t="e">
        <v>#N/A</v>
      </c>
      <c r="E105" s="190" t="e">
        <f>_xll.qlRateHelperRate($D105)</f>
        <v>#VALUE!</v>
      </c>
      <c r="F105" s="190">
        <f>IF(ISERROR(_xll.qlSwapRateHelperSpread($D105)),IF(ISERROR(_xll.qlFuturesRateHelperConvexityAdjustment($D105)),0,_xll.qlFuturesRateHelperConvexityAdjustment($D105)),_xll.qlSwapRateHelperSpread($D105))</f>
        <v>0</v>
      </c>
      <c r="G105" s="200" t="e">
        <f>_xll.qlRateHelperEarliestDate($D105)</f>
        <v>#VALUE!</v>
      </c>
      <c r="H105" s="201" t="e">
        <f>_xll.qlRateHelperLatestDate($D105)</f>
        <v>#VALUE!</v>
      </c>
      <c r="I105" s="186" t="e">
        <v>#N/A</v>
      </c>
    </row>
    <row r="106" spans="4:9" x14ac:dyDescent="0.2">
      <c r="D106" s="189" t="e">
        <v>#N/A</v>
      </c>
      <c r="E106" s="190" t="e">
        <f>_xll.qlRateHelperRate($D106)</f>
        <v>#VALUE!</v>
      </c>
      <c r="F106" s="190">
        <f>IF(ISERROR(_xll.qlSwapRateHelperSpread($D106)),IF(ISERROR(_xll.qlFuturesRateHelperConvexityAdjustment($D106)),0,_xll.qlFuturesRateHelperConvexityAdjustment($D106)),_xll.qlSwapRateHelperSpread($D106))</f>
        <v>0</v>
      </c>
      <c r="G106" s="200" t="e">
        <f>_xll.qlRateHelperEarliestDate($D106)</f>
        <v>#VALUE!</v>
      </c>
      <c r="H106" s="201" t="e">
        <f>_xll.qlRateHelperLatestDate($D106)</f>
        <v>#VALUE!</v>
      </c>
      <c r="I106" s="186" t="e">
        <v>#N/A</v>
      </c>
    </row>
    <row r="107" spans="4:9" x14ac:dyDescent="0.2">
      <c r="D107" s="189" t="e">
        <v>#N/A</v>
      </c>
      <c r="E107" s="190" t="e">
        <f>_xll.qlRateHelperRate($D107)</f>
        <v>#VALUE!</v>
      </c>
      <c r="F107" s="190">
        <f>IF(ISERROR(_xll.qlSwapRateHelperSpread($D107)),IF(ISERROR(_xll.qlFuturesRateHelperConvexityAdjustment($D107)),0,_xll.qlFuturesRateHelperConvexityAdjustment($D107)),_xll.qlSwapRateHelperSpread($D107))</f>
        <v>0</v>
      </c>
      <c r="G107" s="200" t="e">
        <f>_xll.qlRateHelperEarliestDate($D107)</f>
        <v>#VALUE!</v>
      </c>
      <c r="H107" s="201" t="e">
        <f>_xll.qlRateHelperLatestDate($D107)</f>
        <v>#VALUE!</v>
      </c>
      <c r="I107" s="186" t="e">
        <v>#N/A</v>
      </c>
    </row>
    <row r="108" spans="4:9" x14ac:dyDescent="0.2">
      <c r="D108" s="189" t="e">
        <v>#N/A</v>
      </c>
      <c r="E108" s="190" t="e">
        <f>_xll.qlRateHelperRate($D108)</f>
        <v>#VALUE!</v>
      </c>
      <c r="F108" s="190">
        <f>IF(ISERROR(_xll.qlSwapRateHelperSpread($D108)),IF(ISERROR(_xll.qlFuturesRateHelperConvexityAdjustment($D108)),0,_xll.qlFuturesRateHelperConvexityAdjustment($D108)),_xll.qlSwapRateHelperSpread($D108))</f>
        <v>0</v>
      </c>
      <c r="G108" s="200" t="e">
        <f>_xll.qlRateHelperEarliestDate($D108)</f>
        <v>#VALUE!</v>
      </c>
      <c r="H108" s="201" t="e">
        <f>_xll.qlRateHelperLatestDate($D108)</f>
        <v>#VALUE!</v>
      </c>
      <c r="I108" s="186" t="e">
        <v>#N/A</v>
      </c>
    </row>
    <row r="109" spans="4:9" x14ac:dyDescent="0.2">
      <c r="D109" s="189" t="e">
        <v>#N/A</v>
      </c>
      <c r="E109" s="190" t="e">
        <f>_xll.qlRateHelperRate($D109)</f>
        <v>#VALUE!</v>
      </c>
      <c r="F109" s="190">
        <f>IF(ISERROR(_xll.qlSwapRateHelperSpread($D109)),IF(ISERROR(_xll.qlFuturesRateHelperConvexityAdjustment($D109)),0,_xll.qlFuturesRateHelperConvexityAdjustment($D109)),_xll.qlSwapRateHelperSpread($D109))</f>
        <v>0</v>
      </c>
      <c r="G109" s="200" t="e">
        <f>_xll.qlRateHelperEarliestDate($D109)</f>
        <v>#VALUE!</v>
      </c>
      <c r="H109" s="201" t="e">
        <f>_xll.qlRateHelperLatestDate($D109)</f>
        <v>#VALUE!</v>
      </c>
      <c r="I109" s="186" t="e">
        <v>#N/A</v>
      </c>
    </row>
    <row r="110" spans="4:9" x14ac:dyDescent="0.2">
      <c r="D110" s="189" t="e">
        <v>#N/A</v>
      </c>
      <c r="E110" s="190" t="e">
        <f>_xll.qlRateHelperRate($D110)</f>
        <v>#VALUE!</v>
      </c>
      <c r="F110" s="190">
        <f>IF(ISERROR(_xll.qlSwapRateHelperSpread($D110)),IF(ISERROR(_xll.qlFuturesRateHelperConvexityAdjustment($D110)),0,_xll.qlFuturesRateHelperConvexityAdjustment($D110)),_xll.qlSwapRateHelperSpread($D110))</f>
        <v>0</v>
      </c>
      <c r="G110" s="200" t="e">
        <f>_xll.qlRateHelperEarliestDate($D110)</f>
        <v>#VALUE!</v>
      </c>
      <c r="H110" s="201" t="e">
        <f>_xll.qlRateHelperLatestDate($D110)</f>
        <v>#VALUE!</v>
      </c>
      <c r="I110" s="186" t="e">
        <v>#N/A</v>
      </c>
    </row>
    <row r="111" spans="4:9" x14ac:dyDescent="0.2">
      <c r="D111" s="189" t="e">
        <v>#N/A</v>
      </c>
      <c r="E111" s="190" t="e">
        <f>_xll.qlRateHelperRate($D111)</f>
        <v>#VALUE!</v>
      </c>
      <c r="F111" s="190">
        <f>IF(ISERROR(_xll.qlSwapRateHelperSpread($D111)),IF(ISERROR(_xll.qlFuturesRateHelperConvexityAdjustment($D111)),0,_xll.qlFuturesRateHelperConvexityAdjustment($D111)),_xll.qlSwapRateHelperSpread($D111))</f>
        <v>0</v>
      </c>
      <c r="G111" s="200" t="e">
        <f>_xll.qlRateHelperEarliestDate($D111)</f>
        <v>#VALUE!</v>
      </c>
      <c r="H111" s="201" t="e">
        <f>_xll.qlRateHelperLatestDate($D111)</f>
        <v>#VALUE!</v>
      </c>
      <c r="I111" s="186" t="e">
        <v>#N/A</v>
      </c>
    </row>
    <row r="112" spans="4:9" x14ac:dyDescent="0.2">
      <c r="D112" s="189" t="e">
        <v>#N/A</v>
      </c>
      <c r="E112" s="190" t="e">
        <f>_xll.qlRateHelperRate($D112)</f>
        <v>#VALUE!</v>
      </c>
      <c r="F112" s="190">
        <f>IF(ISERROR(_xll.qlSwapRateHelperSpread($D112)),IF(ISERROR(_xll.qlFuturesRateHelperConvexityAdjustment($D112)),0,_xll.qlFuturesRateHelperConvexityAdjustment($D112)),_xll.qlSwapRateHelperSpread($D112))</f>
        <v>0</v>
      </c>
      <c r="G112" s="200" t="e">
        <f>_xll.qlRateHelperEarliestDate($D112)</f>
        <v>#VALUE!</v>
      </c>
      <c r="H112" s="201" t="e">
        <f>_xll.qlRateHelperLatestDate($D112)</f>
        <v>#VALUE!</v>
      </c>
      <c r="I112" s="186" t="e">
        <v>#N/A</v>
      </c>
    </row>
    <row r="113" spans="4:9" x14ac:dyDescent="0.2">
      <c r="D113" s="189" t="e">
        <v>#N/A</v>
      </c>
      <c r="E113" s="190" t="e">
        <f>_xll.qlRateHelperRate($D113)</f>
        <v>#VALUE!</v>
      </c>
      <c r="F113" s="190">
        <f>IF(ISERROR(_xll.qlSwapRateHelperSpread($D113)),IF(ISERROR(_xll.qlFuturesRateHelperConvexityAdjustment($D113)),0,_xll.qlFuturesRateHelperConvexityAdjustment($D113)),_xll.qlSwapRateHelperSpread($D113))</f>
        <v>0</v>
      </c>
      <c r="G113" s="200" t="e">
        <f>_xll.qlRateHelperEarliestDate($D113)</f>
        <v>#VALUE!</v>
      </c>
      <c r="H113" s="201" t="e">
        <f>_xll.qlRateHelperLatestDate($D113)</f>
        <v>#VALUE!</v>
      </c>
      <c r="I113" s="186" t="e">
        <v>#N/A</v>
      </c>
    </row>
    <row r="114" spans="4:9" x14ac:dyDescent="0.2">
      <c r="D114" s="189" t="e">
        <v>#N/A</v>
      </c>
      <c r="E114" s="190" t="e">
        <f>_xll.qlRateHelperRate($D114)</f>
        <v>#VALUE!</v>
      </c>
      <c r="F114" s="190">
        <f>IF(ISERROR(_xll.qlSwapRateHelperSpread($D114)),IF(ISERROR(_xll.qlFuturesRateHelperConvexityAdjustment($D114)),0,_xll.qlFuturesRateHelperConvexityAdjustment($D114)),_xll.qlSwapRateHelperSpread($D114))</f>
        <v>0</v>
      </c>
      <c r="G114" s="200" t="e">
        <f>_xll.qlRateHelperEarliestDate($D114)</f>
        <v>#VALUE!</v>
      </c>
      <c r="H114" s="201" t="e">
        <f>_xll.qlRateHelperLatestDate($D114)</f>
        <v>#VALUE!</v>
      </c>
      <c r="I114" s="186" t="e">
        <v>#N/A</v>
      </c>
    </row>
    <row r="115" spans="4:9" x14ac:dyDescent="0.2">
      <c r="D115" s="189" t="e">
        <v>#N/A</v>
      </c>
      <c r="E115" s="190" t="e">
        <f>_xll.qlRateHelperRate($D115)</f>
        <v>#VALUE!</v>
      </c>
      <c r="F115" s="190">
        <f>IF(ISERROR(_xll.qlSwapRateHelperSpread($D115)),IF(ISERROR(_xll.qlFuturesRateHelperConvexityAdjustment($D115)),0,_xll.qlFuturesRateHelperConvexityAdjustment($D115)),_xll.qlSwapRateHelperSpread($D115))</f>
        <v>0</v>
      </c>
      <c r="G115" s="200" t="e">
        <f>_xll.qlRateHelperEarliestDate($D115)</f>
        <v>#VALUE!</v>
      </c>
      <c r="H115" s="201" t="e">
        <f>_xll.qlRateHelperLatestDate($D115)</f>
        <v>#VALUE!</v>
      </c>
      <c r="I115" s="186" t="e">
        <v>#N/A</v>
      </c>
    </row>
    <row r="116" spans="4:9" x14ac:dyDescent="0.2">
      <c r="D116" s="189" t="e">
        <v>#N/A</v>
      </c>
      <c r="E116" s="190" t="e">
        <f>_xll.qlRateHelperRate($D116)</f>
        <v>#VALUE!</v>
      </c>
      <c r="F116" s="190">
        <f>IF(ISERROR(_xll.qlSwapRateHelperSpread($D116)),IF(ISERROR(_xll.qlFuturesRateHelperConvexityAdjustment($D116)),0,_xll.qlFuturesRateHelperConvexityAdjustment($D116)),_xll.qlSwapRateHelperSpread($D116))</f>
        <v>0</v>
      </c>
      <c r="G116" s="200" t="e">
        <f>_xll.qlRateHelperEarliestDate($D116)</f>
        <v>#VALUE!</v>
      </c>
      <c r="H116" s="201" t="e">
        <f>_xll.qlRateHelperLatestDate($D116)</f>
        <v>#VALUE!</v>
      </c>
      <c r="I116" s="186" t="e">
        <v>#N/A</v>
      </c>
    </row>
    <row r="117" spans="4:9" x14ac:dyDescent="0.2">
      <c r="D117" s="189" t="e">
        <v>#N/A</v>
      </c>
      <c r="E117" s="190" t="e">
        <f>_xll.qlRateHelperRate($D117)</f>
        <v>#VALUE!</v>
      </c>
      <c r="F117" s="190">
        <f>IF(ISERROR(_xll.qlSwapRateHelperSpread($D117)),IF(ISERROR(_xll.qlFuturesRateHelperConvexityAdjustment($D117)),0,_xll.qlFuturesRateHelperConvexityAdjustment($D117)),_xll.qlSwapRateHelperSpread($D117))</f>
        <v>0</v>
      </c>
      <c r="G117" s="200" t="e">
        <f>_xll.qlRateHelperEarliestDate($D117)</f>
        <v>#VALUE!</v>
      </c>
      <c r="H117" s="201" t="e">
        <f>_xll.qlRateHelperLatestDate($D117)</f>
        <v>#VALUE!</v>
      </c>
      <c r="I117" s="186" t="e">
        <v>#N/A</v>
      </c>
    </row>
    <row r="118" spans="4:9" x14ac:dyDescent="0.2">
      <c r="D118" s="189" t="e">
        <v>#N/A</v>
      </c>
      <c r="E118" s="190" t="e">
        <f>_xll.qlRateHelperRate($D118)</f>
        <v>#VALUE!</v>
      </c>
      <c r="F118" s="190">
        <f>IF(ISERROR(_xll.qlSwapRateHelperSpread($D118)),IF(ISERROR(_xll.qlFuturesRateHelperConvexityAdjustment($D118)),0,_xll.qlFuturesRateHelperConvexityAdjustment($D118)),_xll.qlSwapRateHelperSpread($D118))</f>
        <v>0</v>
      </c>
      <c r="G118" s="200" t="e">
        <f>_xll.qlRateHelperEarliestDate($D118)</f>
        <v>#VALUE!</v>
      </c>
      <c r="H118" s="201" t="e">
        <f>_xll.qlRateHelperLatestDate($D118)</f>
        <v>#VALUE!</v>
      </c>
      <c r="I118" s="186" t="e">
        <v>#N/A</v>
      </c>
    </row>
    <row r="119" spans="4:9" x14ac:dyDescent="0.2">
      <c r="D119" s="189" t="e">
        <v>#N/A</v>
      </c>
      <c r="E119" s="190" t="e">
        <f>_xll.qlRateHelperRate($D119)</f>
        <v>#VALUE!</v>
      </c>
      <c r="F119" s="190">
        <f>IF(ISERROR(_xll.qlSwapRateHelperSpread($D119)),IF(ISERROR(_xll.qlFuturesRateHelperConvexityAdjustment($D119)),0,_xll.qlFuturesRateHelperConvexityAdjustment($D119)),_xll.qlSwapRateHelperSpread($D119))</f>
        <v>0</v>
      </c>
      <c r="G119" s="200" t="e">
        <f>_xll.qlRateHelperEarliestDate($D119)</f>
        <v>#VALUE!</v>
      </c>
      <c r="H119" s="201" t="e">
        <f>_xll.qlRateHelperLatestDate($D119)</f>
        <v>#VALUE!</v>
      </c>
      <c r="I119" s="186" t="e">
        <v>#N/A</v>
      </c>
    </row>
    <row r="120" spans="4:9" x14ac:dyDescent="0.2">
      <c r="D120" s="189" t="e">
        <v>#N/A</v>
      </c>
      <c r="E120" s="190" t="e">
        <f>_xll.qlRateHelperRate($D120)</f>
        <v>#VALUE!</v>
      </c>
      <c r="F120" s="190">
        <f>IF(ISERROR(_xll.qlSwapRateHelperSpread($D120)),IF(ISERROR(_xll.qlFuturesRateHelperConvexityAdjustment($D120)),0,_xll.qlFuturesRateHelperConvexityAdjustment($D120)),_xll.qlSwapRateHelperSpread($D120))</f>
        <v>0</v>
      </c>
      <c r="G120" s="200" t="e">
        <f>_xll.qlRateHelperEarliestDate($D120)</f>
        <v>#VALUE!</v>
      </c>
      <c r="H120" s="201" t="e">
        <f>_xll.qlRateHelperLatestDate($D120)</f>
        <v>#VALUE!</v>
      </c>
      <c r="I120" s="186" t="e">
        <v>#N/A</v>
      </c>
    </row>
    <row r="121" spans="4:9" x14ac:dyDescent="0.2">
      <c r="D121" s="189" t="e">
        <v>#N/A</v>
      </c>
      <c r="E121" s="190" t="e">
        <f>_xll.qlRateHelperRate($D121)</f>
        <v>#VALUE!</v>
      </c>
      <c r="F121" s="190">
        <f>IF(ISERROR(_xll.qlSwapRateHelperSpread($D121)),IF(ISERROR(_xll.qlFuturesRateHelperConvexityAdjustment($D121)),0,_xll.qlFuturesRateHelperConvexityAdjustment($D121)),_xll.qlSwapRateHelperSpread($D121))</f>
        <v>0</v>
      </c>
      <c r="G121" s="200" t="e">
        <f>_xll.qlRateHelperEarliestDate($D121)</f>
        <v>#VALUE!</v>
      </c>
      <c r="H121" s="201" t="e">
        <f>_xll.qlRateHelperLatestDate($D121)</f>
        <v>#VALUE!</v>
      </c>
      <c r="I121" s="186" t="e">
        <v>#N/A</v>
      </c>
    </row>
    <row r="122" spans="4:9" x14ac:dyDescent="0.2">
      <c r="D122" s="189" t="e">
        <v>#N/A</v>
      </c>
      <c r="E122" s="190" t="e">
        <f>_xll.qlRateHelperRate($D122)</f>
        <v>#VALUE!</v>
      </c>
      <c r="F122" s="190">
        <f>IF(ISERROR(_xll.qlSwapRateHelperSpread($D122)),IF(ISERROR(_xll.qlFuturesRateHelperConvexityAdjustment($D122)),0,_xll.qlFuturesRateHelperConvexityAdjustment($D122)),_xll.qlSwapRateHelperSpread($D122))</f>
        <v>0</v>
      </c>
      <c r="G122" s="200" t="e">
        <f>_xll.qlRateHelperEarliestDate($D122)</f>
        <v>#VALUE!</v>
      </c>
      <c r="H122" s="201" t="e">
        <f>_xll.qlRateHelperLatestDate($D122)</f>
        <v>#VALUE!</v>
      </c>
      <c r="I122" s="186" t="e">
        <v>#N/A</v>
      </c>
    </row>
    <row r="123" spans="4:9" x14ac:dyDescent="0.2">
      <c r="D123" s="189" t="e">
        <v>#N/A</v>
      </c>
      <c r="E123" s="190" t="e">
        <f>_xll.qlRateHelperRate($D123)</f>
        <v>#VALUE!</v>
      </c>
      <c r="F123" s="190">
        <f>IF(ISERROR(_xll.qlSwapRateHelperSpread($D123)),IF(ISERROR(_xll.qlFuturesRateHelperConvexityAdjustment($D123)),0,_xll.qlFuturesRateHelperConvexityAdjustment($D123)),_xll.qlSwapRateHelperSpread($D123))</f>
        <v>0</v>
      </c>
      <c r="G123" s="200" t="e">
        <f>_xll.qlRateHelperEarliestDate($D123)</f>
        <v>#VALUE!</v>
      </c>
      <c r="H123" s="201" t="e">
        <f>_xll.qlRateHelperLatestDate($D123)</f>
        <v>#VALUE!</v>
      </c>
      <c r="I123" s="186" t="e">
        <v>#N/A</v>
      </c>
    </row>
    <row r="124" spans="4:9" x14ac:dyDescent="0.2">
      <c r="D124" s="189" t="e">
        <v>#N/A</v>
      </c>
      <c r="E124" s="190" t="e">
        <f>_xll.qlRateHelperRate($D124)</f>
        <v>#VALUE!</v>
      </c>
      <c r="F124" s="190">
        <f>IF(ISERROR(_xll.qlSwapRateHelperSpread($D124)),IF(ISERROR(_xll.qlFuturesRateHelperConvexityAdjustment($D124)),0,_xll.qlFuturesRateHelperConvexityAdjustment($D124)),_xll.qlSwapRateHelperSpread($D124))</f>
        <v>0</v>
      </c>
      <c r="G124" s="200" t="e">
        <f>_xll.qlRateHelperEarliestDate($D124)</f>
        <v>#VALUE!</v>
      </c>
      <c r="H124" s="201" t="e">
        <f>_xll.qlRateHelperLatestDate($D124)</f>
        <v>#VALUE!</v>
      </c>
      <c r="I124" s="186" t="e">
        <v>#N/A</v>
      </c>
    </row>
    <row r="125" spans="4:9" x14ac:dyDescent="0.2">
      <c r="D125" s="189" t="e">
        <v>#N/A</v>
      </c>
      <c r="E125" s="190" t="e">
        <f>_xll.qlRateHelperRate($D125)</f>
        <v>#VALUE!</v>
      </c>
      <c r="F125" s="190">
        <f>IF(ISERROR(_xll.qlSwapRateHelperSpread($D125)),IF(ISERROR(_xll.qlFuturesRateHelperConvexityAdjustment($D125)),0,_xll.qlFuturesRateHelperConvexityAdjustment($D125)),_xll.qlSwapRateHelperSpread($D125))</f>
        <v>0</v>
      </c>
      <c r="G125" s="200" t="e">
        <f>_xll.qlRateHelperEarliestDate($D125)</f>
        <v>#VALUE!</v>
      </c>
      <c r="H125" s="201" t="e">
        <f>_xll.qlRateHelperLatestDate($D125)</f>
        <v>#VALUE!</v>
      </c>
      <c r="I125" s="186" t="e">
        <v>#N/A</v>
      </c>
    </row>
    <row r="126" spans="4:9" ht="12" thickBot="1" x14ac:dyDescent="0.25">
      <c r="D126" s="197" t="e">
        <v>#N/A</v>
      </c>
      <c r="E126" s="198" t="e">
        <f>_xll.qlRateHelperRate($D126)</f>
        <v>#VALUE!</v>
      </c>
      <c r="F126" s="198">
        <f>IF(ISERROR(_xll.qlSwapRateHelperSpread($D126)),IF(ISERROR(_xll.qlFuturesRateHelperConvexityAdjustment($D126)),0,_xll.qlFuturesRateHelperConvexityAdjustment($D126)),_xll.qlSwapRateHelperSpread($D126))</f>
        <v>0</v>
      </c>
      <c r="G126" s="202" t="e">
        <f>_xll.qlRateHelperEarliestDate($D126)</f>
        <v>#VALUE!</v>
      </c>
      <c r="H126" s="203" t="e">
        <f>_xll.qlRateHelperLatestDate($D126)</f>
        <v>#VALUE!</v>
      </c>
      <c r="I126" s="186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9"/>
  <sheetViews>
    <sheetView workbookViewId="0">
      <selection activeCell="F4" sqref="F4"/>
    </sheetView>
  </sheetViews>
  <sheetFormatPr defaultRowHeight="12.75" x14ac:dyDescent="0.2"/>
  <cols>
    <col min="1" max="1" width="3" customWidth="1"/>
    <col min="2" max="2" width="4.140625" bestFit="1" customWidth="1"/>
    <col min="3" max="3" width="14" customWidth="1"/>
    <col min="4" max="4" width="20.42578125" bestFit="1" customWidth="1"/>
    <col min="5" max="5" width="21.42578125" bestFit="1" customWidth="1"/>
    <col min="6" max="6" width="19.7109375" bestFit="1" customWidth="1"/>
    <col min="7" max="7" width="23.5703125" customWidth="1"/>
    <col min="8" max="8" width="4.7109375" customWidth="1"/>
    <col min="10" max="10" width="16.28515625" bestFit="1" customWidth="1"/>
    <col min="257" max="257" width="3" customWidth="1"/>
    <col min="258" max="258" width="4.140625" bestFit="1" customWidth="1"/>
    <col min="259" max="259" width="10" bestFit="1" customWidth="1"/>
    <col min="260" max="260" width="20.42578125" bestFit="1" customWidth="1"/>
    <col min="261" max="261" width="21.42578125" bestFit="1" customWidth="1"/>
    <col min="262" max="262" width="19.7109375" bestFit="1" customWidth="1"/>
    <col min="263" max="263" width="23.5703125" customWidth="1"/>
    <col min="264" max="264" width="4.7109375" customWidth="1"/>
    <col min="513" max="513" width="3" customWidth="1"/>
    <col min="514" max="514" width="4.140625" bestFit="1" customWidth="1"/>
    <col min="515" max="515" width="10" bestFit="1" customWidth="1"/>
    <col min="516" max="516" width="20.42578125" bestFit="1" customWidth="1"/>
    <col min="517" max="517" width="21.42578125" bestFit="1" customWidth="1"/>
    <col min="518" max="518" width="19.7109375" bestFit="1" customWidth="1"/>
    <col min="519" max="519" width="23.5703125" customWidth="1"/>
    <col min="520" max="520" width="4.7109375" customWidth="1"/>
    <col min="769" max="769" width="3" customWidth="1"/>
    <col min="770" max="770" width="4.140625" bestFit="1" customWidth="1"/>
    <col min="771" max="771" width="10" bestFit="1" customWidth="1"/>
    <col min="772" max="772" width="20.42578125" bestFit="1" customWidth="1"/>
    <col min="773" max="773" width="21.42578125" bestFit="1" customWidth="1"/>
    <col min="774" max="774" width="19.7109375" bestFit="1" customWidth="1"/>
    <col min="775" max="775" width="23.5703125" customWidth="1"/>
    <col min="776" max="776" width="4.7109375" customWidth="1"/>
    <col min="1025" max="1025" width="3" customWidth="1"/>
    <col min="1026" max="1026" width="4.140625" bestFit="1" customWidth="1"/>
    <col min="1027" max="1027" width="10" bestFit="1" customWidth="1"/>
    <col min="1028" max="1028" width="20.42578125" bestFit="1" customWidth="1"/>
    <col min="1029" max="1029" width="21.42578125" bestFit="1" customWidth="1"/>
    <col min="1030" max="1030" width="19.7109375" bestFit="1" customWidth="1"/>
    <col min="1031" max="1031" width="23.5703125" customWidth="1"/>
    <col min="1032" max="1032" width="4.7109375" customWidth="1"/>
    <col min="1281" max="1281" width="3" customWidth="1"/>
    <col min="1282" max="1282" width="4.140625" bestFit="1" customWidth="1"/>
    <col min="1283" max="1283" width="10" bestFit="1" customWidth="1"/>
    <col min="1284" max="1284" width="20.42578125" bestFit="1" customWidth="1"/>
    <col min="1285" max="1285" width="21.42578125" bestFit="1" customWidth="1"/>
    <col min="1286" max="1286" width="19.7109375" bestFit="1" customWidth="1"/>
    <col min="1287" max="1287" width="23.5703125" customWidth="1"/>
    <col min="1288" max="1288" width="4.7109375" customWidth="1"/>
    <col min="1537" max="1537" width="3" customWidth="1"/>
    <col min="1538" max="1538" width="4.140625" bestFit="1" customWidth="1"/>
    <col min="1539" max="1539" width="10" bestFit="1" customWidth="1"/>
    <col min="1540" max="1540" width="20.42578125" bestFit="1" customWidth="1"/>
    <col min="1541" max="1541" width="21.42578125" bestFit="1" customWidth="1"/>
    <col min="1542" max="1542" width="19.7109375" bestFit="1" customWidth="1"/>
    <col min="1543" max="1543" width="23.5703125" customWidth="1"/>
    <col min="1544" max="1544" width="4.7109375" customWidth="1"/>
    <col min="1793" max="1793" width="3" customWidth="1"/>
    <col min="1794" max="1794" width="4.140625" bestFit="1" customWidth="1"/>
    <col min="1795" max="1795" width="10" bestFit="1" customWidth="1"/>
    <col min="1796" max="1796" width="20.42578125" bestFit="1" customWidth="1"/>
    <col min="1797" max="1797" width="21.42578125" bestFit="1" customWidth="1"/>
    <col min="1798" max="1798" width="19.7109375" bestFit="1" customWidth="1"/>
    <col min="1799" max="1799" width="23.5703125" customWidth="1"/>
    <col min="1800" max="1800" width="4.7109375" customWidth="1"/>
    <col min="2049" max="2049" width="3" customWidth="1"/>
    <col min="2050" max="2050" width="4.140625" bestFit="1" customWidth="1"/>
    <col min="2051" max="2051" width="10" bestFit="1" customWidth="1"/>
    <col min="2052" max="2052" width="20.42578125" bestFit="1" customWidth="1"/>
    <col min="2053" max="2053" width="21.42578125" bestFit="1" customWidth="1"/>
    <col min="2054" max="2054" width="19.7109375" bestFit="1" customWidth="1"/>
    <col min="2055" max="2055" width="23.5703125" customWidth="1"/>
    <col min="2056" max="2056" width="4.7109375" customWidth="1"/>
    <col min="2305" max="2305" width="3" customWidth="1"/>
    <col min="2306" max="2306" width="4.140625" bestFit="1" customWidth="1"/>
    <col min="2307" max="2307" width="10" bestFit="1" customWidth="1"/>
    <col min="2308" max="2308" width="20.42578125" bestFit="1" customWidth="1"/>
    <col min="2309" max="2309" width="21.42578125" bestFit="1" customWidth="1"/>
    <col min="2310" max="2310" width="19.7109375" bestFit="1" customWidth="1"/>
    <col min="2311" max="2311" width="23.5703125" customWidth="1"/>
    <col min="2312" max="2312" width="4.7109375" customWidth="1"/>
    <col min="2561" max="2561" width="3" customWidth="1"/>
    <col min="2562" max="2562" width="4.140625" bestFit="1" customWidth="1"/>
    <col min="2563" max="2563" width="10" bestFit="1" customWidth="1"/>
    <col min="2564" max="2564" width="20.42578125" bestFit="1" customWidth="1"/>
    <col min="2565" max="2565" width="21.42578125" bestFit="1" customWidth="1"/>
    <col min="2566" max="2566" width="19.7109375" bestFit="1" customWidth="1"/>
    <col min="2567" max="2567" width="23.5703125" customWidth="1"/>
    <col min="2568" max="2568" width="4.7109375" customWidth="1"/>
    <col min="2817" max="2817" width="3" customWidth="1"/>
    <col min="2818" max="2818" width="4.140625" bestFit="1" customWidth="1"/>
    <col min="2819" max="2819" width="10" bestFit="1" customWidth="1"/>
    <col min="2820" max="2820" width="20.42578125" bestFit="1" customWidth="1"/>
    <col min="2821" max="2821" width="21.42578125" bestFit="1" customWidth="1"/>
    <col min="2822" max="2822" width="19.7109375" bestFit="1" customWidth="1"/>
    <col min="2823" max="2823" width="23.5703125" customWidth="1"/>
    <col min="2824" max="2824" width="4.7109375" customWidth="1"/>
    <col min="3073" max="3073" width="3" customWidth="1"/>
    <col min="3074" max="3074" width="4.140625" bestFit="1" customWidth="1"/>
    <col min="3075" max="3075" width="10" bestFit="1" customWidth="1"/>
    <col min="3076" max="3076" width="20.42578125" bestFit="1" customWidth="1"/>
    <col min="3077" max="3077" width="21.42578125" bestFit="1" customWidth="1"/>
    <col min="3078" max="3078" width="19.7109375" bestFit="1" customWidth="1"/>
    <col min="3079" max="3079" width="23.5703125" customWidth="1"/>
    <col min="3080" max="3080" width="4.7109375" customWidth="1"/>
    <col min="3329" max="3329" width="3" customWidth="1"/>
    <col min="3330" max="3330" width="4.140625" bestFit="1" customWidth="1"/>
    <col min="3331" max="3331" width="10" bestFit="1" customWidth="1"/>
    <col min="3332" max="3332" width="20.42578125" bestFit="1" customWidth="1"/>
    <col min="3333" max="3333" width="21.42578125" bestFit="1" customWidth="1"/>
    <col min="3334" max="3334" width="19.7109375" bestFit="1" customWidth="1"/>
    <col min="3335" max="3335" width="23.5703125" customWidth="1"/>
    <col min="3336" max="3336" width="4.7109375" customWidth="1"/>
    <col min="3585" max="3585" width="3" customWidth="1"/>
    <col min="3586" max="3586" width="4.140625" bestFit="1" customWidth="1"/>
    <col min="3587" max="3587" width="10" bestFit="1" customWidth="1"/>
    <col min="3588" max="3588" width="20.42578125" bestFit="1" customWidth="1"/>
    <col min="3589" max="3589" width="21.42578125" bestFit="1" customWidth="1"/>
    <col min="3590" max="3590" width="19.7109375" bestFit="1" customWidth="1"/>
    <col min="3591" max="3591" width="23.5703125" customWidth="1"/>
    <col min="3592" max="3592" width="4.7109375" customWidth="1"/>
    <col min="3841" max="3841" width="3" customWidth="1"/>
    <col min="3842" max="3842" width="4.140625" bestFit="1" customWidth="1"/>
    <col min="3843" max="3843" width="10" bestFit="1" customWidth="1"/>
    <col min="3844" max="3844" width="20.42578125" bestFit="1" customWidth="1"/>
    <col min="3845" max="3845" width="21.42578125" bestFit="1" customWidth="1"/>
    <col min="3846" max="3846" width="19.7109375" bestFit="1" customWidth="1"/>
    <col min="3847" max="3847" width="23.5703125" customWidth="1"/>
    <col min="3848" max="3848" width="4.7109375" customWidth="1"/>
    <col min="4097" max="4097" width="3" customWidth="1"/>
    <col min="4098" max="4098" width="4.140625" bestFit="1" customWidth="1"/>
    <col min="4099" max="4099" width="10" bestFit="1" customWidth="1"/>
    <col min="4100" max="4100" width="20.42578125" bestFit="1" customWidth="1"/>
    <col min="4101" max="4101" width="21.42578125" bestFit="1" customWidth="1"/>
    <col min="4102" max="4102" width="19.7109375" bestFit="1" customWidth="1"/>
    <col min="4103" max="4103" width="23.5703125" customWidth="1"/>
    <col min="4104" max="4104" width="4.7109375" customWidth="1"/>
    <col min="4353" max="4353" width="3" customWidth="1"/>
    <col min="4354" max="4354" width="4.140625" bestFit="1" customWidth="1"/>
    <col min="4355" max="4355" width="10" bestFit="1" customWidth="1"/>
    <col min="4356" max="4356" width="20.42578125" bestFit="1" customWidth="1"/>
    <col min="4357" max="4357" width="21.42578125" bestFit="1" customWidth="1"/>
    <col min="4358" max="4358" width="19.7109375" bestFit="1" customWidth="1"/>
    <col min="4359" max="4359" width="23.5703125" customWidth="1"/>
    <col min="4360" max="4360" width="4.7109375" customWidth="1"/>
    <col min="4609" max="4609" width="3" customWidth="1"/>
    <col min="4610" max="4610" width="4.140625" bestFit="1" customWidth="1"/>
    <col min="4611" max="4611" width="10" bestFit="1" customWidth="1"/>
    <col min="4612" max="4612" width="20.42578125" bestFit="1" customWidth="1"/>
    <col min="4613" max="4613" width="21.42578125" bestFit="1" customWidth="1"/>
    <col min="4614" max="4614" width="19.7109375" bestFit="1" customWidth="1"/>
    <col min="4615" max="4615" width="23.5703125" customWidth="1"/>
    <col min="4616" max="4616" width="4.7109375" customWidth="1"/>
    <col min="4865" max="4865" width="3" customWidth="1"/>
    <col min="4866" max="4866" width="4.140625" bestFit="1" customWidth="1"/>
    <col min="4867" max="4867" width="10" bestFit="1" customWidth="1"/>
    <col min="4868" max="4868" width="20.42578125" bestFit="1" customWidth="1"/>
    <col min="4869" max="4869" width="21.42578125" bestFit="1" customWidth="1"/>
    <col min="4870" max="4870" width="19.7109375" bestFit="1" customWidth="1"/>
    <col min="4871" max="4871" width="23.5703125" customWidth="1"/>
    <col min="4872" max="4872" width="4.7109375" customWidth="1"/>
    <col min="5121" max="5121" width="3" customWidth="1"/>
    <col min="5122" max="5122" width="4.140625" bestFit="1" customWidth="1"/>
    <col min="5123" max="5123" width="10" bestFit="1" customWidth="1"/>
    <col min="5124" max="5124" width="20.42578125" bestFit="1" customWidth="1"/>
    <col min="5125" max="5125" width="21.42578125" bestFit="1" customWidth="1"/>
    <col min="5126" max="5126" width="19.7109375" bestFit="1" customWidth="1"/>
    <col min="5127" max="5127" width="23.5703125" customWidth="1"/>
    <col min="5128" max="5128" width="4.7109375" customWidth="1"/>
    <col min="5377" max="5377" width="3" customWidth="1"/>
    <col min="5378" max="5378" width="4.140625" bestFit="1" customWidth="1"/>
    <col min="5379" max="5379" width="10" bestFit="1" customWidth="1"/>
    <col min="5380" max="5380" width="20.42578125" bestFit="1" customWidth="1"/>
    <col min="5381" max="5381" width="21.42578125" bestFit="1" customWidth="1"/>
    <col min="5382" max="5382" width="19.7109375" bestFit="1" customWidth="1"/>
    <col min="5383" max="5383" width="23.5703125" customWidth="1"/>
    <col min="5384" max="5384" width="4.7109375" customWidth="1"/>
    <col min="5633" max="5633" width="3" customWidth="1"/>
    <col min="5634" max="5634" width="4.140625" bestFit="1" customWidth="1"/>
    <col min="5635" max="5635" width="10" bestFit="1" customWidth="1"/>
    <col min="5636" max="5636" width="20.42578125" bestFit="1" customWidth="1"/>
    <col min="5637" max="5637" width="21.42578125" bestFit="1" customWidth="1"/>
    <col min="5638" max="5638" width="19.7109375" bestFit="1" customWidth="1"/>
    <col min="5639" max="5639" width="23.5703125" customWidth="1"/>
    <col min="5640" max="5640" width="4.7109375" customWidth="1"/>
    <col min="5889" max="5889" width="3" customWidth="1"/>
    <col min="5890" max="5890" width="4.140625" bestFit="1" customWidth="1"/>
    <col min="5891" max="5891" width="10" bestFit="1" customWidth="1"/>
    <col min="5892" max="5892" width="20.42578125" bestFit="1" customWidth="1"/>
    <col min="5893" max="5893" width="21.42578125" bestFit="1" customWidth="1"/>
    <col min="5894" max="5894" width="19.7109375" bestFit="1" customWidth="1"/>
    <col min="5895" max="5895" width="23.5703125" customWidth="1"/>
    <col min="5896" max="5896" width="4.7109375" customWidth="1"/>
    <col min="6145" max="6145" width="3" customWidth="1"/>
    <col min="6146" max="6146" width="4.140625" bestFit="1" customWidth="1"/>
    <col min="6147" max="6147" width="10" bestFit="1" customWidth="1"/>
    <col min="6148" max="6148" width="20.42578125" bestFit="1" customWidth="1"/>
    <col min="6149" max="6149" width="21.42578125" bestFit="1" customWidth="1"/>
    <col min="6150" max="6150" width="19.7109375" bestFit="1" customWidth="1"/>
    <col min="6151" max="6151" width="23.5703125" customWidth="1"/>
    <col min="6152" max="6152" width="4.7109375" customWidth="1"/>
    <col min="6401" max="6401" width="3" customWidth="1"/>
    <col min="6402" max="6402" width="4.140625" bestFit="1" customWidth="1"/>
    <col min="6403" max="6403" width="10" bestFit="1" customWidth="1"/>
    <col min="6404" max="6404" width="20.42578125" bestFit="1" customWidth="1"/>
    <col min="6405" max="6405" width="21.42578125" bestFit="1" customWidth="1"/>
    <col min="6406" max="6406" width="19.7109375" bestFit="1" customWidth="1"/>
    <col min="6407" max="6407" width="23.5703125" customWidth="1"/>
    <col min="6408" max="6408" width="4.7109375" customWidth="1"/>
    <col min="6657" max="6657" width="3" customWidth="1"/>
    <col min="6658" max="6658" width="4.140625" bestFit="1" customWidth="1"/>
    <col min="6659" max="6659" width="10" bestFit="1" customWidth="1"/>
    <col min="6660" max="6660" width="20.42578125" bestFit="1" customWidth="1"/>
    <col min="6661" max="6661" width="21.42578125" bestFit="1" customWidth="1"/>
    <col min="6662" max="6662" width="19.7109375" bestFit="1" customWidth="1"/>
    <col min="6663" max="6663" width="23.5703125" customWidth="1"/>
    <col min="6664" max="6664" width="4.7109375" customWidth="1"/>
    <col min="6913" max="6913" width="3" customWidth="1"/>
    <col min="6914" max="6914" width="4.140625" bestFit="1" customWidth="1"/>
    <col min="6915" max="6915" width="10" bestFit="1" customWidth="1"/>
    <col min="6916" max="6916" width="20.42578125" bestFit="1" customWidth="1"/>
    <col min="6917" max="6917" width="21.42578125" bestFit="1" customWidth="1"/>
    <col min="6918" max="6918" width="19.7109375" bestFit="1" customWidth="1"/>
    <col min="6919" max="6919" width="23.5703125" customWidth="1"/>
    <col min="6920" max="6920" width="4.7109375" customWidth="1"/>
    <col min="7169" max="7169" width="3" customWidth="1"/>
    <col min="7170" max="7170" width="4.140625" bestFit="1" customWidth="1"/>
    <col min="7171" max="7171" width="10" bestFit="1" customWidth="1"/>
    <col min="7172" max="7172" width="20.42578125" bestFit="1" customWidth="1"/>
    <col min="7173" max="7173" width="21.42578125" bestFit="1" customWidth="1"/>
    <col min="7174" max="7174" width="19.7109375" bestFit="1" customWidth="1"/>
    <col min="7175" max="7175" width="23.5703125" customWidth="1"/>
    <col min="7176" max="7176" width="4.7109375" customWidth="1"/>
    <col min="7425" max="7425" width="3" customWidth="1"/>
    <col min="7426" max="7426" width="4.140625" bestFit="1" customWidth="1"/>
    <col min="7427" max="7427" width="10" bestFit="1" customWidth="1"/>
    <col min="7428" max="7428" width="20.42578125" bestFit="1" customWidth="1"/>
    <col min="7429" max="7429" width="21.42578125" bestFit="1" customWidth="1"/>
    <col min="7430" max="7430" width="19.7109375" bestFit="1" customWidth="1"/>
    <col min="7431" max="7431" width="23.5703125" customWidth="1"/>
    <col min="7432" max="7432" width="4.7109375" customWidth="1"/>
    <col min="7681" max="7681" width="3" customWidth="1"/>
    <col min="7682" max="7682" width="4.140625" bestFit="1" customWidth="1"/>
    <col min="7683" max="7683" width="10" bestFit="1" customWidth="1"/>
    <col min="7684" max="7684" width="20.42578125" bestFit="1" customWidth="1"/>
    <col min="7685" max="7685" width="21.42578125" bestFit="1" customWidth="1"/>
    <col min="7686" max="7686" width="19.7109375" bestFit="1" customWidth="1"/>
    <col min="7687" max="7687" width="23.5703125" customWidth="1"/>
    <col min="7688" max="7688" width="4.7109375" customWidth="1"/>
    <col min="7937" max="7937" width="3" customWidth="1"/>
    <col min="7938" max="7938" width="4.140625" bestFit="1" customWidth="1"/>
    <col min="7939" max="7939" width="10" bestFit="1" customWidth="1"/>
    <col min="7940" max="7940" width="20.42578125" bestFit="1" customWidth="1"/>
    <col min="7941" max="7941" width="21.42578125" bestFit="1" customWidth="1"/>
    <col min="7942" max="7942" width="19.7109375" bestFit="1" customWidth="1"/>
    <col min="7943" max="7943" width="23.5703125" customWidth="1"/>
    <col min="7944" max="7944" width="4.7109375" customWidth="1"/>
    <col min="8193" max="8193" width="3" customWidth="1"/>
    <col min="8194" max="8194" width="4.140625" bestFit="1" customWidth="1"/>
    <col min="8195" max="8195" width="10" bestFit="1" customWidth="1"/>
    <col min="8196" max="8196" width="20.42578125" bestFit="1" customWidth="1"/>
    <col min="8197" max="8197" width="21.42578125" bestFit="1" customWidth="1"/>
    <col min="8198" max="8198" width="19.7109375" bestFit="1" customWidth="1"/>
    <col min="8199" max="8199" width="23.5703125" customWidth="1"/>
    <col min="8200" max="8200" width="4.7109375" customWidth="1"/>
    <col min="8449" max="8449" width="3" customWidth="1"/>
    <col min="8450" max="8450" width="4.140625" bestFit="1" customWidth="1"/>
    <col min="8451" max="8451" width="10" bestFit="1" customWidth="1"/>
    <col min="8452" max="8452" width="20.42578125" bestFit="1" customWidth="1"/>
    <col min="8453" max="8453" width="21.42578125" bestFit="1" customWidth="1"/>
    <col min="8454" max="8454" width="19.7109375" bestFit="1" customWidth="1"/>
    <col min="8455" max="8455" width="23.5703125" customWidth="1"/>
    <col min="8456" max="8456" width="4.7109375" customWidth="1"/>
    <col min="8705" max="8705" width="3" customWidth="1"/>
    <col min="8706" max="8706" width="4.140625" bestFit="1" customWidth="1"/>
    <col min="8707" max="8707" width="10" bestFit="1" customWidth="1"/>
    <col min="8708" max="8708" width="20.42578125" bestFit="1" customWidth="1"/>
    <col min="8709" max="8709" width="21.42578125" bestFit="1" customWidth="1"/>
    <col min="8710" max="8710" width="19.7109375" bestFit="1" customWidth="1"/>
    <col min="8711" max="8711" width="23.5703125" customWidth="1"/>
    <col min="8712" max="8712" width="4.7109375" customWidth="1"/>
    <col min="8961" max="8961" width="3" customWidth="1"/>
    <col min="8962" max="8962" width="4.140625" bestFit="1" customWidth="1"/>
    <col min="8963" max="8963" width="10" bestFit="1" customWidth="1"/>
    <col min="8964" max="8964" width="20.42578125" bestFit="1" customWidth="1"/>
    <col min="8965" max="8965" width="21.42578125" bestFit="1" customWidth="1"/>
    <col min="8966" max="8966" width="19.7109375" bestFit="1" customWidth="1"/>
    <col min="8967" max="8967" width="23.5703125" customWidth="1"/>
    <col min="8968" max="8968" width="4.7109375" customWidth="1"/>
    <col min="9217" max="9217" width="3" customWidth="1"/>
    <col min="9218" max="9218" width="4.140625" bestFit="1" customWidth="1"/>
    <col min="9219" max="9219" width="10" bestFit="1" customWidth="1"/>
    <col min="9220" max="9220" width="20.42578125" bestFit="1" customWidth="1"/>
    <col min="9221" max="9221" width="21.42578125" bestFit="1" customWidth="1"/>
    <col min="9222" max="9222" width="19.7109375" bestFit="1" customWidth="1"/>
    <col min="9223" max="9223" width="23.5703125" customWidth="1"/>
    <col min="9224" max="9224" width="4.7109375" customWidth="1"/>
    <col min="9473" max="9473" width="3" customWidth="1"/>
    <col min="9474" max="9474" width="4.140625" bestFit="1" customWidth="1"/>
    <col min="9475" max="9475" width="10" bestFit="1" customWidth="1"/>
    <col min="9476" max="9476" width="20.42578125" bestFit="1" customWidth="1"/>
    <col min="9477" max="9477" width="21.42578125" bestFit="1" customWidth="1"/>
    <col min="9478" max="9478" width="19.7109375" bestFit="1" customWidth="1"/>
    <col min="9479" max="9479" width="23.5703125" customWidth="1"/>
    <col min="9480" max="9480" width="4.7109375" customWidth="1"/>
    <col min="9729" max="9729" width="3" customWidth="1"/>
    <col min="9730" max="9730" width="4.140625" bestFit="1" customWidth="1"/>
    <col min="9731" max="9731" width="10" bestFit="1" customWidth="1"/>
    <col min="9732" max="9732" width="20.42578125" bestFit="1" customWidth="1"/>
    <col min="9733" max="9733" width="21.42578125" bestFit="1" customWidth="1"/>
    <col min="9734" max="9734" width="19.7109375" bestFit="1" customWidth="1"/>
    <col min="9735" max="9735" width="23.5703125" customWidth="1"/>
    <col min="9736" max="9736" width="4.7109375" customWidth="1"/>
    <col min="9985" max="9985" width="3" customWidth="1"/>
    <col min="9986" max="9986" width="4.140625" bestFit="1" customWidth="1"/>
    <col min="9987" max="9987" width="10" bestFit="1" customWidth="1"/>
    <col min="9988" max="9988" width="20.42578125" bestFit="1" customWidth="1"/>
    <col min="9989" max="9989" width="21.42578125" bestFit="1" customWidth="1"/>
    <col min="9990" max="9990" width="19.7109375" bestFit="1" customWidth="1"/>
    <col min="9991" max="9991" width="23.5703125" customWidth="1"/>
    <col min="9992" max="9992" width="4.7109375" customWidth="1"/>
    <col min="10241" max="10241" width="3" customWidth="1"/>
    <col min="10242" max="10242" width="4.140625" bestFit="1" customWidth="1"/>
    <col min="10243" max="10243" width="10" bestFit="1" customWidth="1"/>
    <col min="10244" max="10244" width="20.42578125" bestFit="1" customWidth="1"/>
    <col min="10245" max="10245" width="21.42578125" bestFit="1" customWidth="1"/>
    <col min="10246" max="10246" width="19.7109375" bestFit="1" customWidth="1"/>
    <col min="10247" max="10247" width="23.5703125" customWidth="1"/>
    <col min="10248" max="10248" width="4.7109375" customWidth="1"/>
    <col min="10497" max="10497" width="3" customWidth="1"/>
    <col min="10498" max="10498" width="4.140625" bestFit="1" customWidth="1"/>
    <col min="10499" max="10499" width="10" bestFit="1" customWidth="1"/>
    <col min="10500" max="10500" width="20.42578125" bestFit="1" customWidth="1"/>
    <col min="10501" max="10501" width="21.42578125" bestFit="1" customWidth="1"/>
    <col min="10502" max="10502" width="19.7109375" bestFit="1" customWidth="1"/>
    <col min="10503" max="10503" width="23.5703125" customWidth="1"/>
    <col min="10504" max="10504" width="4.7109375" customWidth="1"/>
    <col min="10753" max="10753" width="3" customWidth="1"/>
    <col min="10754" max="10754" width="4.140625" bestFit="1" customWidth="1"/>
    <col min="10755" max="10755" width="10" bestFit="1" customWidth="1"/>
    <col min="10756" max="10756" width="20.42578125" bestFit="1" customWidth="1"/>
    <col min="10757" max="10757" width="21.42578125" bestFit="1" customWidth="1"/>
    <col min="10758" max="10758" width="19.7109375" bestFit="1" customWidth="1"/>
    <col min="10759" max="10759" width="23.5703125" customWidth="1"/>
    <col min="10760" max="10760" width="4.7109375" customWidth="1"/>
    <col min="11009" max="11009" width="3" customWidth="1"/>
    <col min="11010" max="11010" width="4.140625" bestFit="1" customWidth="1"/>
    <col min="11011" max="11011" width="10" bestFit="1" customWidth="1"/>
    <col min="11012" max="11012" width="20.42578125" bestFit="1" customWidth="1"/>
    <col min="11013" max="11013" width="21.42578125" bestFit="1" customWidth="1"/>
    <col min="11014" max="11014" width="19.7109375" bestFit="1" customWidth="1"/>
    <col min="11015" max="11015" width="23.5703125" customWidth="1"/>
    <col min="11016" max="11016" width="4.7109375" customWidth="1"/>
    <col min="11265" max="11265" width="3" customWidth="1"/>
    <col min="11266" max="11266" width="4.140625" bestFit="1" customWidth="1"/>
    <col min="11267" max="11267" width="10" bestFit="1" customWidth="1"/>
    <col min="11268" max="11268" width="20.42578125" bestFit="1" customWidth="1"/>
    <col min="11269" max="11269" width="21.42578125" bestFit="1" customWidth="1"/>
    <col min="11270" max="11270" width="19.7109375" bestFit="1" customWidth="1"/>
    <col min="11271" max="11271" width="23.5703125" customWidth="1"/>
    <col min="11272" max="11272" width="4.7109375" customWidth="1"/>
    <col min="11521" max="11521" width="3" customWidth="1"/>
    <col min="11522" max="11522" width="4.140625" bestFit="1" customWidth="1"/>
    <col min="11523" max="11523" width="10" bestFit="1" customWidth="1"/>
    <col min="11524" max="11524" width="20.42578125" bestFit="1" customWidth="1"/>
    <col min="11525" max="11525" width="21.42578125" bestFit="1" customWidth="1"/>
    <col min="11526" max="11526" width="19.7109375" bestFit="1" customWidth="1"/>
    <col min="11527" max="11527" width="23.5703125" customWidth="1"/>
    <col min="11528" max="11528" width="4.7109375" customWidth="1"/>
    <col min="11777" max="11777" width="3" customWidth="1"/>
    <col min="11778" max="11778" width="4.140625" bestFit="1" customWidth="1"/>
    <col min="11779" max="11779" width="10" bestFit="1" customWidth="1"/>
    <col min="11780" max="11780" width="20.42578125" bestFit="1" customWidth="1"/>
    <col min="11781" max="11781" width="21.42578125" bestFit="1" customWidth="1"/>
    <col min="11782" max="11782" width="19.7109375" bestFit="1" customWidth="1"/>
    <col min="11783" max="11783" width="23.5703125" customWidth="1"/>
    <col min="11784" max="11784" width="4.7109375" customWidth="1"/>
    <col min="12033" max="12033" width="3" customWidth="1"/>
    <col min="12034" max="12034" width="4.140625" bestFit="1" customWidth="1"/>
    <col min="12035" max="12035" width="10" bestFit="1" customWidth="1"/>
    <col min="12036" max="12036" width="20.42578125" bestFit="1" customWidth="1"/>
    <col min="12037" max="12037" width="21.42578125" bestFit="1" customWidth="1"/>
    <col min="12038" max="12038" width="19.7109375" bestFit="1" customWidth="1"/>
    <col min="12039" max="12039" width="23.5703125" customWidth="1"/>
    <col min="12040" max="12040" width="4.7109375" customWidth="1"/>
    <col min="12289" max="12289" width="3" customWidth="1"/>
    <col min="12290" max="12290" width="4.140625" bestFit="1" customWidth="1"/>
    <col min="12291" max="12291" width="10" bestFit="1" customWidth="1"/>
    <col min="12292" max="12292" width="20.42578125" bestFit="1" customWidth="1"/>
    <col min="12293" max="12293" width="21.42578125" bestFit="1" customWidth="1"/>
    <col min="12294" max="12294" width="19.7109375" bestFit="1" customWidth="1"/>
    <col min="12295" max="12295" width="23.5703125" customWidth="1"/>
    <col min="12296" max="12296" width="4.7109375" customWidth="1"/>
    <col min="12545" max="12545" width="3" customWidth="1"/>
    <col min="12546" max="12546" width="4.140625" bestFit="1" customWidth="1"/>
    <col min="12547" max="12547" width="10" bestFit="1" customWidth="1"/>
    <col min="12548" max="12548" width="20.42578125" bestFit="1" customWidth="1"/>
    <col min="12549" max="12549" width="21.42578125" bestFit="1" customWidth="1"/>
    <col min="12550" max="12550" width="19.7109375" bestFit="1" customWidth="1"/>
    <col min="12551" max="12551" width="23.5703125" customWidth="1"/>
    <col min="12552" max="12552" width="4.7109375" customWidth="1"/>
    <col min="12801" max="12801" width="3" customWidth="1"/>
    <col min="12802" max="12802" width="4.140625" bestFit="1" customWidth="1"/>
    <col min="12803" max="12803" width="10" bestFit="1" customWidth="1"/>
    <col min="12804" max="12804" width="20.42578125" bestFit="1" customWidth="1"/>
    <col min="12805" max="12805" width="21.42578125" bestFit="1" customWidth="1"/>
    <col min="12806" max="12806" width="19.7109375" bestFit="1" customWidth="1"/>
    <col min="12807" max="12807" width="23.5703125" customWidth="1"/>
    <col min="12808" max="12808" width="4.7109375" customWidth="1"/>
    <col min="13057" max="13057" width="3" customWidth="1"/>
    <col min="13058" max="13058" width="4.140625" bestFit="1" customWidth="1"/>
    <col min="13059" max="13059" width="10" bestFit="1" customWidth="1"/>
    <col min="13060" max="13060" width="20.42578125" bestFit="1" customWidth="1"/>
    <col min="13061" max="13061" width="21.42578125" bestFit="1" customWidth="1"/>
    <col min="13062" max="13062" width="19.7109375" bestFit="1" customWidth="1"/>
    <col min="13063" max="13063" width="23.5703125" customWidth="1"/>
    <col min="13064" max="13064" width="4.7109375" customWidth="1"/>
    <col min="13313" max="13313" width="3" customWidth="1"/>
    <col min="13314" max="13314" width="4.140625" bestFit="1" customWidth="1"/>
    <col min="13315" max="13315" width="10" bestFit="1" customWidth="1"/>
    <col min="13316" max="13316" width="20.42578125" bestFit="1" customWidth="1"/>
    <col min="13317" max="13317" width="21.42578125" bestFit="1" customWidth="1"/>
    <col min="13318" max="13318" width="19.7109375" bestFit="1" customWidth="1"/>
    <col min="13319" max="13319" width="23.5703125" customWidth="1"/>
    <col min="13320" max="13320" width="4.7109375" customWidth="1"/>
    <col min="13569" max="13569" width="3" customWidth="1"/>
    <col min="13570" max="13570" width="4.140625" bestFit="1" customWidth="1"/>
    <col min="13571" max="13571" width="10" bestFit="1" customWidth="1"/>
    <col min="13572" max="13572" width="20.42578125" bestFit="1" customWidth="1"/>
    <col min="13573" max="13573" width="21.42578125" bestFit="1" customWidth="1"/>
    <col min="13574" max="13574" width="19.7109375" bestFit="1" customWidth="1"/>
    <col min="13575" max="13575" width="23.5703125" customWidth="1"/>
    <col min="13576" max="13576" width="4.7109375" customWidth="1"/>
    <col min="13825" max="13825" width="3" customWidth="1"/>
    <col min="13826" max="13826" width="4.140625" bestFit="1" customWidth="1"/>
    <col min="13827" max="13827" width="10" bestFit="1" customWidth="1"/>
    <col min="13828" max="13828" width="20.42578125" bestFit="1" customWidth="1"/>
    <col min="13829" max="13829" width="21.42578125" bestFit="1" customWidth="1"/>
    <col min="13830" max="13830" width="19.7109375" bestFit="1" customWidth="1"/>
    <col min="13831" max="13831" width="23.5703125" customWidth="1"/>
    <col min="13832" max="13832" width="4.7109375" customWidth="1"/>
    <col min="14081" max="14081" width="3" customWidth="1"/>
    <col min="14082" max="14082" width="4.140625" bestFit="1" customWidth="1"/>
    <col min="14083" max="14083" width="10" bestFit="1" customWidth="1"/>
    <col min="14084" max="14084" width="20.42578125" bestFit="1" customWidth="1"/>
    <col min="14085" max="14085" width="21.42578125" bestFit="1" customWidth="1"/>
    <col min="14086" max="14086" width="19.7109375" bestFit="1" customWidth="1"/>
    <col min="14087" max="14087" width="23.5703125" customWidth="1"/>
    <col min="14088" max="14088" width="4.7109375" customWidth="1"/>
    <col min="14337" max="14337" width="3" customWidth="1"/>
    <col min="14338" max="14338" width="4.140625" bestFit="1" customWidth="1"/>
    <col min="14339" max="14339" width="10" bestFit="1" customWidth="1"/>
    <col min="14340" max="14340" width="20.42578125" bestFit="1" customWidth="1"/>
    <col min="14341" max="14341" width="21.42578125" bestFit="1" customWidth="1"/>
    <col min="14342" max="14342" width="19.7109375" bestFit="1" customWidth="1"/>
    <col min="14343" max="14343" width="23.5703125" customWidth="1"/>
    <col min="14344" max="14344" width="4.7109375" customWidth="1"/>
    <col min="14593" max="14593" width="3" customWidth="1"/>
    <col min="14594" max="14594" width="4.140625" bestFit="1" customWidth="1"/>
    <col min="14595" max="14595" width="10" bestFit="1" customWidth="1"/>
    <col min="14596" max="14596" width="20.42578125" bestFit="1" customWidth="1"/>
    <col min="14597" max="14597" width="21.42578125" bestFit="1" customWidth="1"/>
    <col min="14598" max="14598" width="19.7109375" bestFit="1" customWidth="1"/>
    <col min="14599" max="14599" width="23.5703125" customWidth="1"/>
    <col min="14600" max="14600" width="4.7109375" customWidth="1"/>
    <col min="14849" max="14849" width="3" customWidth="1"/>
    <col min="14850" max="14850" width="4.140625" bestFit="1" customWidth="1"/>
    <col min="14851" max="14851" width="10" bestFit="1" customWidth="1"/>
    <col min="14852" max="14852" width="20.42578125" bestFit="1" customWidth="1"/>
    <col min="14853" max="14853" width="21.42578125" bestFit="1" customWidth="1"/>
    <col min="14854" max="14854" width="19.7109375" bestFit="1" customWidth="1"/>
    <col min="14855" max="14855" width="23.5703125" customWidth="1"/>
    <col min="14856" max="14856" width="4.7109375" customWidth="1"/>
    <col min="15105" max="15105" width="3" customWidth="1"/>
    <col min="15106" max="15106" width="4.140625" bestFit="1" customWidth="1"/>
    <col min="15107" max="15107" width="10" bestFit="1" customWidth="1"/>
    <col min="15108" max="15108" width="20.42578125" bestFit="1" customWidth="1"/>
    <col min="15109" max="15109" width="21.42578125" bestFit="1" customWidth="1"/>
    <col min="15110" max="15110" width="19.7109375" bestFit="1" customWidth="1"/>
    <col min="15111" max="15111" width="23.5703125" customWidth="1"/>
    <col min="15112" max="15112" width="4.7109375" customWidth="1"/>
    <col min="15361" max="15361" width="3" customWidth="1"/>
    <col min="15362" max="15362" width="4.140625" bestFit="1" customWidth="1"/>
    <col min="15363" max="15363" width="10" bestFit="1" customWidth="1"/>
    <col min="15364" max="15364" width="20.42578125" bestFit="1" customWidth="1"/>
    <col min="15365" max="15365" width="21.42578125" bestFit="1" customWidth="1"/>
    <col min="15366" max="15366" width="19.7109375" bestFit="1" customWidth="1"/>
    <col min="15367" max="15367" width="23.5703125" customWidth="1"/>
    <col min="15368" max="15368" width="4.7109375" customWidth="1"/>
    <col min="15617" max="15617" width="3" customWidth="1"/>
    <col min="15618" max="15618" width="4.140625" bestFit="1" customWidth="1"/>
    <col min="15619" max="15619" width="10" bestFit="1" customWidth="1"/>
    <col min="15620" max="15620" width="20.42578125" bestFit="1" customWidth="1"/>
    <col min="15621" max="15621" width="21.42578125" bestFit="1" customWidth="1"/>
    <col min="15622" max="15622" width="19.7109375" bestFit="1" customWidth="1"/>
    <col min="15623" max="15623" width="23.5703125" customWidth="1"/>
    <col min="15624" max="15624" width="4.7109375" customWidth="1"/>
    <col min="15873" max="15873" width="3" customWidth="1"/>
    <col min="15874" max="15874" width="4.140625" bestFit="1" customWidth="1"/>
    <col min="15875" max="15875" width="10" bestFit="1" customWidth="1"/>
    <col min="15876" max="15876" width="20.42578125" bestFit="1" customWidth="1"/>
    <col min="15877" max="15877" width="21.42578125" bestFit="1" customWidth="1"/>
    <col min="15878" max="15878" width="19.7109375" bestFit="1" customWidth="1"/>
    <col min="15879" max="15879" width="23.5703125" customWidth="1"/>
    <col min="15880" max="15880" width="4.7109375" customWidth="1"/>
    <col min="16129" max="16129" width="3" customWidth="1"/>
    <col min="16130" max="16130" width="4.140625" bestFit="1" customWidth="1"/>
    <col min="16131" max="16131" width="10" bestFit="1" customWidth="1"/>
    <col min="16132" max="16132" width="20.42578125" bestFit="1" customWidth="1"/>
    <col min="16133" max="16133" width="21.42578125" bestFit="1" customWidth="1"/>
    <col min="16134" max="16134" width="19.7109375" bestFit="1" customWidth="1"/>
    <col min="16135" max="16135" width="23.5703125" customWidth="1"/>
    <col min="16136" max="16136" width="4.7109375" customWidth="1"/>
  </cols>
  <sheetData>
    <row r="1" spans="1:10" x14ac:dyDescent="0.2">
      <c r="A1" s="41"/>
      <c r="B1" s="42"/>
      <c r="C1" s="42"/>
      <c r="D1" s="2" t="s">
        <v>39</v>
      </c>
      <c r="E1" s="43" t="str">
        <f>Currency&amp;"_YC"&amp;$D$1&amp;"RH"</f>
        <v>USD_YC1YRH</v>
      </c>
      <c r="F1" s="44"/>
      <c r="G1" s="44"/>
      <c r="H1" s="45"/>
    </row>
    <row r="2" spans="1:10" ht="23.25" customHeight="1" x14ac:dyDescent="0.2">
      <c r="A2" s="46"/>
      <c r="B2" s="47"/>
      <c r="C2" s="47" t="s">
        <v>111</v>
      </c>
      <c r="D2" s="47" t="s">
        <v>112</v>
      </c>
      <c r="E2" s="48" t="str">
        <f>$E$1&amp;"_Deposits.xml"</f>
        <v>USD_YC1YRH_Deposits.xml</v>
      </c>
      <c r="F2" s="49" t="str">
        <f>IF(Serialize,_xll.ohObjectSave(F3:F18,SerializationPath&amp;E2,FileOverwrite,Serialize),"---")</f>
        <v>---</v>
      </c>
      <c r="G2" s="50" t="str">
        <f>_xll.ohRangeRetrieveError(F2)</f>
        <v/>
      </c>
      <c r="H2" s="45"/>
    </row>
    <row r="3" spans="1:10" x14ac:dyDescent="0.2">
      <c r="A3" s="46"/>
      <c r="B3" s="51" t="s">
        <v>113</v>
      </c>
      <c r="C3" s="57" t="str">
        <f>_xll.qlLibor(,"USD",B3,,,Trigger,ObjectOverwrite)</f>
        <v>obj_004ae#0001</v>
      </c>
      <c r="D3" s="52" t="str">
        <f>Currency&amp;B3&amp;"D_SYNTH"&amp;$D$1&amp;QuoteSuffix</f>
        <v>USDSND_SYNTH1Y_Quote</v>
      </c>
      <c r="E3" s="53" t="str">
        <f t="shared" ref="E3:E18" si="0">$E$1&amp;"_"&amp;$B3&amp;"D"</f>
        <v>USD_YC1YRH_SND</v>
      </c>
      <c r="F3" s="54" t="str">
        <f>_xll.qlDepositRateHelper2(E3,D3,"1d",2,"target","following",FALSE,"act/360",Permanent,Trigger,ObjectOverwrite)</f>
        <v>USD_YC1YRH_SND#0001</v>
      </c>
      <c r="G3" s="55" t="str">
        <f>_xll.ohRangeRetrieveError(F3)</f>
        <v/>
      </c>
      <c r="H3" s="45"/>
      <c r="J3" s="204"/>
    </row>
    <row r="4" spans="1:10" x14ac:dyDescent="0.2">
      <c r="A4" s="46"/>
      <c r="B4" s="56" t="s">
        <v>114</v>
      </c>
      <c r="C4" s="57" t="str">
        <f>_xll.qlLibor(,"USD",B4,,,Trigger,ObjectOverwrite)</f>
        <v>obj_004b7#0001</v>
      </c>
      <c r="D4" s="52" t="str">
        <f t="shared" ref="D4:D18" si="1">Currency&amp;B4&amp;"D_SYNTH"&amp;$D$1&amp;QuoteSuffix</f>
        <v>USDSWD_SYNTH1Y_Quote</v>
      </c>
      <c r="E4" s="53" t="str">
        <f t="shared" si="0"/>
        <v>USD_YC1YRH_SWD</v>
      </c>
      <c r="F4" s="58" t="str">
        <f>_xll.qlDepositRateHelper(E4,D4,C4,Permanent,Trigger,ObjectOverwrite)</f>
        <v>USD_YC1YRH_SWD#0001</v>
      </c>
      <c r="G4" s="55" t="str">
        <f>_xll.ohRangeRetrieveError(F4)</f>
        <v/>
      </c>
      <c r="H4" s="45"/>
      <c r="J4" s="204"/>
    </row>
    <row r="5" spans="1:10" x14ac:dyDescent="0.2">
      <c r="A5" s="46"/>
      <c r="B5" s="56" t="s">
        <v>115</v>
      </c>
      <c r="C5" s="57" t="str">
        <f>_xll.qlLibor(,"USD",B5,,,Trigger,ObjectOverwrite)</f>
        <v>obj_004af#0001</v>
      </c>
      <c r="D5" s="52" t="str">
        <f t="shared" si="1"/>
        <v>USD2WD_SYNTH1Y_Quote</v>
      </c>
      <c r="E5" s="53" t="str">
        <f t="shared" si="0"/>
        <v>USD_YC1YRH_2WD</v>
      </c>
      <c r="F5" s="58" t="str">
        <f>_xll.qlDepositRateHelper(E5,D5,C5,Permanent,Trigger,ObjectOverwrite)</f>
        <v>USD_YC1YRH_2WD#0001</v>
      </c>
      <c r="G5" s="55" t="str">
        <f>_xll.ohRangeRetrieveError(F5)</f>
        <v/>
      </c>
      <c r="H5" s="45"/>
      <c r="J5" s="204"/>
    </row>
    <row r="6" spans="1:10" x14ac:dyDescent="0.2">
      <c r="A6" s="46"/>
      <c r="B6" s="56" t="s">
        <v>116</v>
      </c>
      <c r="C6" s="57" t="str">
        <f>_xll.qlLibor(,"USD",B6,,,Trigger,ObjectOverwrite)</f>
        <v>obj_004b5#0001</v>
      </c>
      <c r="D6" s="52" t="str">
        <f t="shared" si="1"/>
        <v>USD3WD_SYNTH1Y_Quote</v>
      </c>
      <c r="E6" s="53" t="str">
        <f t="shared" si="0"/>
        <v>USD_YC1YRH_3WD</v>
      </c>
      <c r="F6" s="58" t="str">
        <f>_xll.qlDepositRateHelper(E6,D6,C6,Permanent,Trigger,ObjectOverwrite)</f>
        <v>USD_YC1YRH_3WD#0001</v>
      </c>
      <c r="G6" s="55" t="str">
        <f>_xll.ohRangeRetrieveError(F6)</f>
        <v/>
      </c>
      <c r="H6" s="45"/>
      <c r="J6" s="204"/>
    </row>
    <row r="7" spans="1:10" x14ac:dyDescent="0.2">
      <c r="A7" s="46"/>
      <c r="B7" s="56" t="s">
        <v>117</v>
      </c>
      <c r="C7" s="57" t="str">
        <f>_xll.qlLibor(,"USD",B7,,,Trigger,ObjectOverwrite)</f>
        <v>obj_004b8#0001</v>
      </c>
      <c r="D7" s="52" t="str">
        <f t="shared" si="1"/>
        <v>USD1MD_SYNTH1Y_Quote</v>
      </c>
      <c r="E7" s="53" t="str">
        <f t="shared" si="0"/>
        <v>USD_YC1YRH_1MD</v>
      </c>
      <c r="F7" s="58" t="str">
        <f>_xll.qlDepositRateHelper(E7,D7,C7,Permanent,Trigger,ObjectOverwrite)</f>
        <v>USD_YC1YRH_1MD#0001</v>
      </c>
      <c r="G7" s="55" t="str">
        <f>_xll.ohRangeRetrieveError(F7)</f>
        <v/>
      </c>
      <c r="H7" s="45"/>
      <c r="J7" s="204"/>
    </row>
    <row r="8" spans="1:10" x14ac:dyDescent="0.2">
      <c r="A8" s="46"/>
      <c r="B8" s="56" t="s">
        <v>118</v>
      </c>
      <c r="C8" s="57" t="str">
        <f>_xll.qlLibor(,"USD",B8,,,Trigger,ObjectOverwrite)</f>
        <v>obj_004b0#0001</v>
      </c>
      <c r="D8" s="52" t="str">
        <f t="shared" si="1"/>
        <v>USD2MD_SYNTH1Y_Quote</v>
      </c>
      <c r="E8" s="53" t="str">
        <f t="shared" si="0"/>
        <v>USD_YC1YRH_2MD</v>
      </c>
      <c r="F8" s="58" t="str">
        <f>_xll.qlDepositRateHelper(E8,D8,C8,Permanent,Trigger,ObjectOverwrite)</f>
        <v>USD_YC1YRH_2MD#0001</v>
      </c>
      <c r="G8" s="55" t="str">
        <f>_xll.ohRangeRetrieveError(F8)</f>
        <v/>
      </c>
      <c r="H8" s="45"/>
      <c r="J8" s="204"/>
    </row>
    <row r="9" spans="1:10" x14ac:dyDescent="0.2">
      <c r="A9" s="46"/>
      <c r="B9" s="56" t="s">
        <v>119</v>
      </c>
      <c r="C9" s="57" t="str">
        <f>_xll.qlLibor(,"USD",B9,,,Trigger,ObjectOverwrite)</f>
        <v>obj_004b9#0001</v>
      </c>
      <c r="D9" s="52" t="str">
        <f t="shared" si="1"/>
        <v>USD3MD_SYNTH1Y_Quote</v>
      </c>
      <c r="E9" s="53" t="str">
        <f t="shared" si="0"/>
        <v>USD_YC1YRH_3MD</v>
      </c>
      <c r="F9" s="58" t="str">
        <f>_xll.qlDepositRateHelper(E9,D9,C9,Permanent,Trigger,ObjectOverwrite)</f>
        <v>USD_YC1YRH_3MD#0001</v>
      </c>
      <c r="G9" s="55" t="str">
        <f>_xll.ohRangeRetrieveError(F9)</f>
        <v/>
      </c>
      <c r="H9" s="45"/>
      <c r="J9" s="204"/>
    </row>
    <row r="10" spans="1:10" x14ac:dyDescent="0.2">
      <c r="A10" s="46"/>
      <c r="B10" s="56" t="s">
        <v>120</v>
      </c>
      <c r="C10" s="57" t="str">
        <f>_xll.qlLibor(,"USD",B10,,,Trigger,ObjectOverwrite)</f>
        <v>obj_004ba#0001</v>
      </c>
      <c r="D10" s="52" t="str">
        <f t="shared" si="1"/>
        <v>USD4MD_SYNTH1Y_Quote</v>
      </c>
      <c r="E10" s="53" t="str">
        <f t="shared" si="0"/>
        <v>USD_YC1YRH_4MD</v>
      </c>
      <c r="F10" s="58" t="str">
        <f>_xll.qlDepositRateHelper(E10,D10,C10,Permanent,Trigger,ObjectOverwrite)</f>
        <v>USD_YC1YRH_4MD#0001</v>
      </c>
      <c r="G10" s="55" t="str">
        <f>_xll.ohRangeRetrieveError(F10)</f>
        <v/>
      </c>
      <c r="H10" s="45"/>
      <c r="J10" s="204"/>
    </row>
    <row r="11" spans="1:10" x14ac:dyDescent="0.2">
      <c r="A11" s="46"/>
      <c r="B11" s="56" t="s">
        <v>121</v>
      </c>
      <c r="C11" s="57" t="str">
        <f>_xll.qlLibor(,"USD",B11,,,Trigger,ObjectOverwrite)</f>
        <v>obj_004b3#0001</v>
      </c>
      <c r="D11" s="52" t="str">
        <f t="shared" si="1"/>
        <v>USD5MD_SYNTH1Y_Quote</v>
      </c>
      <c r="E11" s="53" t="str">
        <f t="shared" si="0"/>
        <v>USD_YC1YRH_5MD</v>
      </c>
      <c r="F11" s="58" t="str">
        <f>_xll.qlDepositRateHelper(E11,D11,C11,Permanent,Trigger,ObjectOverwrite)</f>
        <v>USD_YC1YRH_5MD#0001</v>
      </c>
      <c r="G11" s="55" t="str">
        <f>_xll.ohRangeRetrieveError(F11)</f>
        <v/>
      </c>
      <c r="H11" s="45"/>
      <c r="J11" s="204"/>
    </row>
    <row r="12" spans="1:10" x14ac:dyDescent="0.2">
      <c r="A12" s="46"/>
      <c r="B12" s="56" t="s">
        <v>122</v>
      </c>
      <c r="C12" s="57" t="str">
        <f>_xll.qlLibor(,"USD",B12,,,Trigger,ObjectOverwrite)</f>
        <v>obj_004b1#0001</v>
      </c>
      <c r="D12" s="52" t="str">
        <f t="shared" si="1"/>
        <v>USD6MD_SYNTH1Y_Quote</v>
      </c>
      <c r="E12" s="53" t="str">
        <f t="shared" si="0"/>
        <v>USD_YC1YRH_6MD</v>
      </c>
      <c r="F12" s="58" t="str">
        <f>_xll.qlDepositRateHelper(E12,D12,C12,Permanent,Trigger,ObjectOverwrite)</f>
        <v>USD_YC1YRH_6MD#0001</v>
      </c>
      <c r="G12" s="55" t="str">
        <f>_xll.ohRangeRetrieveError(F12)</f>
        <v/>
      </c>
      <c r="H12" s="45"/>
      <c r="J12" s="204"/>
    </row>
    <row r="13" spans="1:10" x14ac:dyDescent="0.2">
      <c r="A13" s="46"/>
      <c r="B13" s="56" t="s">
        <v>123</v>
      </c>
      <c r="C13" s="57" t="str">
        <f>_xll.qlLibor(,"USD",B13,,,Trigger,ObjectOverwrite)</f>
        <v>obj_004bb#0001</v>
      </c>
      <c r="D13" s="52" t="str">
        <f t="shared" si="1"/>
        <v>USD7MD_SYNTH1Y_Quote</v>
      </c>
      <c r="E13" s="53" t="str">
        <f t="shared" si="0"/>
        <v>USD_YC1YRH_7MD</v>
      </c>
      <c r="F13" s="58" t="str">
        <f>_xll.qlDepositRateHelper(E13,D13,C13,Permanent,Trigger,ObjectOverwrite)</f>
        <v>USD_YC1YRH_7MD#0001</v>
      </c>
      <c r="G13" s="55" t="str">
        <f>_xll.ohRangeRetrieveError(F13)</f>
        <v/>
      </c>
      <c r="H13" s="45"/>
      <c r="J13" s="204"/>
    </row>
    <row r="14" spans="1:10" x14ac:dyDescent="0.2">
      <c r="A14" s="46"/>
      <c r="B14" s="56" t="s">
        <v>124</v>
      </c>
      <c r="C14" s="57" t="str">
        <f>_xll.qlLibor(,"USD",B14,,,Trigger,ObjectOverwrite)</f>
        <v>obj_004b2#0001</v>
      </c>
      <c r="D14" s="52" t="str">
        <f t="shared" si="1"/>
        <v>USD8MD_SYNTH1Y_Quote</v>
      </c>
      <c r="E14" s="53" t="str">
        <f t="shared" si="0"/>
        <v>USD_YC1YRH_8MD</v>
      </c>
      <c r="F14" s="58" t="str">
        <f>_xll.qlDepositRateHelper(E14,D14,C14,Permanent,Trigger,ObjectOverwrite)</f>
        <v>USD_YC1YRH_8MD#0001</v>
      </c>
      <c r="G14" s="55" t="str">
        <f>_xll.ohRangeRetrieveError(F14)</f>
        <v/>
      </c>
      <c r="H14" s="45"/>
      <c r="J14" s="204"/>
    </row>
    <row r="15" spans="1:10" x14ac:dyDescent="0.2">
      <c r="A15" s="46"/>
      <c r="B15" s="56" t="s">
        <v>125</v>
      </c>
      <c r="C15" s="57" t="str">
        <f>_xll.qlLibor(,"USD",B15,,,Trigger,ObjectOverwrite)</f>
        <v>obj_004b6#0001</v>
      </c>
      <c r="D15" s="52" t="str">
        <f t="shared" si="1"/>
        <v>USD9MD_SYNTH1Y_Quote</v>
      </c>
      <c r="E15" s="53" t="str">
        <f t="shared" si="0"/>
        <v>USD_YC1YRH_9MD</v>
      </c>
      <c r="F15" s="58" t="str">
        <f>_xll.qlDepositRateHelper(E15,D15,C15,Permanent,Trigger,ObjectOverwrite)</f>
        <v>USD_YC1YRH_9MD#0001</v>
      </c>
      <c r="G15" s="55" t="str">
        <f>_xll.ohRangeRetrieveError(F15)</f>
        <v/>
      </c>
      <c r="H15" s="45"/>
      <c r="J15" s="204"/>
    </row>
    <row r="16" spans="1:10" x14ac:dyDescent="0.2">
      <c r="A16" s="46"/>
      <c r="B16" s="56" t="s">
        <v>126</v>
      </c>
      <c r="C16" s="57" t="str">
        <f>_xll.qlLibor(,"USD",B16,,,Trigger,ObjectOverwrite)</f>
        <v>obj_004b4#0001</v>
      </c>
      <c r="D16" s="52" t="str">
        <f t="shared" si="1"/>
        <v>USD10MD_SYNTH1Y_Quote</v>
      </c>
      <c r="E16" s="53" t="str">
        <f t="shared" si="0"/>
        <v>USD_YC1YRH_10MD</v>
      </c>
      <c r="F16" s="58" t="str">
        <f>_xll.qlDepositRateHelper(E16,D16,C16,Permanent,Trigger,ObjectOverwrite)</f>
        <v>USD_YC1YRH_10MD#0001</v>
      </c>
      <c r="G16" s="55" t="str">
        <f>_xll.ohRangeRetrieveError(F16)</f>
        <v/>
      </c>
      <c r="H16" s="45"/>
      <c r="J16" s="204"/>
    </row>
    <row r="17" spans="1:10" x14ac:dyDescent="0.2">
      <c r="A17" s="46"/>
      <c r="B17" s="56" t="s">
        <v>127</v>
      </c>
      <c r="C17" s="57" t="str">
        <f>_xll.qlLibor(,"USD",B17,,,Trigger,ObjectOverwrite)</f>
        <v>obj_004bc#0001</v>
      </c>
      <c r="D17" s="52" t="str">
        <f t="shared" si="1"/>
        <v>USD11MD_SYNTH1Y_Quote</v>
      </c>
      <c r="E17" s="53" t="str">
        <f t="shared" si="0"/>
        <v>USD_YC1YRH_11MD</v>
      </c>
      <c r="F17" s="58" t="str">
        <f>_xll.qlDepositRateHelper(E17,D17,C17,Permanent,Trigger,ObjectOverwrite)</f>
        <v>USD_YC1YRH_11MD#0001</v>
      </c>
      <c r="G17" s="55" t="str">
        <f>_xll.ohRangeRetrieveError(F17)</f>
        <v/>
      </c>
      <c r="H17" s="45"/>
      <c r="J17" s="204"/>
    </row>
    <row r="18" spans="1:10" x14ac:dyDescent="0.2">
      <c r="A18" s="46"/>
      <c r="B18" s="56" t="s">
        <v>39</v>
      </c>
      <c r="C18" s="57" t="str">
        <f>_xll.qlLibor(,"USD",B18,,,Trigger,ObjectOverwrite)</f>
        <v>obj_004ad#0001</v>
      </c>
      <c r="D18" s="52" t="str">
        <f t="shared" si="1"/>
        <v>USD1YD_SYNTH1Y_Quote</v>
      </c>
      <c r="E18" s="53" t="str">
        <f t="shared" si="0"/>
        <v>USD_YC1YRH_1YD</v>
      </c>
      <c r="F18" s="58" t="str">
        <f>_xll.qlDepositRateHelper(E18,D18,C18,Permanent,Trigger,ObjectOverwrite)</f>
        <v>USD_YC1YRH_1YD#0001</v>
      </c>
      <c r="G18" s="55" t="str">
        <f>_xll.ohRangeRetrieveError(F18)</f>
        <v/>
      </c>
      <c r="H18" s="45"/>
      <c r="J18" s="204"/>
    </row>
    <row r="19" spans="1:10" ht="13.5" thickBot="1" x14ac:dyDescent="0.25">
      <c r="A19" s="59"/>
      <c r="B19" s="60"/>
      <c r="C19" s="60"/>
      <c r="D19" s="60"/>
      <c r="E19" s="60"/>
      <c r="F19" s="60"/>
      <c r="G19" s="60"/>
      <c r="H19" s="61"/>
      <c r="J19" s="20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2"/>
  <sheetViews>
    <sheetView workbookViewId="0">
      <selection activeCell="I39" sqref="I39:I49"/>
    </sheetView>
  </sheetViews>
  <sheetFormatPr defaultRowHeight="11.25" x14ac:dyDescent="0.2"/>
  <cols>
    <col min="1" max="2" width="3.7109375" style="44" customWidth="1"/>
    <col min="3" max="3" width="5.85546875" style="44" bestFit="1" customWidth="1"/>
    <col min="4" max="4" width="4.42578125" style="1" bestFit="1" customWidth="1"/>
    <col min="5" max="5" width="7.85546875" style="1" bestFit="1" customWidth="1"/>
    <col min="6" max="6" width="8.28515625" style="1" bestFit="1" customWidth="1"/>
    <col min="7" max="7" width="22.28515625" style="44" bestFit="1" customWidth="1"/>
    <col min="8" max="8" width="19.5703125" style="44" bestFit="1" customWidth="1"/>
    <col min="9" max="9" width="23" style="98" bestFit="1" customWidth="1"/>
    <col min="10" max="10" width="38.28515625" style="44" customWidth="1"/>
    <col min="11" max="11" width="3" style="44" customWidth="1"/>
    <col min="12" max="256" width="9.140625" style="44"/>
    <col min="257" max="258" width="3.7109375" style="44" customWidth="1"/>
    <col min="259" max="259" width="5.85546875" style="44" bestFit="1" customWidth="1"/>
    <col min="260" max="260" width="4.42578125" style="44" bestFit="1" customWidth="1"/>
    <col min="261" max="261" width="7.85546875" style="44" bestFit="1" customWidth="1"/>
    <col min="262" max="262" width="8.28515625" style="44" bestFit="1" customWidth="1"/>
    <col min="263" max="263" width="22.28515625" style="44" bestFit="1" customWidth="1"/>
    <col min="264" max="264" width="19.5703125" style="44" bestFit="1" customWidth="1"/>
    <col min="265" max="265" width="23" style="44" bestFit="1" customWidth="1"/>
    <col min="266" max="266" width="38.28515625" style="44" customWidth="1"/>
    <col min="267" max="267" width="3" style="44" customWidth="1"/>
    <col min="268" max="512" width="9.140625" style="44"/>
    <col min="513" max="514" width="3.7109375" style="44" customWidth="1"/>
    <col min="515" max="515" width="5.85546875" style="44" bestFit="1" customWidth="1"/>
    <col min="516" max="516" width="4.42578125" style="44" bestFit="1" customWidth="1"/>
    <col min="517" max="517" width="7.85546875" style="44" bestFit="1" customWidth="1"/>
    <col min="518" max="518" width="8.28515625" style="44" bestFit="1" customWidth="1"/>
    <col min="519" max="519" width="22.28515625" style="44" bestFit="1" customWidth="1"/>
    <col min="520" max="520" width="19.5703125" style="44" bestFit="1" customWidth="1"/>
    <col min="521" max="521" width="23" style="44" bestFit="1" customWidth="1"/>
    <col min="522" max="522" width="38.28515625" style="44" customWidth="1"/>
    <col min="523" max="523" width="3" style="44" customWidth="1"/>
    <col min="524" max="768" width="9.140625" style="44"/>
    <col min="769" max="770" width="3.7109375" style="44" customWidth="1"/>
    <col min="771" max="771" width="5.85546875" style="44" bestFit="1" customWidth="1"/>
    <col min="772" max="772" width="4.42578125" style="44" bestFit="1" customWidth="1"/>
    <col min="773" max="773" width="7.85546875" style="44" bestFit="1" customWidth="1"/>
    <col min="774" max="774" width="8.28515625" style="44" bestFit="1" customWidth="1"/>
    <col min="775" max="775" width="22.28515625" style="44" bestFit="1" customWidth="1"/>
    <col min="776" max="776" width="19.5703125" style="44" bestFit="1" customWidth="1"/>
    <col min="777" max="777" width="23" style="44" bestFit="1" customWidth="1"/>
    <col min="778" max="778" width="38.28515625" style="44" customWidth="1"/>
    <col min="779" max="779" width="3" style="44" customWidth="1"/>
    <col min="780" max="1024" width="9.140625" style="44"/>
    <col min="1025" max="1026" width="3.7109375" style="44" customWidth="1"/>
    <col min="1027" max="1027" width="5.85546875" style="44" bestFit="1" customWidth="1"/>
    <col min="1028" max="1028" width="4.42578125" style="44" bestFit="1" customWidth="1"/>
    <col min="1029" max="1029" width="7.85546875" style="44" bestFit="1" customWidth="1"/>
    <col min="1030" max="1030" width="8.28515625" style="44" bestFit="1" customWidth="1"/>
    <col min="1031" max="1031" width="22.28515625" style="44" bestFit="1" customWidth="1"/>
    <col min="1032" max="1032" width="19.5703125" style="44" bestFit="1" customWidth="1"/>
    <col min="1033" max="1033" width="23" style="44" bestFit="1" customWidth="1"/>
    <col min="1034" max="1034" width="38.28515625" style="44" customWidth="1"/>
    <col min="1035" max="1035" width="3" style="44" customWidth="1"/>
    <col min="1036" max="1280" width="9.140625" style="44"/>
    <col min="1281" max="1282" width="3.7109375" style="44" customWidth="1"/>
    <col min="1283" max="1283" width="5.85546875" style="44" bestFit="1" customWidth="1"/>
    <col min="1284" max="1284" width="4.42578125" style="44" bestFit="1" customWidth="1"/>
    <col min="1285" max="1285" width="7.85546875" style="44" bestFit="1" customWidth="1"/>
    <col min="1286" max="1286" width="8.28515625" style="44" bestFit="1" customWidth="1"/>
    <col min="1287" max="1287" width="22.28515625" style="44" bestFit="1" customWidth="1"/>
    <col min="1288" max="1288" width="19.5703125" style="44" bestFit="1" customWidth="1"/>
    <col min="1289" max="1289" width="23" style="44" bestFit="1" customWidth="1"/>
    <col min="1290" max="1290" width="38.28515625" style="44" customWidth="1"/>
    <col min="1291" max="1291" width="3" style="44" customWidth="1"/>
    <col min="1292" max="1536" width="9.140625" style="44"/>
    <col min="1537" max="1538" width="3.7109375" style="44" customWidth="1"/>
    <col min="1539" max="1539" width="5.85546875" style="44" bestFit="1" customWidth="1"/>
    <col min="1540" max="1540" width="4.42578125" style="44" bestFit="1" customWidth="1"/>
    <col min="1541" max="1541" width="7.85546875" style="44" bestFit="1" customWidth="1"/>
    <col min="1542" max="1542" width="8.28515625" style="44" bestFit="1" customWidth="1"/>
    <col min="1543" max="1543" width="22.28515625" style="44" bestFit="1" customWidth="1"/>
    <col min="1544" max="1544" width="19.5703125" style="44" bestFit="1" customWidth="1"/>
    <col min="1545" max="1545" width="23" style="44" bestFit="1" customWidth="1"/>
    <col min="1546" max="1546" width="38.28515625" style="44" customWidth="1"/>
    <col min="1547" max="1547" width="3" style="44" customWidth="1"/>
    <col min="1548" max="1792" width="9.140625" style="44"/>
    <col min="1793" max="1794" width="3.7109375" style="44" customWidth="1"/>
    <col min="1795" max="1795" width="5.85546875" style="44" bestFit="1" customWidth="1"/>
    <col min="1796" max="1796" width="4.42578125" style="44" bestFit="1" customWidth="1"/>
    <col min="1797" max="1797" width="7.85546875" style="44" bestFit="1" customWidth="1"/>
    <col min="1798" max="1798" width="8.28515625" style="44" bestFit="1" customWidth="1"/>
    <col min="1799" max="1799" width="22.28515625" style="44" bestFit="1" customWidth="1"/>
    <col min="1800" max="1800" width="19.5703125" style="44" bestFit="1" customWidth="1"/>
    <col min="1801" max="1801" width="23" style="44" bestFit="1" customWidth="1"/>
    <col min="1802" max="1802" width="38.28515625" style="44" customWidth="1"/>
    <col min="1803" max="1803" width="3" style="44" customWidth="1"/>
    <col min="1804" max="2048" width="9.140625" style="44"/>
    <col min="2049" max="2050" width="3.7109375" style="44" customWidth="1"/>
    <col min="2051" max="2051" width="5.85546875" style="44" bestFit="1" customWidth="1"/>
    <col min="2052" max="2052" width="4.42578125" style="44" bestFit="1" customWidth="1"/>
    <col min="2053" max="2053" width="7.85546875" style="44" bestFit="1" customWidth="1"/>
    <col min="2054" max="2054" width="8.28515625" style="44" bestFit="1" customWidth="1"/>
    <col min="2055" max="2055" width="22.28515625" style="44" bestFit="1" customWidth="1"/>
    <col min="2056" max="2056" width="19.5703125" style="44" bestFit="1" customWidth="1"/>
    <col min="2057" max="2057" width="23" style="44" bestFit="1" customWidth="1"/>
    <col min="2058" max="2058" width="38.28515625" style="44" customWidth="1"/>
    <col min="2059" max="2059" width="3" style="44" customWidth="1"/>
    <col min="2060" max="2304" width="9.140625" style="44"/>
    <col min="2305" max="2306" width="3.7109375" style="44" customWidth="1"/>
    <col min="2307" max="2307" width="5.85546875" style="44" bestFit="1" customWidth="1"/>
    <col min="2308" max="2308" width="4.42578125" style="44" bestFit="1" customWidth="1"/>
    <col min="2309" max="2309" width="7.85546875" style="44" bestFit="1" customWidth="1"/>
    <col min="2310" max="2310" width="8.28515625" style="44" bestFit="1" customWidth="1"/>
    <col min="2311" max="2311" width="22.28515625" style="44" bestFit="1" customWidth="1"/>
    <col min="2312" max="2312" width="19.5703125" style="44" bestFit="1" customWidth="1"/>
    <col min="2313" max="2313" width="23" style="44" bestFit="1" customWidth="1"/>
    <col min="2314" max="2314" width="38.28515625" style="44" customWidth="1"/>
    <col min="2315" max="2315" width="3" style="44" customWidth="1"/>
    <col min="2316" max="2560" width="9.140625" style="44"/>
    <col min="2561" max="2562" width="3.7109375" style="44" customWidth="1"/>
    <col min="2563" max="2563" width="5.85546875" style="44" bestFit="1" customWidth="1"/>
    <col min="2564" max="2564" width="4.42578125" style="44" bestFit="1" customWidth="1"/>
    <col min="2565" max="2565" width="7.85546875" style="44" bestFit="1" customWidth="1"/>
    <col min="2566" max="2566" width="8.28515625" style="44" bestFit="1" customWidth="1"/>
    <col min="2567" max="2567" width="22.28515625" style="44" bestFit="1" customWidth="1"/>
    <col min="2568" max="2568" width="19.5703125" style="44" bestFit="1" customWidth="1"/>
    <col min="2569" max="2569" width="23" style="44" bestFit="1" customWidth="1"/>
    <col min="2570" max="2570" width="38.28515625" style="44" customWidth="1"/>
    <col min="2571" max="2571" width="3" style="44" customWidth="1"/>
    <col min="2572" max="2816" width="9.140625" style="44"/>
    <col min="2817" max="2818" width="3.7109375" style="44" customWidth="1"/>
    <col min="2819" max="2819" width="5.85546875" style="44" bestFit="1" customWidth="1"/>
    <col min="2820" max="2820" width="4.42578125" style="44" bestFit="1" customWidth="1"/>
    <col min="2821" max="2821" width="7.85546875" style="44" bestFit="1" customWidth="1"/>
    <col min="2822" max="2822" width="8.28515625" style="44" bestFit="1" customWidth="1"/>
    <col min="2823" max="2823" width="22.28515625" style="44" bestFit="1" customWidth="1"/>
    <col min="2824" max="2824" width="19.5703125" style="44" bestFit="1" customWidth="1"/>
    <col min="2825" max="2825" width="23" style="44" bestFit="1" customWidth="1"/>
    <col min="2826" max="2826" width="38.28515625" style="44" customWidth="1"/>
    <col min="2827" max="2827" width="3" style="44" customWidth="1"/>
    <col min="2828" max="3072" width="9.140625" style="44"/>
    <col min="3073" max="3074" width="3.7109375" style="44" customWidth="1"/>
    <col min="3075" max="3075" width="5.85546875" style="44" bestFit="1" customWidth="1"/>
    <col min="3076" max="3076" width="4.42578125" style="44" bestFit="1" customWidth="1"/>
    <col min="3077" max="3077" width="7.85546875" style="44" bestFit="1" customWidth="1"/>
    <col min="3078" max="3078" width="8.28515625" style="44" bestFit="1" customWidth="1"/>
    <col min="3079" max="3079" width="22.28515625" style="44" bestFit="1" customWidth="1"/>
    <col min="3080" max="3080" width="19.5703125" style="44" bestFit="1" customWidth="1"/>
    <col min="3081" max="3081" width="23" style="44" bestFit="1" customWidth="1"/>
    <col min="3082" max="3082" width="38.28515625" style="44" customWidth="1"/>
    <col min="3083" max="3083" width="3" style="44" customWidth="1"/>
    <col min="3084" max="3328" width="9.140625" style="44"/>
    <col min="3329" max="3330" width="3.7109375" style="44" customWidth="1"/>
    <col min="3331" max="3331" width="5.85546875" style="44" bestFit="1" customWidth="1"/>
    <col min="3332" max="3332" width="4.42578125" style="44" bestFit="1" customWidth="1"/>
    <col min="3333" max="3333" width="7.85546875" style="44" bestFit="1" customWidth="1"/>
    <col min="3334" max="3334" width="8.28515625" style="44" bestFit="1" customWidth="1"/>
    <col min="3335" max="3335" width="22.28515625" style="44" bestFit="1" customWidth="1"/>
    <col min="3336" max="3336" width="19.5703125" style="44" bestFit="1" customWidth="1"/>
    <col min="3337" max="3337" width="23" style="44" bestFit="1" customWidth="1"/>
    <col min="3338" max="3338" width="38.28515625" style="44" customWidth="1"/>
    <col min="3339" max="3339" width="3" style="44" customWidth="1"/>
    <col min="3340" max="3584" width="9.140625" style="44"/>
    <col min="3585" max="3586" width="3.7109375" style="44" customWidth="1"/>
    <col min="3587" max="3587" width="5.85546875" style="44" bestFit="1" customWidth="1"/>
    <col min="3588" max="3588" width="4.42578125" style="44" bestFit="1" customWidth="1"/>
    <col min="3589" max="3589" width="7.85546875" style="44" bestFit="1" customWidth="1"/>
    <col min="3590" max="3590" width="8.28515625" style="44" bestFit="1" customWidth="1"/>
    <col min="3591" max="3591" width="22.28515625" style="44" bestFit="1" customWidth="1"/>
    <col min="3592" max="3592" width="19.5703125" style="44" bestFit="1" customWidth="1"/>
    <col min="3593" max="3593" width="23" style="44" bestFit="1" customWidth="1"/>
    <col min="3594" max="3594" width="38.28515625" style="44" customWidth="1"/>
    <col min="3595" max="3595" width="3" style="44" customWidth="1"/>
    <col min="3596" max="3840" width="9.140625" style="44"/>
    <col min="3841" max="3842" width="3.7109375" style="44" customWidth="1"/>
    <col min="3843" max="3843" width="5.85546875" style="44" bestFit="1" customWidth="1"/>
    <col min="3844" max="3844" width="4.42578125" style="44" bestFit="1" customWidth="1"/>
    <col min="3845" max="3845" width="7.85546875" style="44" bestFit="1" customWidth="1"/>
    <col min="3846" max="3846" width="8.28515625" style="44" bestFit="1" customWidth="1"/>
    <col min="3847" max="3847" width="22.28515625" style="44" bestFit="1" customWidth="1"/>
    <col min="3848" max="3848" width="19.5703125" style="44" bestFit="1" customWidth="1"/>
    <col min="3849" max="3849" width="23" style="44" bestFit="1" customWidth="1"/>
    <col min="3850" max="3850" width="38.28515625" style="44" customWidth="1"/>
    <col min="3851" max="3851" width="3" style="44" customWidth="1"/>
    <col min="3852" max="4096" width="9.140625" style="44"/>
    <col min="4097" max="4098" width="3.7109375" style="44" customWidth="1"/>
    <col min="4099" max="4099" width="5.85546875" style="44" bestFit="1" customWidth="1"/>
    <col min="4100" max="4100" width="4.42578125" style="44" bestFit="1" customWidth="1"/>
    <col min="4101" max="4101" width="7.85546875" style="44" bestFit="1" customWidth="1"/>
    <col min="4102" max="4102" width="8.28515625" style="44" bestFit="1" customWidth="1"/>
    <col min="4103" max="4103" width="22.28515625" style="44" bestFit="1" customWidth="1"/>
    <col min="4104" max="4104" width="19.5703125" style="44" bestFit="1" customWidth="1"/>
    <col min="4105" max="4105" width="23" style="44" bestFit="1" customWidth="1"/>
    <col min="4106" max="4106" width="38.28515625" style="44" customWidth="1"/>
    <col min="4107" max="4107" width="3" style="44" customWidth="1"/>
    <col min="4108" max="4352" width="9.140625" style="44"/>
    <col min="4353" max="4354" width="3.7109375" style="44" customWidth="1"/>
    <col min="4355" max="4355" width="5.85546875" style="44" bestFit="1" customWidth="1"/>
    <col min="4356" max="4356" width="4.42578125" style="44" bestFit="1" customWidth="1"/>
    <col min="4357" max="4357" width="7.85546875" style="44" bestFit="1" customWidth="1"/>
    <col min="4358" max="4358" width="8.28515625" style="44" bestFit="1" customWidth="1"/>
    <col min="4359" max="4359" width="22.28515625" style="44" bestFit="1" customWidth="1"/>
    <col min="4360" max="4360" width="19.5703125" style="44" bestFit="1" customWidth="1"/>
    <col min="4361" max="4361" width="23" style="44" bestFit="1" customWidth="1"/>
    <col min="4362" max="4362" width="38.28515625" style="44" customWidth="1"/>
    <col min="4363" max="4363" width="3" style="44" customWidth="1"/>
    <col min="4364" max="4608" width="9.140625" style="44"/>
    <col min="4609" max="4610" width="3.7109375" style="44" customWidth="1"/>
    <col min="4611" max="4611" width="5.85546875" style="44" bestFit="1" customWidth="1"/>
    <col min="4612" max="4612" width="4.42578125" style="44" bestFit="1" customWidth="1"/>
    <col min="4613" max="4613" width="7.85546875" style="44" bestFit="1" customWidth="1"/>
    <col min="4614" max="4614" width="8.28515625" style="44" bestFit="1" customWidth="1"/>
    <col min="4615" max="4615" width="22.28515625" style="44" bestFit="1" customWidth="1"/>
    <col min="4616" max="4616" width="19.5703125" style="44" bestFit="1" customWidth="1"/>
    <col min="4617" max="4617" width="23" style="44" bestFit="1" customWidth="1"/>
    <col min="4618" max="4618" width="38.28515625" style="44" customWidth="1"/>
    <col min="4619" max="4619" width="3" style="44" customWidth="1"/>
    <col min="4620" max="4864" width="9.140625" style="44"/>
    <col min="4865" max="4866" width="3.7109375" style="44" customWidth="1"/>
    <col min="4867" max="4867" width="5.85546875" style="44" bestFit="1" customWidth="1"/>
    <col min="4868" max="4868" width="4.42578125" style="44" bestFit="1" customWidth="1"/>
    <col min="4869" max="4869" width="7.85546875" style="44" bestFit="1" customWidth="1"/>
    <col min="4870" max="4870" width="8.28515625" style="44" bestFit="1" customWidth="1"/>
    <col min="4871" max="4871" width="22.28515625" style="44" bestFit="1" customWidth="1"/>
    <col min="4872" max="4872" width="19.5703125" style="44" bestFit="1" customWidth="1"/>
    <col min="4873" max="4873" width="23" style="44" bestFit="1" customWidth="1"/>
    <col min="4874" max="4874" width="38.28515625" style="44" customWidth="1"/>
    <col min="4875" max="4875" width="3" style="44" customWidth="1"/>
    <col min="4876" max="5120" width="9.140625" style="44"/>
    <col min="5121" max="5122" width="3.7109375" style="44" customWidth="1"/>
    <col min="5123" max="5123" width="5.85546875" style="44" bestFit="1" customWidth="1"/>
    <col min="5124" max="5124" width="4.42578125" style="44" bestFit="1" customWidth="1"/>
    <col min="5125" max="5125" width="7.85546875" style="44" bestFit="1" customWidth="1"/>
    <col min="5126" max="5126" width="8.28515625" style="44" bestFit="1" customWidth="1"/>
    <col min="5127" max="5127" width="22.28515625" style="44" bestFit="1" customWidth="1"/>
    <col min="5128" max="5128" width="19.5703125" style="44" bestFit="1" customWidth="1"/>
    <col min="5129" max="5129" width="23" style="44" bestFit="1" customWidth="1"/>
    <col min="5130" max="5130" width="38.28515625" style="44" customWidth="1"/>
    <col min="5131" max="5131" width="3" style="44" customWidth="1"/>
    <col min="5132" max="5376" width="9.140625" style="44"/>
    <col min="5377" max="5378" width="3.7109375" style="44" customWidth="1"/>
    <col min="5379" max="5379" width="5.85546875" style="44" bestFit="1" customWidth="1"/>
    <col min="5380" max="5380" width="4.42578125" style="44" bestFit="1" customWidth="1"/>
    <col min="5381" max="5381" width="7.85546875" style="44" bestFit="1" customWidth="1"/>
    <col min="5382" max="5382" width="8.28515625" style="44" bestFit="1" customWidth="1"/>
    <col min="5383" max="5383" width="22.28515625" style="44" bestFit="1" customWidth="1"/>
    <col min="5384" max="5384" width="19.5703125" style="44" bestFit="1" customWidth="1"/>
    <col min="5385" max="5385" width="23" style="44" bestFit="1" customWidth="1"/>
    <col min="5386" max="5386" width="38.28515625" style="44" customWidth="1"/>
    <col min="5387" max="5387" width="3" style="44" customWidth="1"/>
    <col min="5388" max="5632" width="9.140625" style="44"/>
    <col min="5633" max="5634" width="3.7109375" style="44" customWidth="1"/>
    <col min="5635" max="5635" width="5.85546875" style="44" bestFit="1" customWidth="1"/>
    <col min="5636" max="5636" width="4.42578125" style="44" bestFit="1" customWidth="1"/>
    <col min="5637" max="5637" width="7.85546875" style="44" bestFit="1" customWidth="1"/>
    <col min="5638" max="5638" width="8.28515625" style="44" bestFit="1" customWidth="1"/>
    <col min="5639" max="5639" width="22.28515625" style="44" bestFit="1" customWidth="1"/>
    <col min="5640" max="5640" width="19.5703125" style="44" bestFit="1" customWidth="1"/>
    <col min="5641" max="5641" width="23" style="44" bestFit="1" customWidth="1"/>
    <col min="5642" max="5642" width="38.28515625" style="44" customWidth="1"/>
    <col min="5643" max="5643" width="3" style="44" customWidth="1"/>
    <col min="5644" max="5888" width="9.140625" style="44"/>
    <col min="5889" max="5890" width="3.7109375" style="44" customWidth="1"/>
    <col min="5891" max="5891" width="5.85546875" style="44" bestFit="1" customWidth="1"/>
    <col min="5892" max="5892" width="4.42578125" style="44" bestFit="1" customWidth="1"/>
    <col min="5893" max="5893" width="7.85546875" style="44" bestFit="1" customWidth="1"/>
    <col min="5894" max="5894" width="8.28515625" style="44" bestFit="1" customWidth="1"/>
    <col min="5895" max="5895" width="22.28515625" style="44" bestFit="1" customWidth="1"/>
    <col min="5896" max="5896" width="19.5703125" style="44" bestFit="1" customWidth="1"/>
    <col min="5897" max="5897" width="23" style="44" bestFit="1" customWidth="1"/>
    <col min="5898" max="5898" width="38.28515625" style="44" customWidth="1"/>
    <col min="5899" max="5899" width="3" style="44" customWidth="1"/>
    <col min="5900" max="6144" width="9.140625" style="44"/>
    <col min="6145" max="6146" width="3.7109375" style="44" customWidth="1"/>
    <col min="6147" max="6147" width="5.85546875" style="44" bestFit="1" customWidth="1"/>
    <col min="6148" max="6148" width="4.42578125" style="44" bestFit="1" customWidth="1"/>
    <col min="6149" max="6149" width="7.85546875" style="44" bestFit="1" customWidth="1"/>
    <col min="6150" max="6150" width="8.28515625" style="44" bestFit="1" customWidth="1"/>
    <col min="6151" max="6151" width="22.28515625" style="44" bestFit="1" customWidth="1"/>
    <col min="6152" max="6152" width="19.5703125" style="44" bestFit="1" customWidth="1"/>
    <col min="6153" max="6153" width="23" style="44" bestFit="1" customWidth="1"/>
    <col min="6154" max="6154" width="38.28515625" style="44" customWidth="1"/>
    <col min="6155" max="6155" width="3" style="44" customWidth="1"/>
    <col min="6156" max="6400" width="9.140625" style="44"/>
    <col min="6401" max="6402" width="3.7109375" style="44" customWidth="1"/>
    <col min="6403" max="6403" width="5.85546875" style="44" bestFit="1" customWidth="1"/>
    <col min="6404" max="6404" width="4.42578125" style="44" bestFit="1" customWidth="1"/>
    <col min="6405" max="6405" width="7.85546875" style="44" bestFit="1" customWidth="1"/>
    <col min="6406" max="6406" width="8.28515625" style="44" bestFit="1" customWidth="1"/>
    <col min="6407" max="6407" width="22.28515625" style="44" bestFit="1" customWidth="1"/>
    <col min="6408" max="6408" width="19.5703125" style="44" bestFit="1" customWidth="1"/>
    <col min="6409" max="6409" width="23" style="44" bestFit="1" customWidth="1"/>
    <col min="6410" max="6410" width="38.28515625" style="44" customWidth="1"/>
    <col min="6411" max="6411" width="3" style="44" customWidth="1"/>
    <col min="6412" max="6656" width="9.140625" style="44"/>
    <col min="6657" max="6658" width="3.7109375" style="44" customWidth="1"/>
    <col min="6659" max="6659" width="5.85546875" style="44" bestFit="1" customWidth="1"/>
    <col min="6660" max="6660" width="4.42578125" style="44" bestFit="1" customWidth="1"/>
    <col min="6661" max="6661" width="7.85546875" style="44" bestFit="1" customWidth="1"/>
    <col min="6662" max="6662" width="8.28515625" style="44" bestFit="1" customWidth="1"/>
    <col min="6663" max="6663" width="22.28515625" style="44" bestFit="1" customWidth="1"/>
    <col min="6664" max="6664" width="19.5703125" style="44" bestFit="1" customWidth="1"/>
    <col min="6665" max="6665" width="23" style="44" bestFit="1" customWidth="1"/>
    <col min="6666" max="6666" width="38.28515625" style="44" customWidth="1"/>
    <col min="6667" max="6667" width="3" style="44" customWidth="1"/>
    <col min="6668" max="6912" width="9.140625" style="44"/>
    <col min="6913" max="6914" width="3.7109375" style="44" customWidth="1"/>
    <col min="6915" max="6915" width="5.85546875" style="44" bestFit="1" customWidth="1"/>
    <col min="6916" max="6916" width="4.42578125" style="44" bestFit="1" customWidth="1"/>
    <col min="6917" max="6917" width="7.85546875" style="44" bestFit="1" customWidth="1"/>
    <col min="6918" max="6918" width="8.28515625" style="44" bestFit="1" customWidth="1"/>
    <col min="6919" max="6919" width="22.28515625" style="44" bestFit="1" customWidth="1"/>
    <col min="6920" max="6920" width="19.5703125" style="44" bestFit="1" customWidth="1"/>
    <col min="6921" max="6921" width="23" style="44" bestFit="1" customWidth="1"/>
    <col min="6922" max="6922" width="38.28515625" style="44" customWidth="1"/>
    <col min="6923" max="6923" width="3" style="44" customWidth="1"/>
    <col min="6924" max="7168" width="9.140625" style="44"/>
    <col min="7169" max="7170" width="3.7109375" style="44" customWidth="1"/>
    <col min="7171" max="7171" width="5.85546875" style="44" bestFit="1" customWidth="1"/>
    <col min="7172" max="7172" width="4.42578125" style="44" bestFit="1" customWidth="1"/>
    <col min="7173" max="7173" width="7.85546875" style="44" bestFit="1" customWidth="1"/>
    <col min="7174" max="7174" width="8.28515625" style="44" bestFit="1" customWidth="1"/>
    <col min="7175" max="7175" width="22.28515625" style="44" bestFit="1" customWidth="1"/>
    <col min="7176" max="7176" width="19.5703125" style="44" bestFit="1" customWidth="1"/>
    <col min="7177" max="7177" width="23" style="44" bestFit="1" customWidth="1"/>
    <col min="7178" max="7178" width="38.28515625" style="44" customWidth="1"/>
    <col min="7179" max="7179" width="3" style="44" customWidth="1"/>
    <col min="7180" max="7424" width="9.140625" style="44"/>
    <col min="7425" max="7426" width="3.7109375" style="44" customWidth="1"/>
    <col min="7427" max="7427" width="5.85546875" style="44" bestFit="1" customWidth="1"/>
    <col min="7428" max="7428" width="4.42578125" style="44" bestFit="1" customWidth="1"/>
    <col min="7429" max="7429" width="7.85546875" style="44" bestFit="1" customWidth="1"/>
    <col min="7430" max="7430" width="8.28515625" style="44" bestFit="1" customWidth="1"/>
    <col min="7431" max="7431" width="22.28515625" style="44" bestFit="1" customWidth="1"/>
    <col min="7432" max="7432" width="19.5703125" style="44" bestFit="1" customWidth="1"/>
    <col min="7433" max="7433" width="23" style="44" bestFit="1" customWidth="1"/>
    <col min="7434" max="7434" width="38.28515625" style="44" customWidth="1"/>
    <col min="7435" max="7435" width="3" style="44" customWidth="1"/>
    <col min="7436" max="7680" width="9.140625" style="44"/>
    <col min="7681" max="7682" width="3.7109375" style="44" customWidth="1"/>
    <col min="7683" max="7683" width="5.85546875" style="44" bestFit="1" customWidth="1"/>
    <col min="7684" max="7684" width="4.42578125" style="44" bestFit="1" customWidth="1"/>
    <col min="7685" max="7685" width="7.85546875" style="44" bestFit="1" customWidth="1"/>
    <col min="7686" max="7686" width="8.28515625" style="44" bestFit="1" customWidth="1"/>
    <col min="7687" max="7687" width="22.28515625" style="44" bestFit="1" customWidth="1"/>
    <col min="7688" max="7688" width="19.5703125" style="44" bestFit="1" customWidth="1"/>
    <col min="7689" max="7689" width="23" style="44" bestFit="1" customWidth="1"/>
    <col min="7690" max="7690" width="38.28515625" style="44" customWidth="1"/>
    <col min="7691" max="7691" width="3" style="44" customWidth="1"/>
    <col min="7692" max="7936" width="9.140625" style="44"/>
    <col min="7937" max="7938" width="3.7109375" style="44" customWidth="1"/>
    <col min="7939" max="7939" width="5.85546875" style="44" bestFit="1" customWidth="1"/>
    <col min="7940" max="7940" width="4.42578125" style="44" bestFit="1" customWidth="1"/>
    <col min="7941" max="7941" width="7.85546875" style="44" bestFit="1" customWidth="1"/>
    <col min="7942" max="7942" width="8.28515625" style="44" bestFit="1" customWidth="1"/>
    <col min="7943" max="7943" width="22.28515625" style="44" bestFit="1" customWidth="1"/>
    <col min="7944" max="7944" width="19.5703125" style="44" bestFit="1" customWidth="1"/>
    <col min="7945" max="7945" width="23" style="44" bestFit="1" customWidth="1"/>
    <col min="7946" max="7946" width="38.28515625" style="44" customWidth="1"/>
    <col min="7947" max="7947" width="3" style="44" customWidth="1"/>
    <col min="7948" max="8192" width="9.140625" style="44"/>
    <col min="8193" max="8194" width="3.7109375" style="44" customWidth="1"/>
    <col min="8195" max="8195" width="5.85546875" style="44" bestFit="1" customWidth="1"/>
    <col min="8196" max="8196" width="4.42578125" style="44" bestFit="1" customWidth="1"/>
    <col min="8197" max="8197" width="7.85546875" style="44" bestFit="1" customWidth="1"/>
    <col min="8198" max="8198" width="8.28515625" style="44" bestFit="1" customWidth="1"/>
    <col min="8199" max="8199" width="22.28515625" style="44" bestFit="1" customWidth="1"/>
    <col min="8200" max="8200" width="19.5703125" style="44" bestFit="1" customWidth="1"/>
    <col min="8201" max="8201" width="23" style="44" bestFit="1" customWidth="1"/>
    <col min="8202" max="8202" width="38.28515625" style="44" customWidth="1"/>
    <col min="8203" max="8203" width="3" style="44" customWidth="1"/>
    <col min="8204" max="8448" width="9.140625" style="44"/>
    <col min="8449" max="8450" width="3.7109375" style="44" customWidth="1"/>
    <col min="8451" max="8451" width="5.85546875" style="44" bestFit="1" customWidth="1"/>
    <col min="8452" max="8452" width="4.42578125" style="44" bestFit="1" customWidth="1"/>
    <col min="8453" max="8453" width="7.85546875" style="44" bestFit="1" customWidth="1"/>
    <col min="8454" max="8454" width="8.28515625" style="44" bestFit="1" customWidth="1"/>
    <col min="8455" max="8455" width="22.28515625" style="44" bestFit="1" customWidth="1"/>
    <col min="8456" max="8456" width="19.5703125" style="44" bestFit="1" customWidth="1"/>
    <col min="8457" max="8457" width="23" style="44" bestFit="1" customWidth="1"/>
    <col min="8458" max="8458" width="38.28515625" style="44" customWidth="1"/>
    <col min="8459" max="8459" width="3" style="44" customWidth="1"/>
    <col min="8460" max="8704" width="9.140625" style="44"/>
    <col min="8705" max="8706" width="3.7109375" style="44" customWidth="1"/>
    <col min="8707" max="8707" width="5.85546875" style="44" bestFit="1" customWidth="1"/>
    <col min="8708" max="8708" width="4.42578125" style="44" bestFit="1" customWidth="1"/>
    <col min="8709" max="8709" width="7.85546875" style="44" bestFit="1" customWidth="1"/>
    <col min="8710" max="8710" width="8.28515625" style="44" bestFit="1" customWidth="1"/>
    <col min="8711" max="8711" width="22.28515625" style="44" bestFit="1" customWidth="1"/>
    <col min="8712" max="8712" width="19.5703125" style="44" bestFit="1" customWidth="1"/>
    <col min="8713" max="8713" width="23" style="44" bestFit="1" customWidth="1"/>
    <col min="8714" max="8714" width="38.28515625" style="44" customWidth="1"/>
    <col min="8715" max="8715" width="3" style="44" customWidth="1"/>
    <col min="8716" max="8960" width="9.140625" style="44"/>
    <col min="8961" max="8962" width="3.7109375" style="44" customWidth="1"/>
    <col min="8963" max="8963" width="5.85546875" style="44" bestFit="1" customWidth="1"/>
    <col min="8964" max="8964" width="4.42578125" style="44" bestFit="1" customWidth="1"/>
    <col min="8965" max="8965" width="7.85546875" style="44" bestFit="1" customWidth="1"/>
    <col min="8966" max="8966" width="8.28515625" style="44" bestFit="1" customWidth="1"/>
    <col min="8967" max="8967" width="22.28515625" style="44" bestFit="1" customWidth="1"/>
    <col min="8968" max="8968" width="19.5703125" style="44" bestFit="1" customWidth="1"/>
    <col min="8969" max="8969" width="23" style="44" bestFit="1" customWidth="1"/>
    <col min="8970" max="8970" width="38.28515625" style="44" customWidth="1"/>
    <col min="8971" max="8971" width="3" style="44" customWidth="1"/>
    <col min="8972" max="9216" width="9.140625" style="44"/>
    <col min="9217" max="9218" width="3.7109375" style="44" customWidth="1"/>
    <col min="9219" max="9219" width="5.85546875" style="44" bestFit="1" customWidth="1"/>
    <col min="9220" max="9220" width="4.42578125" style="44" bestFit="1" customWidth="1"/>
    <col min="9221" max="9221" width="7.85546875" style="44" bestFit="1" customWidth="1"/>
    <col min="9222" max="9222" width="8.28515625" style="44" bestFit="1" customWidth="1"/>
    <col min="9223" max="9223" width="22.28515625" style="44" bestFit="1" customWidth="1"/>
    <col min="9224" max="9224" width="19.5703125" style="44" bestFit="1" customWidth="1"/>
    <col min="9225" max="9225" width="23" style="44" bestFit="1" customWidth="1"/>
    <col min="9226" max="9226" width="38.28515625" style="44" customWidth="1"/>
    <col min="9227" max="9227" width="3" style="44" customWidth="1"/>
    <col min="9228" max="9472" width="9.140625" style="44"/>
    <col min="9473" max="9474" width="3.7109375" style="44" customWidth="1"/>
    <col min="9475" max="9475" width="5.85546875" style="44" bestFit="1" customWidth="1"/>
    <col min="9476" max="9476" width="4.42578125" style="44" bestFit="1" customWidth="1"/>
    <col min="9477" max="9477" width="7.85546875" style="44" bestFit="1" customWidth="1"/>
    <col min="9478" max="9478" width="8.28515625" style="44" bestFit="1" customWidth="1"/>
    <col min="9479" max="9479" width="22.28515625" style="44" bestFit="1" customWidth="1"/>
    <col min="9480" max="9480" width="19.5703125" style="44" bestFit="1" customWidth="1"/>
    <col min="9481" max="9481" width="23" style="44" bestFit="1" customWidth="1"/>
    <col min="9482" max="9482" width="38.28515625" style="44" customWidth="1"/>
    <col min="9483" max="9483" width="3" style="44" customWidth="1"/>
    <col min="9484" max="9728" width="9.140625" style="44"/>
    <col min="9729" max="9730" width="3.7109375" style="44" customWidth="1"/>
    <col min="9731" max="9731" width="5.85546875" style="44" bestFit="1" customWidth="1"/>
    <col min="9732" max="9732" width="4.42578125" style="44" bestFit="1" customWidth="1"/>
    <col min="9733" max="9733" width="7.85546875" style="44" bestFit="1" customWidth="1"/>
    <col min="9734" max="9734" width="8.28515625" style="44" bestFit="1" customWidth="1"/>
    <col min="9735" max="9735" width="22.28515625" style="44" bestFit="1" customWidth="1"/>
    <col min="9736" max="9736" width="19.5703125" style="44" bestFit="1" customWidth="1"/>
    <col min="9737" max="9737" width="23" style="44" bestFit="1" customWidth="1"/>
    <col min="9738" max="9738" width="38.28515625" style="44" customWidth="1"/>
    <col min="9739" max="9739" width="3" style="44" customWidth="1"/>
    <col min="9740" max="9984" width="9.140625" style="44"/>
    <col min="9985" max="9986" width="3.7109375" style="44" customWidth="1"/>
    <col min="9987" max="9987" width="5.85546875" style="44" bestFit="1" customWidth="1"/>
    <col min="9988" max="9988" width="4.42578125" style="44" bestFit="1" customWidth="1"/>
    <col min="9989" max="9989" width="7.85546875" style="44" bestFit="1" customWidth="1"/>
    <col min="9990" max="9990" width="8.28515625" style="44" bestFit="1" customWidth="1"/>
    <col min="9991" max="9991" width="22.28515625" style="44" bestFit="1" customWidth="1"/>
    <col min="9992" max="9992" width="19.5703125" style="44" bestFit="1" customWidth="1"/>
    <col min="9993" max="9993" width="23" style="44" bestFit="1" customWidth="1"/>
    <col min="9994" max="9994" width="38.28515625" style="44" customWidth="1"/>
    <col min="9995" max="9995" width="3" style="44" customWidth="1"/>
    <col min="9996" max="10240" width="9.140625" style="44"/>
    <col min="10241" max="10242" width="3.7109375" style="44" customWidth="1"/>
    <col min="10243" max="10243" width="5.85546875" style="44" bestFit="1" customWidth="1"/>
    <col min="10244" max="10244" width="4.42578125" style="44" bestFit="1" customWidth="1"/>
    <col min="10245" max="10245" width="7.85546875" style="44" bestFit="1" customWidth="1"/>
    <col min="10246" max="10246" width="8.28515625" style="44" bestFit="1" customWidth="1"/>
    <col min="10247" max="10247" width="22.28515625" style="44" bestFit="1" customWidth="1"/>
    <col min="10248" max="10248" width="19.5703125" style="44" bestFit="1" customWidth="1"/>
    <col min="10249" max="10249" width="23" style="44" bestFit="1" customWidth="1"/>
    <col min="10250" max="10250" width="38.28515625" style="44" customWidth="1"/>
    <col min="10251" max="10251" width="3" style="44" customWidth="1"/>
    <col min="10252" max="10496" width="9.140625" style="44"/>
    <col min="10497" max="10498" width="3.7109375" style="44" customWidth="1"/>
    <col min="10499" max="10499" width="5.85546875" style="44" bestFit="1" customWidth="1"/>
    <col min="10500" max="10500" width="4.42578125" style="44" bestFit="1" customWidth="1"/>
    <col min="10501" max="10501" width="7.85546875" style="44" bestFit="1" customWidth="1"/>
    <col min="10502" max="10502" width="8.28515625" style="44" bestFit="1" customWidth="1"/>
    <col min="10503" max="10503" width="22.28515625" style="44" bestFit="1" customWidth="1"/>
    <col min="10504" max="10504" width="19.5703125" style="44" bestFit="1" customWidth="1"/>
    <col min="10505" max="10505" width="23" style="44" bestFit="1" customWidth="1"/>
    <col min="10506" max="10506" width="38.28515625" style="44" customWidth="1"/>
    <col min="10507" max="10507" width="3" style="44" customWidth="1"/>
    <col min="10508" max="10752" width="9.140625" style="44"/>
    <col min="10753" max="10754" width="3.7109375" style="44" customWidth="1"/>
    <col min="10755" max="10755" width="5.85546875" style="44" bestFit="1" customWidth="1"/>
    <col min="10756" max="10756" width="4.42578125" style="44" bestFit="1" customWidth="1"/>
    <col min="10757" max="10757" width="7.85546875" style="44" bestFit="1" customWidth="1"/>
    <col min="10758" max="10758" width="8.28515625" style="44" bestFit="1" customWidth="1"/>
    <col min="10759" max="10759" width="22.28515625" style="44" bestFit="1" customWidth="1"/>
    <col min="10760" max="10760" width="19.5703125" style="44" bestFit="1" customWidth="1"/>
    <col min="10761" max="10761" width="23" style="44" bestFit="1" customWidth="1"/>
    <col min="10762" max="10762" width="38.28515625" style="44" customWidth="1"/>
    <col min="10763" max="10763" width="3" style="44" customWidth="1"/>
    <col min="10764" max="11008" width="9.140625" style="44"/>
    <col min="11009" max="11010" width="3.7109375" style="44" customWidth="1"/>
    <col min="11011" max="11011" width="5.85546875" style="44" bestFit="1" customWidth="1"/>
    <col min="11012" max="11012" width="4.42578125" style="44" bestFit="1" customWidth="1"/>
    <col min="11013" max="11013" width="7.85546875" style="44" bestFit="1" customWidth="1"/>
    <col min="11014" max="11014" width="8.28515625" style="44" bestFit="1" customWidth="1"/>
    <col min="11015" max="11015" width="22.28515625" style="44" bestFit="1" customWidth="1"/>
    <col min="11016" max="11016" width="19.5703125" style="44" bestFit="1" customWidth="1"/>
    <col min="11017" max="11017" width="23" style="44" bestFit="1" customWidth="1"/>
    <col min="11018" max="11018" width="38.28515625" style="44" customWidth="1"/>
    <col min="11019" max="11019" width="3" style="44" customWidth="1"/>
    <col min="11020" max="11264" width="9.140625" style="44"/>
    <col min="11265" max="11266" width="3.7109375" style="44" customWidth="1"/>
    <col min="11267" max="11267" width="5.85546875" style="44" bestFit="1" customWidth="1"/>
    <col min="11268" max="11268" width="4.42578125" style="44" bestFit="1" customWidth="1"/>
    <col min="11269" max="11269" width="7.85546875" style="44" bestFit="1" customWidth="1"/>
    <col min="11270" max="11270" width="8.28515625" style="44" bestFit="1" customWidth="1"/>
    <col min="11271" max="11271" width="22.28515625" style="44" bestFit="1" customWidth="1"/>
    <col min="11272" max="11272" width="19.5703125" style="44" bestFit="1" customWidth="1"/>
    <col min="11273" max="11273" width="23" style="44" bestFit="1" customWidth="1"/>
    <col min="11274" max="11274" width="38.28515625" style="44" customWidth="1"/>
    <col min="11275" max="11275" width="3" style="44" customWidth="1"/>
    <col min="11276" max="11520" width="9.140625" style="44"/>
    <col min="11521" max="11522" width="3.7109375" style="44" customWidth="1"/>
    <col min="11523" max="11523" width="5.85546875" style="44" bestFit="1" customWidth="1"/>
    <col min="11524" max="11524" width="4.42578125" style="44" bestFit="1" customWidth="1"/>
    <col min="11525" max="11525" width="7.85546875" style="44" bestFit="1" customWidth="1"/>
    <col min="11526" max="11526" width="8.28515625" style="44" bestFit="1" customWidth="1"/>
    <col min="11527" max="11527" width="22.28515625" style="44" bestFit="1" customWidth="1"/>
    <col min="11528" max="11528" width="19.5703125" style="44" bestFit="1" customWidth="1"/>
    <col min="11529" max="11529" width="23" style="44" bestFit="1" customWidth="1"/>
    <col min="11530" max="11530" width="38.28515625" style="44" customWidth="1"/>
    <col min="11531" max="11531" width="3" style="44" customWidth="1"/>
    <col min="11532" max="11776" width="9.140625" style="44"/>
    <col min="11777" max="11778" width="3.7109375" style="44" customWidth="1"/>
    <col min="11779" max="11779" width="5.85546875" style="44" bestFit="1" customWidth="1"/>
    <col min="11780" max="11780" width="4.42578125" style="44" bestFit="1" customWidth="1"/>
    <col min="11781" max="11781" width="7.85546875" style="44" bestFit="1" customWidth="1"/>
    <col min="11782" max="11782" width="8.28515625" style="44" bestFit="1" customWidth="1"/>
    <col min="11783" max="11783" width="22.28515625" style="44" bestFit="1" customWidth="1"/>
    <col min="11784" max="11784" width="19.5703125" style="44" bestFit="1" customWidth="1"/>
    <col min="11785" max="11785" width="23" style="44" bestFit="1" customWidth="1"/>
    <col min="11786" max="11786" width="38.28515625" style="44" customWidth="1"/>
    <col min="11787" max="11787" width="3" style="44" customWidth="1"/>
    <col min="11788" max="12032" width="9.140625" style="44"/>
    <col min="12033" max="12034" width="3.7109375" style="44" customWidth="1"/>
    <col min="12035" max="12035" width="5.85546875" style="44" bestFit="1" customWidth="1"/>
    <col min="12036" max="12036" width="4.42578125" style="44" bestFit="1" customWidth="1"/>
    <col min="12037" max="12037" width="7.85546875" style="44" bestFit="1" customWidth="1"/>
    <col min="12038" max="12038" width="8.28515625" style="44" bestFit="1" customWidth="1"/>
    <col min="12039" max="12039" width="22.28515625" style="44" bestFit="1" customWidth="1"/>
    <col min="12040" max="12040" width="19.5703125" style="44" bestFit="1" customWidth="1"/>
    <col min="12041" max="12041" width="23" style="44" bestFit="1" customWidth="1"/>
    <col min="12042" max="12042" width="38.28515625" style="44" customWidth="1"/>
    <col min="12043" max="12043" width="3" style="44" customWidth="1"/>
    <col min="12044" max="12288" width="9.140625" style="44"/>
    <col min="12289" max="12290" width="3.7109375" style="44" customWidth="1"/>
    <col min="12291" max="12291" width="5.85546875" style="44" bestFit="1" customWidth="1"/>
    <col min="12292" max="12292" width="4.42578125" style="44" bestFit="1" customWidth="1"/>
    <col min="12293" max="12293" width="7.85546875" style="44" bestFit="1" customWidth="1"/>
    <col min="12294" max="12294" width="8.28515625" style="44" bestFit="1" customWidth="1"/>
    <col min="12295" max="12295" width="22.28515625" style="44" bestFit="1" customWidth="1"/>
    <col min="12296" max="12296" width="19.5703125" style="44" bestFit="1" customWidth="1"/>
    <col min="12297" max="12297" width="23" style="44" bestFit="1" customWidth="1"/>
    <col min="12298" max="12298" width="38.28515625" style="44" customWidth="1"/>
    <col min="12299" max="12299" width="3" style="44" customWidth="1"/>
    <col min="12300" max="12544" width="9.140625" style="44"/>
    <col min="12545" max="12546" width="3.7109375" style="44" customWidth="1"/>
    <col min="12547" max="12547" width="5.85546875" style="44" bestFit="1" customWidth="1"/>
    <col min="12548" max="12548" width="4.42578125" style="44" bestFit="1" customWidth="1"/>
    <col min="12549" max="12549" width="7.85546875" style="44" bestFit="1" customWidth="1"/>
    <col min="12550" max="12550" width="8.28515625" style="44" bestFit="1" customWidth="1"/>
    <col min="12551" max="12551" width="22.28515625" style="44" bestFit="1" customWidth="1"/>
    <col min="12552" max="12552" width="19.5703125" style="44" bestFit="1" customWidth="1"/>
    <col min="12553" max="12553" width="23" style="44" bestFit="1" customWidth="1"/>
    <col min="12554" max="12554" width="38.28515625" style="44" customWidth="1"/>
    <col min="12555" max="12555" width="3" style="44" customWidth="1"/>
    <col min="12556" max="12800" width="9.140625" style="44"/>
    <col min="12801" max="12802" width="3.7109375" style="44" customWidth="1"/>
    <col min="12803" max="12803" width="5.85546875" style="44" bestFit="1" customWidth="1"/>
    <col min="12804" max="12804" width="4.42578125" style="44" bestFit="1" customWidth="1"/>
    <col min="12805" max="12805" width="7.85546875" style="44" bestFit="1" customWidth="1"/>
    <col min="12806" max="12806" width="8.28515625" style="44" bestFit="1" customWidth="1"/>
    <col min="12807" max="12807" width="22.28515625" style="44" bestFit="1" customWidth="1"/>
    <col min="12808" max="12808" width="19.5703125" style="44" bestFit="1" customWidth="1"/>
    <col min="12809" max="12809" width="23" style="44" bestFit="1" customWidth="1"/>
    <col min="12810" max="12810" width="38.28515625" style="44" customWidth="1"/>
    <col min="12811" max="12811" width="3" style="44" customWidth="1"/>
    <col min="12812" max="13056" width="9.140625" style="44"/>
    <col min="13057" max="13058" width="3.7109375" style="44" customWidth="1"/>
    <col min="13059" max="13059" width="5.85546875" style="44" bestFit="1" customWidth="1"/>
    <col min="13060" max="13060" width="4.42578125" style="44" bestFit="1" customWidth="1"/>
    <col min="13061" max="13061" width="7.85546875" style="44" bestFit="1" customWidth="1"/>
    <col min="13062" max="13062" width="8.28515625" style="44" bestFit="1" customWidth="1"/>
    <col min="13063" max="13063" width="22.28515625" style="44" bestFit="1" customWidth="1"/>
    <col min="13064" max="13064" width="19.5703125" style="44" bestFit="1" customWidth="1"/>
    <col min="13065" max="13065" width="23" style="44" bestFit="1" customWidth="1"/>
    <col min="13066" max="13066" width="38.28515625" style="44" customWidth="1"/>
    <col min="13067" max="13067" width="3" style="44" customWidth="1"/>
    <col min="13068" max="13312" width="9.140625" style="44"/>
    <col min="13313" max="13314" width="3.7109375" style="44" customWidth="1"/>
    <col min="13315" max="13315" width="5.85546875" style="44" bestFit="1" customWidth="1"/>
    <col min="13316" max="13316" width="4.42578125" style="44" bestFit="1" customWidth="1"/>
    <col min="13317" max="13317" width="7.85546875" style="44" bestFit="1" customWidth="1"/>
    <col min="13318" max="13318" width="8.28515625" style="44" bestFit="1" customWidth="1"/>
    <col min="13319" max="13319" width="22.28515625" style="44" bestFit="1" customWidth="1"/>
    <col min="13320" max="13320" width="19.5703125" style="44" bestFit="1" customWidth="1"/>
    <col min="13321" max="13321" width="23" style="44" bestFit="1" customWidth="1"/>
    <col min="13322" max="13322" width="38.28515625" style="44" customWidth="1"/>
    <col min="13323" max="13323" width="3" style="44" customWidth="1"/>
    <col min="13324" max="13568" width="9.140625" style="44"/>
    <col min="13569" max="13570" width="3.7109375" style="44" customWidth="1"/>
    <col min="13571" max="13571" width="5.85546875" style="44" bestFit="1" customWidth="1"/>
    <col min="13572" max="13572" width="4.42578125" style="44" bestFit="1" customWidth="1"/>
    <col min="13573" max="13573" width="7.85546875" style="44" bestFit="1" customWidth="1"/>
    <col min="13574" max="13574" width="8.28515625" style="44" bestFit="1" customWidth="1"/>
    <col min="13575" max="13575" width="22.28515625" style="44" bestFit="1" customWidth="1"/>
    <col min="13576" max="13576" width="19.5703125" style="44" bestFit="1" customWidth="1"/>
    <col min="13577" max="13577" width="23" style="44" bestFit="1" customWidth="1"/>
    <col min="13578" max="13578" width="38.28515625" style="44" customWidth="1"/>
    <col min="13579" max="13579" width="3" style="44" customWidth="1"/>
    <col min="13580" max="13824" width="9.140625" style="44"/>
    <col min="13825" max="13826" width="3.7109375" style="44" customWidth="1"/>
    <col min="13827" max="13827" width="5.85546875" style="44" bestFit="1" customWidth="1"/>
    <col min="13828" max="13828" width="4.42578125" style="44" bestFit="1" customWidth="1"/>
    <col min="13829" max="13829" width="7.85546875" style="44" bestFit="1" customWidth="1"/>
    <col min="13830" max="13830" width="8.28515625" style="44" bestFit="1" customWidth="1"/>
    <col min="13831" max="13831" width="22.28515625" style="44" bestFit="1" customWidth="1"/>
    <col min="13832" max="13832" width="19.5703125" style="44" bestFit="1" customWidth="1"/>
    <col min="13833" max="13833" width="23" style="44" bestFit="1" customWidth="1"/>
    <col min="13834" max="13834" width="38.28515625" style="44" customWidth="1"/>
    <col min="13835" max="13835" width="3" style="44" customWidth="1"/>
    <col min="13836" max="14080" width="9.140625" style="44"/>
    <col min="14081" max="14082" width="3.7109375" style="44" customWidth="1"/>
    <col min="14083" max="14083" width="5.85546875" style="44" bestFit="1" customWidth="1"/>
    <col min="14084" max="14084" width="4.42578125" style="44" bestFit="1" customWidth="1"/>
    <col min="14085" max="14085" width="7.85546875" style="44" bestFit="1" customWidth="1"/>
    <col min="14086" max="14086" width="8.28515625" style="44" bestFit="1" customWidth="1"/>
    <col min="14087" max="14087" width="22.28515625" style="44" bestFit="1" customWidth="1"/>
    <col min="14088" max="14088" width="19.5703125" style="44" bestFit="1" customWidth="1"/>
    <col min="14089" max="14089" width="23" style="44" bestFit="1" customWidth="1"/>
    <col min="14090" max="14090" width="38.28515625" style="44" customWidth="1"/>
    <col min="14091" max="14091" width="3" style="44" customWidth="1"/>
    <col min="14092" max="14336" width="9.140625" style="44"/>
    <col min="14337" max="14338" width="3.7109375" style="44" customWidth="1"/>
    <col min="14339" max="14339" width="5.85546875" style="44" bestFit="1" customWidth="1"/>
    <col min="14340" max="14340" width="4.42578125" style="44" bestFit="1" customWidth="1"/>
    <col min="14341" max="14341" width="7.85546875" style="44" bestFit="1" customWidth="1"/>
    <col min="14342" max="14342" width="8.28515625" style="44" bestFit="1" customWidth="1"/>
    <col min="14343" max="14343" width="22.28515625" style="44" bestFit="1" customWidth="1"/>
    <col min="14344" max="14344" width="19.5703125" style="44" bestFit="1" customWidth="1"/>
    <col min="14345" max="14345" width="23" style="44" bestFit="1" customWidth="1"/>
    <col min="14346" max="14346" width="38.28515625" style="44" customWidth="1"/>
    <col min="14347" max="14347" width="3" style="44" customWidth="1"/>
    <col min="14348" max="14592" width="9.140625" style="44"/>
    <col min="14593" max="14594" width="3.7109375" style="44" customWidth="1"/>
    <col min="14595" max="14595" width="5.85546875" style="44" bestFit="1" customWidth="1"/>
    <col min="14596" max="14596" width="4.42578125" style="44" bestFit="1" customWidth="1"/>
    <col min="14597" max="14597" width="7.85546875" style="44" bestFit="1" customWidth="1"/>
    <col min="14598" max="14598" width="8.28515625" style="44" bestFit="1" customWidth="1"/>
    <col min="14599" max="14599" width="22.28515625" style="44" bestFit="1" customWidth="1"/>
    <col min="14600" max="14600" width="19.5703125" style="44" bestFit="1" customWidth="1"/>
    <col min="14601" max="14601" width="23" style="44" bestFit="1" customWidth="1"/>
    <col min="14602" max="14602" width="38.28515625" style="44" customWidth="1"/>
    <col min="14603" max="14603" width="3" style="44" customWidth="1"/>
    <col min="14604" max="14848" width="9.140625" style="44"/>
    <col min="14849" max="14850" width="3.7109375" style="44" customWidth="1"/>
    <col min="14851" max="14851" width="5.85546875" style="44" bestFit="1" customWidth="1"/>
    <col min="14852" max="14852" width="4.42578125" style="44" bestFit="1" customWidth="1"/>
    <col min="14853" max="14853" width="7.85546875" style="44" bestFit="1" customWidth="1"/>
    <col min="14854" max="14854" width="8.28515625" style="44" bestFit="1" customWidth="1"/>
    <col min="14855" max="14855" width="22.28515625" style="44" bestFit="1" customWidth="1"/>
    <col min="14856" max="14856" width="19.5703125" style="44" bestFit="1" customWidth="1"/>
    <col min="14857" max="14857" width="23" style="44" bestFit="1" customWidth="1"/>
    <col min="14858" max="14858" width="38.28515625" style="44" customWidth="1"/>
    <col min="14859" max="14859" width="3" style="44" customWidth="1"/>
    <col min="14860" max="15104" width="9.140625" style="44"/>
    <col min="15105" max="15106" width="3.7109375" style="44" customWidth="1"/>
    <col min="15107" max="15107" width="5.85546875" style="44" bestFit="1" customWidth="1"/>
    <col min="15108" max="15108" width="4.42578125" style="44" bestFit="1" customWidth="1"/>
    <col min="15109" max="15109" width="7.85546875" style="44" bestFit="1" customWidth="1"/>
    <col min="15110" max="15110" width="8.28515625" style="44" bestFit="1" customWidth="1"/>
    <col min="15111" max="15111" width="22.28515625" style="44" bestFit="1" customWidth="1"/>
    <col min="15112" max="15112" width="19.5703125" style="44" bestFit="1" customWidth="1"/>
    <col min="15113" max="15113" width="23" style="44" bestFit="1" customWidth="1"/>
    <col min="15114" max="15114" width="38.28515625" style="44" customWidth="1"/>
    <col min="15115" max="15115" width="3" style="44" customWidth="1"/>
    <col min="15116" max="15360" width="9.140625" style="44"/>
    <col min="15361" max="15362" width="3.7109375" style="44" customWidth="1"/>
    <col min="15363" max="15363" width="5.85546875" style="44" bestFit="1" customWidth="1"/>
    <col min="15364" max="15364" width="4.42578125" style="44" bestFit="1" customWidth="1"/>
    <col min="15365" max="15365" width="7.85546875" style="44" bestFit="1" customWidth="1"/>
    <col min="15366" max="15366" width="8.28515625" style="44" bestFit="1" customWidth="1"/>
    <col min="15367" max="15367" width="22.28515625" style="44" bestFit="1" customWidth="1"/>
    <col min="15368" max="15368" width="19.5703125" style="44" bestFit="1" customWidth="1"/>
    <col min="15369" max="15369" width="23" style="44" bestFit="1" customWidth="1"/>
    <col min="15370" max="15370" width="38.28515625" style="44" customWidth="1"/>
    <col min="15371" max="15371" width="3" style="44" customWidth="1"/>
    <col min="15372" max="15616" width="9.140625" style="44"/>
    <col min="15617" max="15618" width="3.7109375" style="44" customWidth="1"/>
    <col min="15619" max="15619" width="5.85546875" style="44" bestFit="1" customWidth="1"/>
    <col min="15620" max="15620" width="4.42578125" style="44" bestFit="1" customWidth="1"/>
    <col min="15621" max="15621" width="7.85546875" style="44" bestFit="1" customWidth="1"/>
    <col min="15622" max="15622" width="8.28515625" style="44" bestFit="1" customWidth="1"/>
    <col min="15623" max="15623" width="22.28515625" style="44" bestFit="1" customWidth="1"/>
    <col min="15624" max="15624" width="19.5703125" style="44" bestFit="1" customWidth="1"/>
    <col min="15625" max="15625" width="23" style="44" bestFit="1" customWidth="1"/>
    <col min="15626" max="15626" width="38.28515625" style="44" customWidth="1"/>
    <col min="15627" max="15627" width="3" style="44" customWidth="1"/>
    <col min="15628" max="15872" width="9.140625" style="44"/>
    <col min="15873" max="15874" width="3.7109375" style="44" customWidth="1"/>
    <col min="15875" max="15875" width="5.85546875" style="44" bestFit="1" customWidth="1"/>
    <col min="15876" max="15876" width="4.42578125" style="44" bestFit="1" customWidth="1"/>
    <col min="15877" max="15877" width="7.85546875" style="44" bestFit="1" customWidth="1"/>
    <col min="15878" max="15878" width="8.28515625" style="44" bestFit="1" customWidth="1"/>
    <col min="15879" max="15879" width="22.28515625" style="44" bestFit="1" customWidth="1"/>
    <col min="15880" max="15880" width="19.5703125" style="44" bestFit="1" customWidth="1"/>
    <col min="15881" max="15881" width="23" style="44" bestFit="1" customWidth="1"/>
    <col min="15882" max="15882" width="38.28515625" style="44" customWidth="1"/>
    <col min="15883" max="15883" width="3" style="44" customWidth="1"/>
    <col min="15884" max="16128" width="9.140625" style="44"/>
    <col min="16129" max="16130" width="3.7109375" style="44" customWidth="1"/>
    <col min="16131" max="16131" width="5.85546875" style="44" bestFit="1" customWidth="1"/>
    <col min="16132" max="16132" width="4.42578125" style="44" bestFit="1" customWidth="1"/>
    <col min="16133" max="16133" width="7.85546875" style="44" bestFit="1" customWidth="1"/>
    <col min="16134" max="16134" width="8.28515625" style="44" bestFit="1" customWidth="1"/>
    <col min="16135" max="16135" width="22.28515625" style="44" bestFit="1" customWidth="1"/>
    <col min="16136" max="16136" width="19.5703125" style="44" bestFit="1" customWidth="1"/>
    <col min="16137" max="16137" width="23" style="44" bestFit="1" customWidth="1"/>
    <col min="16138" max="16138" width="38.28515625" style="44" customWidth="1"/>
    <col min="16139" max="16139" width="3" style="44" customWidth="1"/>
    <col min="16140" max="16384" width="9.140625" style="44"/>
  </cols>
  <sheetData>
    <row r="1" spans="1:11" x14ac:dyDescent="0.2">
      <c r="A1" s="62"/>
      <c r="B1" s="63"/>
      <c r="C1" s="64"/>
      <c r="D1" s="64">
        <v>12</v>
      </c>
      <c r="E1" s="63" t="str">
        <f>_xll.qlPeriodEquivalent(D1&amp;"M")</f>
        <v>1Y</v>
      </c>
      <c r="F1" s="2"/>
      <c r="H1" s="65" t="str">
        <f>Currency&amp;"_YC"&amp;$E$1&amp;"RH"</f>
        <v>USD_YC1YRH</v>
      </c>
      <c r="I1" s="66"/>
      <c r="J1" s="67"/>
      <c r="K1" s="68"/>
    </row>
    <row r="2" spans="1:11" ht="23.25" customHeight="1" x14ac:dyDescent="0.2">
      <c r="A2" s="46"/>
      <c r="B2" s="69"/>
      <c r="C2" s="70"/>
      <c r="D2" s="71"/>
      <c r="E2" s="72" t="s">
        <v>111</v>
      </c>
      <c r="F2" s="72" t="s">
        <v>128</v>
      </c>
      <c r="G2" s="72" t="s">
        <v>112</v>
      </c>
      <c r="H2" s="73" t="str">
        <f>$H$1&amp;"_FRAs.xml"</f>
        <v>USD_YC1YRH_FRAs.xml</v>
      </c>
      <c r="I2" s="74" t="str">
        <f>IF(Serialize,_xll.ohObjectSave(I3:I49,SerializationPath&amp;H2,FileOverwrite,Serialize),"---")</f>
        <v>---</v>
      </c>
      <c r="J2" s="75" t="str">
        <f>_xll.ohRangeRetrieveError(I2)</f>
        <v/>
      </c>
      <c r="K2" s="45"/>
    </row>
    <row r="3" spans="1:11" x14ac:dyDescent="0.2">
      <c r="A3" s="46"/>
      <c r="B3" s="76" t="s">
        <v>129</v>
      </c>
      <c r="C3" s="77" t="str">
        <f>"T"&amp;D1</f>
        <v>T12</v>
      </c>
      <c r="D3" s="78" t="s">
        <v>130</v>
      </c>
      <c r="E3" s="76" t="str">
        <f t="shared" ref="E3:E49" si="0">PROPER(Currency)&amp;FamilyName&amp;$E$1</f>
        <v>UsdLibor1Y</v>
      </c>
      <c r="F3" s="79" t="b">
        <v>0</v>
      </c>
      <c r="G3" s="76" t="str">
        <f t="shared" ref="G3:G20" si="1">Currency&amp;C3&amp;D3&amp;IF(F3,"_SYNTH"&amp;$E$1,"")&amp;"_Quote"</f>
        <v>USDT12F1_Quote</v>
      </c>
      <c r="H3" s="76" t="str">
        <f t="shared" ref="H3:H49" si="2">$H$1&amp;"_"&amp;$C3&amp;$D3</f>
        <v>USD_YC1YRH_T12F1</v>
      </c>
      <c r="I3" s="76"/>
      <c r="J3" s="80" t="str">
        <f>_xll.ohRangeRetrieveError(I3)</f>
        <v/>
      </c>
      <c r="K3" s="45"/>
    </row>
    <row r="4" spans="1:11" x14ac:dyDescent="0.2">
      <c r="A4" s="46"/>
      <c r="B4" s="81" t="s">
        <v>131</v>
      </c>
      <c r="C4" s="82" t="str">
        <f>"TOM"&amp;D1</f>
        <v>TOM12</v>
      </c>
      <c r="D4" s="58" t="s">
        <v>130</v>
      </c>
      <c r="E4" s="81" t="str">
        <f t="shared" si="0"/>
        <v>UsdLibor1Y</v>
      </c>
      <c r="F4" s="83" t="b">
        <v>0</v>
      </c>
      <c r="G4" s="81" t="str">
        <f t="shared" si="1"/>
        <v>USDTOM12F1_Quote</v>
      </c>
      <c r="H4" s="81" t="str">
        <f t="shared" si="2"/>
        <v>USD_YC1YRH_TOM12F1</v>
      </c>
      <c r="I4" s="81"/>
      <c r="J4" s="84" t="str">
        <f>_xll.ohRangeRetrieveError(I4)</f>
        <v/>
      </c>
      <c r="K4" s="45"/>
    </row>
    <row r="5" spans="1:11" x14ac:dyDescent="0.2">
      <c r="A5" s="46"/>
      <c r="B5" s="85" t="str">
        <f t="shared" ref="B5:B49" si="3">C5&amp;"M"</f>
        <v>1M</v>
      </c>
      <c r="C5" s="86">
        <v>1</v>
      </c>
      <c r="D5" s="87" t="str">
        <f t="shared" ref="D5:D49" si="4">"x"&amp;C5+$D$1&amp;"F"</f>
        <v>x13F</v>
      </c>
      <c r="E5" s="85" t="str">
        <f t="shared" si="0"/>
        <v>UsdLibor1Y</v>
      </c>
      <c r="F5" s="88" t="b">
        <v>1</v>
      </c>
      <c r="G5" s="85" t="str">
        <f t="shared" si="1"/>
        <v>USD1x13F_SYNTH1Y_Quote</v>
      </c>
      <c r="H5" s="85" t="str">
        <f t="shared" si="2"/>
        <v>USD_YC1YRH_1x13F</v>
      </c>
      <c r="I5" s="85"/>
      <c r="J5" s="89" t="str">
        <f>_xll.ohRangeRetrieveError(I5)</f>
        <v/>
      </c>
      <c r="K5" s="45"/>
    </row>
    <row r="6" spans="1:11" x14ac:dyDescent="0.2">
      <c r="A6" s="46"/>
      <c r="B6" s="85" t="str">
        <f t="shared" si="3"/>
        <v>2M</v>
      </c>
      <c r="C6" s="86">
        <v>2</v>
      </c>
      <c r="D6" s="87" t="str">
        <f t="shared" si="4"/>
        <v>x14F</v>
      </c>
      <c r="E6" s="85" t="str">
        <f t="shared" si="0"/>
        <v>UsdLibor1Y</v>
      </c>
      <c r="F6" s="88" t="b">
        <v>1</v>
      </c>
      <c r="G6" s="85" t="str">
        <f t="shared" si="1"/>
        <v>USD2x14F_SYNTH1Y_Quote</v>
      </c>
      <c r="H6" s="85" t="str">
        <f t="shared" si="2"/>
        <v>USD_YC1YRH_2x14F</v>
      </c>
      <c r="I6" s="85"/>
      <c r="J6" s="89" t="str">
        <f>_xll.ohRangeRetrieveError(I6)</f>
        <v/>
      </c>
      <c r="K6" s="45"/>
    </row>
    <row r="7" spans="1:11" x14ac:dyDescent="0.2">
      <c r="A7" s="46"/>
      <c r="B7" s="85" t="str">
        <f t="shared" si="3"/>
        <v>3M</v>
      </c>
      <c r="C7" s="86">
        <v>3</v>
      </c>
      <c r="D7" s="87" t="str">
        <f t="shared" si="4"/>
        <v>x15F</v>
      </c>
      <c r="E7" s="85" t="str">
        <f t="shared" si="0"/>
        <v>UsdLibor1Y</v>
      </c>
      <c r="F7" s="88" t="b">
        <v>1</v>
      </c>
      <c r="G7" s="85" t="str">
        <f t="shared" si="1"/>
        <v>USD3x15F_SYNTH1Y_Quote</v>
      </c>
      <c r="H7" s="85" t="str">
        <f t="shared" si="2"/>
        <v>USD_YC1YRH_3x15F</v>
      </c>
      <c r="I7" s="85"/>
      <c r="J7" s="89" t="str">
        <f>_xll.ohRangeRetrieveError(I7)</f>
        <v/>
      </c>
      <c r="K7" s="45"/>
    </row>
    <row r="8" spans="1:11" x14ac:dyDescent="0.2">
      <c r="A8" s="46"/>
      <c r="B8" s="85" t="str">
        <f t="shared" si="3"/>
        <v>4M</v>
      </c>
      <c r="C8" s="86">
        <v>4</v>
      </c>
      <c r="D8" s="87" t="str">
        <f t="shared" si="4"/>
        <v>x16F</v>
      </c>
      <c r="E8" s="85" t="str">
        <f t="shared" si="0"/>
        <v>UsdLibor1Y</v>
      </c>
      <c r="F8" s="88" t="b">
        <v>1</v>
      </c>
      <c r="G8" s="85" t="str">
        <f t="shared" si="1"/>
        <v>USD4x16F_SYNTH1Y_Quote</v>
      </c>
      <c r="H8" s="85" t="str">
        <f t="shared" si="2"/>
        <v>USD_YC1YRH_4x16F</v>
      </c>
      <c r="I8" s="85"/>
      <c r="J8" s="89" t="str">
        <f>_xll.ohRangeRetrieveError(I8)</f>
        <v/>
      </c>
      <c r="K8" s="45"/>
    </row>
    <row r="9" spans="1:11" x14ac:dyDescent="0.2">
      <c r="A9" s="46"/>
      <c r="B9" s="85" t="str">
        <f t="shared" si="3"/>
        <v>5M</v>
      </c>
      <c r="C9" s="86">
        <v>5</v>
      </c>
      <c r="D9" s="87" t="str">
        <f t="shared" si="4"/>
        <v>x17F</v>
      </c>
      <c r="E9" s="85" t="str">
        <f t="shared" si="0"/>
        <v>UsdLibor1Y</v>
      </c>
      <c r="F9" s="88" t="b">
        <v>1</v>
      </c>
      <c r="G9" s="85" t="str">
        <f t="shared" si="1"/>
        <v>USD5x17F_SYNTH1Y_Quote</v>
      </c>
      <c r="H9" s="85" t="str">
        <f t="shared" si="2"/>
        <v>USD_YC1YRH_5x17F</v>
      </c>
      <c r="I9" s="85"/>
      <c r="J9" s="89" t="str">
        <f>_xll.ohRangeRetrieveError(I9)</f>
        <v/>
      </c>
      <c r="K9" s="45"/>
    </row>
    <row r="10" spans="1:11" x14ac:dyDescent="0.2">
      <c r="A10" s="46"/>
      <c r="B10" s="85" t="str">
        <f t="shared" si="3"/>
        <v>6M</v>
      </c>
      <c r="C10" s="86">
        <v>6</v>
      </c>
      <c r="D10" s="87" t="str">
        <f t="shared" si="4"/>
        <v>x18F</v>
      </c>
      <c r="E10" s="85" t="str">
        <f t="shared" si="0"/>
        <v>UsdLibor1Y</v>
      </c>
      <c r="F10" s="88" t="b">
        <v>1</v>
      </c>
      <c r="G10" s="85" t="str">
        <f t="shared" si="1"/>
        <v>USD6x18F_SYNTH1Y_Quote</v>
      </c>
      <c r="H10" s="85" t="str">
        <f t="shared" si="2"/>
        <v>USD_YC1YRH_6x18F</v>
      </c>
      <c r="I10" s="85"/>
      <c r="J10" s="89" t="str">
        <f>_xll.ohRangeRetrieveError(I10)</f>
        <v/>
      </c>
      <c r="K10" s="45"/>
    </row>
    <row r="11" spans="1:11" x14ac:dyDescent="0.2">
      <c r="A11" s="46"/>
      <c r="B11" s="85" t="str">
        <f t="shared" si="3"/>
        <v>7M</v>
      </c>
      <c r="C11" s="86">
        <v>7</v>
      </c>
      <c r="D11" s="87" t="str">
        <f t="shared" si="4"/>
        <v>x19F</v>
      </c>
      <c r="E11" s="85" t="str">
        <f t="shared" si="0"/>
        <v>UsdLibor1Y</v>
      </c>
      <c r="F11" s="88" t="b">
        <v>1</v>
      </c>
      <c r="G11" s="85" t="str">
        <f t="shared" si="1"/>
        <v>USD7x19F_SYNTH1Y_Quote</v>
      </c>
      <c r="H11" s="85" t="str">
        <f t="shared" si="2"/>
        <v>USD_YC1YRH_7x19F</v>
      </c>
      <c r="I11" s="85"/>
      <c r="J11" s="89" t="str">
        <f>_xll.ohRangeRetrieveError(I11)</f>
        <v/>
      </c>
      <c r="K11" s="45"/>
    </row>
    <row r="12" spans="1:11" x14ac:dyDescent="0.2">
      <c r="A12" s="46"/>
      <c r="B12" s="85" t="str">
        <f t="shared" si="3"/>
        <v>8M</v>
      </c>
      <c r="C12" s="86">
        <v>8</v>
      </c>
      <c r="D12" s="87" t="str">
        <f t="shared" si="4"/>
        <v>x20F</v>
      </c>
      <c r="E12" s="85" t="str">
        <f t="shared" si="0"/>
        <v>UsdLibor1Y</v>
      </c>
      <c r="F12" s="88" t="b">
        <v>1</v>
      </c>
      <c r="G12" s="85" t="str">
        <f t="shared" si="1"/>
        <v>USD8x20F_SYNTH1Y_Quote</v>
      </c>
      <c r="H12" s="85" t="str">
        <f t="shared" si="2"/>
        <v>USD_YC1YRH_8x20F</v>
      </c>
      <c r="I12" s="85"/>
      <c r="J12" s="89" t="str">
        <f>_xll.ohRangeRetrieveError(I12)</f>
        <v/>
      </c>
      <c r="K12" s="45"/>
    </row>
    <row r="13" spans="1:11" x14ac:dyDescent="0.2">
      <c r="A13" s="46"/>
      <c r="B13" s="85" t="str">
        <f t="shared" si="3"/>
        <v>9M</v>
      </c>
      <c r="C13" s="86">
        <v>9</v>
      </c>
      <c r="D13" s="87" t="str">
        <f t="shared" si="4"/>
        <v>x21F</v>
      </c>
      <c r="E13" s="85" t="str">
        <f t="shared" si="0"/>
        <v>UsdLibor1Y</v>
      </c>
      <c r="F13" s="88" t="b">
        <v>1</v>
      </c>
      <c r="G13" s="85" t="str">
        <f t="shared" si="1"/>
        <v>USD9x21F_SYNTH1Y_Quote</v>
      </c>
      <c r="H13" s="85" t="str">
        <f t="shared" si="2"/>
        <v>USD_YC1YRH_9x21F</v>
      </c>
      <c r="I13" s="85"/>
      <c r="J13" s="89" t="str">
        <f>_xll.ohRangeRetrieveError(I13)</f>
        <v/>
      </c>
      <c r="K13" s="45"/>
    </row>
    <row r="14" spans="1:11" x14ac:dyDescent="0.2">
      <c r="A14" s="46"/>
      <c r="B14" s="85" t="str">
        <f t="shared" si="3"/>
        <v>10M</v>
      </c>
      <c r="C14" s="86">
        <v>10</v>
      </c>
      <c r="D14" s="87" t="str">
        <f t="shared" si="4"/>
        <v>x22F</v>
      </c>
      <c r="E14" s="85" t="str">
        <f t="shared" si="0"/>
        <v>UsdLibor1Y</v>
      </c>
      <c r="F14" s="88" t="b">
        <v>1</v>
      </c>
      <c r="G14" s="85" t="str">
        <f t="shared" si="1"/>
        <v>USD10x22F_SYNTH1Y_Quote</v>
      </c>
      <c r="H14" s="85" t="str">
        <f t="shared" si="2"/>
        <v>USD_YC1YRH_10x22F</v>
      </c>
      <c r="I14" s="85"/>
      <c r="J14" s="89" t="str">
        <f>_xll.ohRangeRetrieveError(I14)</f>
        <v/>
      </c>
      <c r="K14" s="45"/>
    </row>
    <row r="15" spans="1:11" x14ac:dyDescent="0.2">
      <c r="A15" s="46"/>
      <c r="B15" s="85" t="str">
        <f t="shared" si="3"/>
        <v>11M</v>
      </c>
      <c r="C15" s="86">
        <v>11</v>
      </c>
      <c r="D15" s="87" t="str">
        <f t="shared" si="4"/>
        <v>x23F</v>
      </c>
      <c r="E15" s="85" t="str">
        <f t="shared" si="0"/>
        <v>UsdLibor1Y</v>
      </c>
      <c r="F15" s="88" t="b">
        <v>1</v>
      </c>
      <c r="G15" s="85" t="str">
        <f t="shared" si="1"/>
        <v>USD11x23F_SYNTH1Y_Quote</v>
      </c>
      <c r="H15" s="85" t="str">
        <f t="shared" si="2"/>
        <v>USD_YC1YRH_11x23F</v>
      </c>
      <c r="I15" s="85"/>
      <c r="J15" s="89" t="str">
        <f>_xll.ohRangeRetrieveError(I15)</f>
        <v/>
      </c>
      <c r="K15" s="45"/>
    </row>
    <row r="16" spans="1:11" x14ac:dyDescent="0.2">
      <c r="A16" s="46"/>
      <c r="B16" s="90" t="str">
        <f t="shared" si="3"/>
        <v>12M</v>
      </c>
      <c r="C16" s="91">
        <v>12</v>
      </c>
      <c r="D16" s="92" t="str">
        <f t="shared" si="4"/>
        <v>x24F</v>
      </c>
      <c r="E16" s="90" t="str">
        <f t="shared" si="0"/>
        <v>UsdLibor1Y</v>
      </c>
      <c r="F16" s="93" t="b">
        <v>0</v>
      </c>
      <c r="G16" s="90" t="str">
        <f t="shared" si="1"/>
        <v>USD12x24F_Quote</v>
      </c>
      <c r="H16" s="90" t="str">
        <f t="shared" si="2"/>
        <v>USD_YC1YRH_12x24F</v>
      </c>
      <c r="I16" s="90" t="str">
        <f>_xll.qlFraRateHelper(H16,G16,B16,E16,Permanent,Trigger,ObjectOverwrite)</f>
        <v>USD_YC1YRH_12x24F#0001</v>
      </c>
      <c r="J16" s="94" t="str">
        <f>_xll.ohRangeRetrieveError(I16)</f>
        <v/>
      </c>
      <c r="K16" s="45"/>
    </row>
    <row r="17" spans="1:11" x14ac:dyDescent="0.2">
      <c r="A17" s="46"/>
      <c r="B17" s="76" t="str">
        <f t="shared" si="3"/>
        <v>13M</v>
      </c>
      <c r="C17" s="77">
        <v>13</v>
      </c>
      <c r="D17" s="78" t="str">
        <f t="shared" si="4"/>
        <v>x25F</v>
      </c>
      <c r="E17" s="76" t="str">
        <f t="shared" si="0"/>
        <v>UsdLibor1Y</v>
      </c>
      <c r="F17" s="79" t="b">
        <v>1</v>
      </c>
      <c r="G17" s="76" t="str">
        <f t="shared" si="1"/>
        <v>USD13x25F_SYNTH1Y_Quote</v>
      </c>
      <c r="H17" s="76" t="str">
        <f t="shared" si="2"/>
        <v>USD_YC1YRH_13x25F</v>
      </c>
      <c r="I17" s="76"/>
      <c r="J17" s="95" t="str">
        <f>_xll.ohRangeRetrieveError(I17)</f>
        <v/>
      </c>
      <c r="K17" s="45"/>
    </row>
    <row r="18" spans="1:11" x14ac:dyDescent="0.2">
      <c r="A18" s="46"/>
      <c r="B18" s="85" t="str">
        <f t="shared" si="3"/>
        <v>14M</v>
      </c>
      <c r="C18" s="86">
        <v>14</v>
      </c>
      <c r="D18" s="87" t="str">
        <f t="shared" si="4"/>
        <v>x26F</v>
      </c>
      <c r="E18" s="85" t="str">
        <f t="shared" si="0"/>
        <v>UsdLibor1Y</v>
      </c>
      <c r="F18" s="88" t="b">
        <v>1</v>
      </c>
      <c r="G18" s="85" t="str">
        <f t="shared" si="1"/>
        <v>USD14x26F_SYNTH1Y_Quote</v>
      </c>
      <c r="H18" s="85" t="str">
        <f t="shared" si="2"/>
        <v>USD_YC1YRH_14x26F</v>
      </c>
      <c r="I18" s="85"/>
      <c r="J18" s="89" t="str">
        <f>_xll.ohRangeRetrieveError(I18)</f>
        <v/>
      </c>
      <c r="K18" s="45"/>
    </row>
    <row r="19" spans="1:11" x14ac:dyDescent="0.2">
      <c r="A19" s="46"/>
      <c r="B19" s="85" t="str">
        <f t="shared" si="3"/>
        <v>15M</v>
      </c>
      <c r="C19" s="86">
        <v>15</v>
      </c>
      <c r="D19" s="87" t="str">
        <f t="shared" si="4"/>
        <v>x27F</v>
      </c>
      <c r="E19" s="85" t="str">
        <f t="shared" si="0"/>
        <v>UsdLibor1Y</v>
      </c>
      <c r="F19" s="88" t="b">
        <v>1</v>
      </c>
      <c r="G19" s="85" t="str">
        <f t="shared" si="1"/>
        <v>USD15x27F_SYNTH1Y_Quote</v>
      </c>
      <c r="H19" s="85" t="str">
        <f t="shared" si="2"/>
        <v>USD_YC1YRH_15x27F</v>
      </c>
      <c r="I19" s="85"/>
      <c r="J19" s="89" t="str">
        <f>_xll.ohRangeRetrieveError(I19)</f>
        <v/>
      </c>
      <c r="K19" s="45"/>
    </row>
    <row r="20" spans="1:11" x14ac:dyDescent="0.2">
      <c r="A20" s="46"/>
      <c r="B20" s="85" t="str">
        <f t="shared" si="3"/>
        <v>16M</v>
      </c>
      <c r="C20" s="86">
        <v>16</v>
      </c>
      <c r="D20" s="87" t="str">
        <f t="shared" si="4"/>
        <v>x28F</v>
      </c>
      <c r="E20" s="85" t="str">
        <f t="shared" si="0"/>
        <v>UsdLibor1Y</v>
      </c>
      <c r="F20" s="88" t="b">
        <v>1</v>
      </c>
      <c r="G20" s="85" t="str">
        <f t="shared" si="1"/>
        <v>USD16x28F_SYNTH1Y_Quote</v>
      </c>
      <c r="H20" s="85" t="str">
        <f t="shared" si="2"/>
        <v>USD_YC1YRH_16x28F</v>
      </c>
      <c r="I20" s="85"/>
      <c r="J20" s="89" t="str">
        <f>_xll.ohRangeRetrieveError(I20)</f>
        <v/>
      </c>
      <c r="K20" s="45"/>
    </row>
    <row r="21" spans="1:11" x14ac:dyDescent="0.2">
      <c r="A21" s="46"/>
      <c r="B21" s="85" t="str">
        <f t="shared" si="3"/>
        <v>17M</v>
      </c>
      <c r="C21" s="86">
        <v>17</v>
      </c>
      <c r="D21" s="87" t="str">
        <f t="shared" si="4"/>
        <v>x29F</v>
      </c>
      <c r="E21" s="85" t="str">
        <f t="shared" si="0"/>
        <v>UsdLibor1Y</v>
      </c>
      <c r="F21" s="88" t="b">
        <v>1</v>
      </c>
      <c r="G21" s="85" t="str">
        <f t="shared" ref="G21:G43" si="5">Currency&amp;C21&amp;D21&amp;IF(F21,"_SYNTH"&amp;$E$1,"")&amp;"_Quote"</f>
        <v>USD17x29F_SYNTH1Y_Quote</v>
      </c>
      <c r="H21" s="85" t="str">
        <f t="shared" si="2"/>
        <v>USD_YC1YRH_17x29F</v>
      </c>
      <c r="I21" s="85"/>
      <c r="J21" s="89" t="str">
        <f>_xll.ohRangeRetrieveError(I21)</f>
        <v/>
      </c>
      <c r="K21" s="45"/>
    </row>
    <row r="22" spans="1:11" x14ac:dyDescent="0.2">
      <c r="A22" s="46"/>
      <c r="B22" s="85" t="str">
        <f t="shared" si="3"/>
        <v>18M</v>
      </c>
      <c r="C22" s="86">
        <v>18</v>
      </c>
      <c r="D22" s="87" t="str">
        <f t="shared" si="4"/>
        <v>x30F</v>
      </c>
      <c r="E22" s="85" t="str">
        <f t="shared" si="0"/>
        <v>UsdLibor1Y</v>
      </c>
      <c r="F22" s="88" t="b">
        <v>1</v>
      </c>
      <c r="G22" s="85" t="str">
        <f t="shared" si="5"/>
        <v>USD18x30F_SYNTH1Y_Quote</v>
      </c>
      <c r="H22" s="85" t="str">
        <f t="shared" si="2"/>
        <v>USD_YC1YRH_18x30F</v>
      </c>
      <c r="I22" s="85"/>
      <c r="J22" s="89" t="str">
        <f>_xll.ohRangeRetrieveError(I22)</f>
        <v/>
      </c>
      <c r="K22" s="45"/>
    </row>
    <row r="23" spans="1:11" x14ac:dyDescent="0.2">
      <c r="A23" s="46"/>
      <c r="B23" s="85" t="str">
        <f t="shared" si="3"/>
        <v>19M</v>
      </c>
      <c r="C23" s="86">
        <v>19</v>
      </c>
      <c r="D23" s="87" t="str">
        <f t="shared" si="4"/>
        <v>x31F</v>
      </c>
      <c r="E23" s="85" t="str">
        <f t="shared" si="0"/>
        <v>UsdLibor1Y</v>
      </c>
      <c r="F23" s="88" t="b">
        <v>1</v>
      </c>
      <c r="G23" s="85" t="str">
        <f t="shared" si="5"/>
        <v>USD19x31F_SYNTH1Y_Quote</v>
      </c>
      <c r="H23" s="85" t="str">
        <f t="shared" si="2"/>
        <v>USD_YC1YRH_19x31F</v>
      </c>
      <c r="I23" s="85"/>
      <c r="J23" s="89" t="str">
        <f>_xll.ohRangeRetrieveError(I23)</f>
        <v/>
      </c>
      <c r="K23" s="45"/>
    </row>
    <row r="24" spans="1:11" x14ac:dyDescent="0.2">
      <c r="A24" s="46"/>
      <c r="B24" s="85" t="str">
        <f t="shared" si="3"/>
        <v>20M</v>
      </c>
      <c r="C24" s="86">
        <v>20</v>
      </c>
      <c r="D24" s="87" t="str">
        <f t="shared" si="4"/>
        <v>x32F</v>
      </c>
      <c r="E24" s="85" t="str">
        <f t="shared" si="0"/>
        <v>UsdLibor1Y</v>
      </c>
      <c r="F24" s="88" t="b">
        <v>1</v>
      </c>
      <c r="G24" s="85" t="str">
        <f t="shared" si="5"/>
        <v>USD20x32F_SYNTH1Y_Quote</v>
      </c>
      <c r="H24" s="85" t="str">
        <f t="shared" si="2"/>
        <v>USD_YC1YRH_20x32F</v>
      </c>
      <c r="I24" s="85"/>
      <c r="J24" s="89" t="str">
        <f>_xll.ohRangeRetrieveError(I24)</f>
        <v/>
      </c>
      <c r="K24" s="45"/>
    </row>
    <row r="25" spans="1:11" x14ac:dyDescent="0.2">
      <c r="A25" s="46"/>
      <c r="B25" s="85" t="str">
        <f t="shared" si="3"/>
        <v>21M</v>
      </c>
      <c r="C25" s="86">
        <v>21</v>
      </c>
      <c r="D25" s="87" t="str">
        <f t="shared" si="4"/>
        <v>x33F</v>
      </c>
      <c r="E25" s="85" t="str">
        <f t="shared" si="0"/>
        <v>UsdLibor1Y</v>
      </c>
      <c r="F25" s="88" t="b">
        <v>1</v>
      </c>
      <c r="G25" s="85" t="str">
        <f t="shared" si="5"/>
        <v>USD21x33F_SYNTH1Y_Quote</v>
      </c>
      <c r="H25" s="85" t="str">
        <f t="shared" si="2"/>
        <v>USD_YC1YRH_21x33F</v>
      </c>
      <c r="I25" s="85"/>
      <c r="J25" s="89" t="str">
        <f>_xll.ohRangeRetrieveError(I25)</f>
        <v/>
      </c>
      <c r="K25" s="45"/>
    </row>
    <row r="26" spans="1:11" x14ac:dyDescent="0.2">
      <c r="A26" s="46"/>
      <c r="B26" s="85" t="str">
        <f t="shared" si="3"/>
        <v>22M</v>
      </c>
      <c r="C26" s="86">
        <v>22</v>
      </c>
      <c r="D26" s="87" t="str">
        <f t="shared" si="4"/>
        <v>x34F</v>
      </c>
      <c r="E26" s="85" t="str">
        <f t="shared" si="0"/>
        <v>UsdLibor1Y</v>
      </c>
      <c r="F26" s="88" t="b">
        <v>1</v>
      </c>
      <c r="G26" s="85" t="str">
        <f t="shared" si="5"/>
        <v>USD22x34F_SYNTH1Y_Quote</v>
      </c>
      <c r="H26" s="85" t="str">
        <f t="shared" si="2"/>
        <v>USD_YC1YRH_22x34F</v>
      </c>
      <c r="I26" s="85"/>
      <c r="J26" s="89" t="str">
        <f>_xll.ohRangeRetrieveError(I26)</f>
        <v/>
      </c>
      <c r="K26" s="45"/>
    </row>
    <row r="27" spans="1:11" x14ac:dyDescent="0.2">
      <c r="A27" s="46"/>
      <c r="B27" s="81" t="str">
        <f t="shared" si="3"/>
        <v>23M</v>
      </c>
      <c r="C27" s="82">
        <v>23</v>
      </c>
      <c r="D27" s="58" t="str">
        <f t="shared" si="4"/>
        <v>x35F</v>
      </c>
      <c r="E27" s="81" t="str">
        <f t="shared" si="0"/>
        <v>UsdLibor1Y</v>
      </c>
      <c r="F27" s="83" t="b">
        <v>1</v>
      </c>
      <c r="G27" s="81" t="str">
        <f t="shared" si="5"/>
        <v>USD23x35F_SYNTH1Y_Quote</v>
      </c>
      <c r="H27" s="81" t="str">
        <f t="shared" si="2"/>
        <v>USD_YC1YRH_23x35F</v>
      </c>
      <c r="I27" s="81"/>
      <c r="J27" s="96" t="str">
        <f>_xll.ohRangeRetrieveError(I27)</f>
        <v/>
      </c>
      <c r="K27" s="45"/>
    </row>
    <row r="28" spans="1:11" x14ac:dyDescent="0.2">
      <c r="A28" s="46"/>
      <c r="B28" s="76" t="str">
        <f t="shared" si="3"/>
        <v>25M</v>
      </c>
      <c r="C28" s="77">
        <v>25</v>
      </c>
      <c r="D28" s="78" t="str">
        <f t="shared" si="4"/>
        <v>x37F</v>
      </c>
      <c r="E28" s="76" t="str">
        <f t="shared" si="0"/>
        <v>UsdLibor1Y</v>
      </c>
      <c r="F28" s="79" t="b">
        <v>1</v>
      </c>
      <c r="G28" s="76" t="str">
        <f t="shared" si="5"/>
        <v>USD25x37F_SYNTH1Y_Quote</v>
      </c>
      <c r="H28" s="76" t="str">
        <f t="shared" si="2"/>
        <v>USD_YC1YRH_25x37F</v>
      </c>
      <c r="I28" s="76"/>
      <c r="J28" s="95" t="str">
        <f>_xll.ohRangeRetrieveError(I28)</f>
        <v/>
      </c>
      <c r="K28" s="45"/>
    </row>
    <row r="29" spans="1:11" x14ac:dyDescent="0.2">
      <c r="A29" s="46"/>
      <c r="B29" s="85" t="str">
        <f t="shared" si="3"/>
        <v>26M</v>
      </c>
      <c r="C29" s="86">
        <v>26</v>
      </c>
      <c r="D29" s="87" t="str">
        <f t="shared" si="4"/>
        <v>x38F</v>
      </c>
      <c r="E29" s="85" t="str">
        <f t="shared" si="0"/>
        <v>UsdLibor1Y</v>
      </c>
      <c r="F29" s="88" t="b">
        <v>1</v>
      </c>
      <c r="G29" s="85" t="str">
        <f t="shared" si="5"/>
        <v>USD26x38F_SYNTH1Y_Quote</v>
      </c>
      <c r="H29" s="85" t="str">
        <f t="shared" si="2"/>
        <v>USD_YC1YRH_26x38F</v>
      </c>
      <c r="I29" s="85"/>
      <c r="J29" s="89" t="str">
        <f>_xll.ohRangeRetrieveError(I29)</f>
        <v/>
      </c>
      <c r="K29" s="45"/>
    </row>
    <row r="30" spans="1:11" x14ac:dyDescent="0.2">
      <c r="A30" s="46"/>
      <c r="B30" s="85" t="str">
        <f t="shared" si="3"/>
        <v>27M</v>
      </c>
      <c r="C30" s="86">
        <v>27</v>
      </c>
      <c r="D30" s="87" t="str">
        <f t="shared" si="4"/>
        <v>x39F</v>
      </c>
      <c r="E30" s="85" t="str">
        <f t="shared" si="0"/>
        <v>UsdLibor1Y</v>
      </c>
      <c r="F30" s="88" t="b">
        <v>1</v>
      </c>
      <c r="G30" s="85" t="str">
        <f t="shared" si="5"/>
        <v>USD27x39F_SYNTH1Y_Quote</v>
      </c>
      <c r="H30" s="85" t="str">
        <f t="shared" si="2"/>
        <v>USD_YC1YRH_27x39F</v>
      </c>
      <c r="I30" s="85"/>
      <c r="J30" s="89" t="str">
        <f>_xll.ohRangeRetrieveError(I30)</f>
        <v/>
      </c>
      <c r="K30" s="45"/>
    </row>
    <row r="31" spans="1:11" x14ac:dyDescent="0.2">
      <c r="A31" s="46"/>
      <c r="B31" s="85" t="str">
        <f t="shared" si="3"/>
        <v>28M</v>
      </c>
      <c r="C31" s="86">
        <v>28</v>
      </c>
      <c r="D31" s="87" t="str">
        <f t="shared" si="4"/>
        <v>x40F</v>
      </c>
      <c r="E31" s="85" t="str">
        <f t="shared" si="0"/>
        <v>UsdLibor1Y</v>
      </c>
      <c r="F31" s="88" t="b">
        <v>1</v>
      </c>
      <c r="G31" s="85" t="str">
        <f t="shared" si="5"/>
        <v>USD28x40F_SYNTH1Y_Quote</v>
      </c>
      <c r="H31" s="85" t="str">
        <f t="shared" si="2"/>
        <v>USD_YC1YRH_28x40F</v>
      </c>
      <c r="I31" s="85"/>
      <c r="J31" s="89" t="str">
        <f>_xll.ohRangeRetrieveError(I31)</f>
        <v/>
      </c>
      <c r="K31" s="45"/>
    </row>
    <row r="32" spans="1:11" x14ac:dyDescent="0.2">
      <c r="A32" s="46"/>
      <c r="B32" s="85" t="str">
        <f t="shared" si="3"/>
        <v>29M</v>
      </c>
      <c r="C32" s="86">
        <v>29</v>
      </c>
      <c r="D32" s="87" t="str">
        <f t="shared" si="4"/>
        <v>x41F</v>
      </c>
      <c r="E32" s="85" t="str">
        <f t="shared" si="0"/>
        <v>UsdLibor1Y</v>
      </c>
      <c r="F32" s="88" t="b">
        <v>1</v>
      </c>
      <c r="G32" s="85" t="str">
        <f t="shared" si="5"/>
        <v>USD29x41F_SYNTH1Y_Quote</v>
      </c>
      <c r="H32" s="85" t="str">
        <f t="shared" si="2"/>
        <v>USD_YC1YRH_29x41F</v>
      </c>
      <c r="I32" s="85"/>
      <c r="J32" s="89" t="str">
        <f>_xll.ohRangeRetrieveError(I32)</f>
        <v/>
      </c>
      <c r="K32" s="45"/>
    </row>
    <row r="33" spans="1:11" x14ac:dyDescent="0.2">
      <c r="A33" s="46"/>
      <c r="B33" s="85" t="str">
        <f t="shared" si="3"/>
        <v>30M</v>
      </c>
      <c r="C33" s="86">
        <v>30</v>
      </c>
      <c r="D33" s="87" t="str">
        <f t="shared" si="4"/>
        <v>x42F</v>
      </c>
      <c r="E33" s="85" t="str">
        <f t="shared" si="0"/>
        <v>UsdLibor1Y</v>
      </c>
      <c r="F33" s="88" t="b">
        <v>1</v>
      </c>
      <c r="G33" s="85" t="str">
        <f t="shared" si="5"/>
        <v>USD30x42F_SYNTH1Y_Quote</v>
      </c>
      <c r="H33" s="85" t="str">
        <f t="shared" si="2"/>
        <v>USD_YC1YRH_30x42F</v>
      </c>
      <c r="I33" s="85"/>
      <c r="J33" s="89" t="str">
        <f>_xll.ohRangeRetrieveError(I33)</f>
        <v/>
      </c>
      <c r="K33" s="45"/>
    </row>
    <row r="34" spans="1:11" x14ac:dyDescent="0.2">
      <c r="A34" s="46"/>
      <c r="B34" s="85" t="str">
        <f t="shared" si="3"/>
        <v>31M</v>
      </c>
      <c r="C34" s="86">
        <v>31</v>
      </c>
      <c r="D34" s="87" t="str">
        <f t="shared" si="4"/>
        <v>x43F</v>
      </c>
      <c r="E34" s="85" t="str">
        <f t="shared" si="0"/>
        <v>UsdLibor1Y</v>
      </c>
      <c r="F34" s="88" t="b">
        <v>1</v>
      </c>
      <c r="G34" s="85" t="str">
        <f t="shared" si="5"/>
        <v>USD31x43F_SYNTH1Y_Quote</v>
      </c>
      <c r="H34" s="85" t="str">
        <f t="shared" si="2"/>
        <v>USD_YC1YRH_31x43F</v>
      </c>
      <c r="I34" s="85"/>
      <c r="J34" s="89" t="str">
        <f>_xll.ohRangeRetrieveError(I34)</f>
        <v/>
      </c>
      <c r="K34" s="45"/>
    </row>
    <row r="35" spans="1:11" x14ac:dyDescent="0.2">
      <c r="A35" s="46"/>
      <c r="B35" s="85" t="str">
        <f t="shared" si="3"/>
        <v>32M</v>
      </c>
      <c r="C35" s="86">
        <v>32</v>
      </c>
      <c r="D35" s="87" t="str">
        <f t="shared" si="4"/>
        <v>x44F</v>
      </c>
      <c r="E35" s="85" t="str">
        <f t="shared" si="0"/>
        <v>UsdLibor1Y</v>
      </c>
      <c r="F35" s="88" t="b">
        <v>1</v>
      </c>
      <c r="G35" s="85" t="str">
        <f t="shared" si="5"/>
        <v>USD32x44F_SYNTH1Y_Quote</v>
      </c>
      <c r="H35" s="85" t="str">
        <f t="shared" si="2"/>
        <v>USD_YC1YRH_32x44F</v>
      </c>
      <c r="I35" s="85"/>
      <c r="J35" s="89" t="str">
        <f>_xll.ohRangeRetrieveError(I35)</f>
        <v/>
      </c>
      <c r="K35" s="45"/>
    </row>
    <row r="36" spans="1:11" x14ac:dyDescent="0.2">
      <c r="A36" s="46"/>
      <c r="B36" s="85" t="str">
        <f t="shared" si="3"/>
        <v>33M</v>
      </c>
      <c r="C36" s="86">
        <v>33</v>
      </c>
      <c r="D36" s="87" t="str">
        <f t="shared" si="4"/>
        <v>x45F</v>
      </c>
      <c r="E36" s="85" t="str">
        <f t="shared" si="0"/>
        <v>UsdLibor1Y</v>
      </c>
      <c r="F36" s="88" t="b">
        <v>1</v>
      </c>
      <c r="G36" s="85" t="str">
        <f t="shared" si="5"/>
        <v>USD33x45F_SYNTH1Y_Quote</v>
      </c>
      <c r="H36" s="85" t="str">
        <f t="shared" si="2"/>
        <v>USD_YC1YRH_33x45F</v>
      </c>
      <c r="I36" s="85"/>
      <c r="J36" s="89" t="str">
        <f>_xll.ohRangeRetrieveError(I36)</f>
        <v/>
      </c>
      <c r="K36" s="45"/>
    </row>
    <row r="37" spans="1:11" x14ac:dyDescent="0.2">
      <c r="A37" s="46"/>
      <c r="B37" s="85" t="str">
        <f t="shared" si="3"/>
        <v>34M</v>
      </c>
      <c r="C37" s="86">
        <v>34</v>
      </c>
      <c r="D37" s="87" t="str">
        <f t="shared" si="4"/>
        <v>x46F</v>
      </c>
      <c r="E37" s="85" t="str">
        <f t="shared" si="0"/>
        <v>UsdLibor1Y</v>
      </c>
      <c r="F37" s="88" t="b">
        <v>1</v>
      </c>
      <c r="G37" s="85" t="str">
        <f t="shared" si="5"/>
        <v>USD34x46F_SYNTH1Y_Quote</v>
      </c>
      <c r="H37" s="85" t="str">
        <f t="shared" si="2"/>
        <v>USD_YC1YRH_34x46F</v>
      </c>
      <c r="I37" s="85"/>
      <c r="J37" s="89" t="str">
        <f>_xll.ohRangeRetrieveError(I37)</f>
        <v/>
      </c>
      <c r="K37" s="45"/>
    </row>
    <row r="38" spans="1:11" x14ac:dyDescent="0.2">
      <c r="A38" s="46"/>
      <c r="B38" s="81" t="str">
        <f t="shared" si="3"/>
        <v>35M</v>
      </c>
      <c r="C38" s="82">
        <v>35</v>
      </c>
      <c r="D38" s="58" t="str">
        <f t="shared" si="4"/>
        <v>x47F</v>
      </c>
      <c r="E38" s="81" t="str">
        <f t="shared" si="0"/>
        <v>UsdLibor1Y</v>
      </c>
      <c r="F38" s="83" t="b">
        <v>1</v>
      </c>
      <c r="G38" s="81" t="str">
        <f t="shared" si="5"/>
        <v>USD35x47F_SYNTH1Y_Quote</v>
      </c>
      <c r="H38" s="81" t="str">
        <f t="shared" si="2"/>
        <v>USD_YC1YRH_35x47F</v>
      </c>
      <c r="I38" s="81"/>
      <c r="J38" s="96" t="str">
        <f>_xll.ohRangeRetrieveError(I38)</f>
        <v/>
      </c>
      <c r="K38" s="45"/>
    </row>
    <row r="39" spans="1:11" x14ac:dyDescent="0.2">
      <c r="A39" s="46"/>
      <c r="B39" s="85" t="str">
        <f t="shared" si="3"/>
        <v>37M</v>
      </c>
      <c r="C39" s="86">
        <v>37</v>
      </c>
      <c r="D39" s="87" t="str">
        <f t="shared" si="4"/>
        <v>x49F</v>
      </c>
      <c r="E39" s="85" t="str">
        <f t="shared" si="0"/>
        <v>UsdLibor1Y</v>
      </c>
      <c r="F39" s="88" t="b">
        <v>1</v>
      </c>
      <c r="G39" s="85" t="str">
        <f>Currency&amp;C39&amp;D39&amp;IF(F39,"_SYNTH"&amp;$E$1,"")&amp;"_Quote"</f>
        <v>USD37x49F_SYNTH1Y_Quote</v>
      </c>
      <c r="H39" s="85" t="str">
        <f t="shared" si="2"/>
        <v>USD_YC1YRH_37x49F</v>
      </c>
      <c r="I39" s="85"/>
      <c r="J39" s="89" t="str">
        <f>_xll.ohRangeRetrieveError(I39)</f>
        <v/>
      </c>
      <c r="K39" s="45"/>
    </row>
    <row r="40" spans="1:11" x14ac:dyDescent="0.2">
      <c r="A40" s="46"/>
      <c r="B40" s="85" t="str">
        <f t="shared" si="3"/>
        <v>38M</v>
      </c>
      <c r="C40" s="86">
        <v>38</v>
      </c>
      <c r="D40" s="87" t="str">
        <f t="shared" si="4"/>
        <v>x50F</v>
      </c>
      <c r="E40" s="85" t="str">
        <f t="shared" si="0"/>
        <v>UsdLibor1Y</v>
      </c>
      <c r="F40" s="88" t="b">
        <v>1</v>
      </c>
      <c r="G40" s="85" t="str">
        <f>Currency&amp;C40&amp;D40&amp;IF(F40,"_SYNTH"&amp;$E$1,"")&amp;"_Quote"</f>
        <v>USD38x50F_SYNTH1Y_Quote</v>
      </c>
      <c r="H40" s="85" t="str">
        <f t="shared" si="2"/>
        <v>USD_YC1YRH_38x50F</v>
      </c>
      <c r="I40" s="85"/>
      <c r="J40" s="89" t="str">
        <f>_xll.ohRangeRetrieveError(I40)</f>
        <v/>
      </c>
      <c r="K40" s="45"/>
    </row>
    <row r="41" spans="1:11" x14ac:dyDescent="0.2">
      <c r="A41" s="46"/>
      <c r="B41" s="85" t="str">
        <f t="shared" si="3"/>
        <v>39M</v>
      </c>
      <c r="C41" s="86">
        <v>39</v>
      </c>
      <c r="D41" s="87" t="str">
        <f t="shared" si="4"/>
        <v>x51F</v>
      </c>
      <c r="E41" s="85" t="str">
        <f t="shared" si="0"/>
        <v>UsdLibor1Y</v>
      </c>
      <c r="F41" s="88" t="b">
        <v>1</v>
      </c>
      <c r="G41" s="85" t="str">
        <f>Currency&amp;C41&amp;D41&amp;IF(F41,"_SYNTH"&amp;$E$1,"")&amp;"_Quote"</f>
        <v>USD39x51F_SYNTH1Y_Quote</v>
      </c>
      <c r="H41" s="85" t="str">
        <f t="shared" si="2"/>
        <v>USD_YC1YRH_39x51F</v>
      </c>
      <c r="I41" s="85"/>
      <c r="J41" s="89" t="str">
        <f>_xll.ohRangeRetrieveError(I41)</f>
        <v/>
      </c>
      <c r="K41" s="45"/>
    </row>
    <row r="42" spans="1:11" x14ac:dyDescent="0.2">
      <c r="A42" s="46"/>
      <c r="B42" s="85" t="str">
        <f t="shared" si="3"/>
        <v>40M</v>
      </c>
      <c r="C42" s="86">
        <v>40</v>
      </c>
      <c r="D42" s="87" t="str">
        <f t="shared" si="4"/>
        <v>x52F</v>
      </c>
      <c r="E42" s="85" t="str">
        <f t="shared" si="0"/>
        <v>UsdLibor1Y</v>
      </c>
      <c r="F42" s="88" t="b">
        <v>1</v>
      </c>
      <c r="G42" s="85" t="str">
        <f>Currency&amp;C42&amp;D42&amp;IF(F42,"_SYNTH"&amp;$E$1,"")&amp;"_Quote"</f>
        <v>USD40x52F_SYNTH1Y_Quote</v>
      </c>
      <c r="H42" s="85" t="str">
        <f t="shared" si="2"/>
        <v>USD_YC1YRH_40x52F</v>
      </c>
      <c r="I42" s="85"/>
      <c r="J42" s="89" t="str">
        <f>_xll.ohRangeRetrieveError(I42)</f>
        <v/>
      </c>
      <c r="K42" s="45"/>
    </row>
    <row r="43" spans="1:11" x14ac:dyDescent="0.2">
      <c r="A43" s="46"/>
      <c r="B43" s="85" t="str">
        <f t="shared" si="3"/>
        <v>41M</v>
      </c>
      <c r="C43" s="86">
        <v>41</v>
      </c>
      <c r="D43" s="87" t="str">
        <f t="shared" si="4"/>
        <v>x53F</v>
      </c>
      <c r="E43" s="85" t="str">
        <f t="shared" si="0"/>
        <v>UsdLibor1Y</v>
      </c>
      <c r="F43" s="88" t="b">
        <v>1</v>
      </c>
      <c r="G43" s="85" t="str">
        <f t="shared" si="5"/>
        <v>USD41x53F_SYNTH1Y_Quote</v>
      </c>
      <c r="H43" s="85" t="str">
        <f t="shared" si="2"/>
        <v>USD_YC1YRH_41x53F</v>
      </c>
      <c r="I43" s="85"/>
      <c r="J43" s="89" t="str">
        <f>_xll.ohRangeRetrieveError(I43)</f>
        <v/>
      </c>
      <c r="K43" s="45"/>
    </row>
    <row r="44" spans="1:11" x14ac:dyDescent="0.2">
      <c r="A44" s="46"/>
      <c r="B44" s="85" t="str">
        <f t="shared" si="3"/>
        <v>42M</v>
      </c>
      <c r="C44" s="86">
        <v>42</v>
      </c>
      <c r="D44" s="87" t="str">
        <f t="shared" si="4"/>
        <v>x54F</v>
      </c>
      <c r="E44" s="85" t="str">
        <f t="shared" si="0"/>
        <v>UsdLibor1Y</v>
      </c>
      <c r="F44" s="88" t="b">
        <v>1</v>
      </c>
      <c r="G44" s="85" t="str">
        <f t="shared" ref="G44:G49" si="6">Currency&amp;C44&amp;D44&amp;IF(F44,"_SYNTH"&amp;$E$1,"")&amp;"_Quote"</f>
        <v>USD42x54F_SYNTH1Y_Quote</v>
      </c>
      <c r="H44" s="85" t="str">
        <f t="shared" si="2"/>
        <v>USD_YC1YRH_42x54F</v>
      </c>
      <c r="I44" s="85"/>
      <c r="J44" s="89" t="str">
        <f>_xll.ohRangeRetrieveError(I44)</f>
        <v/>
      </c>
      <c r="K44" s="45"/>
    </row>
    <row r="45" spans="1:11" x14ac:dyDescent="0.2">
      <c r="A45" s="46"/>
      <c r="B45" s="85" t="str">
        <f t="shared" si="3"/>
        <v>43M</v>
      </c>
      <c r="C45" s="86">
        <v>43</v>
      </c>
      <c r="D45" s="87" t="str">
        <f t="shared" si="4"/>
        <v>x55F</v>
      </c>
      <c r="E45" s="85" t="str">
        <f t="shared" si="0"/>
        <v>UsdLibor1Y</v>
      </c>
      <c r="F45" s="88" t="b">
        <v>1</v>
      </c>
      <c r="G45" s="85" t="str">
        <f t="shared" si="6"/>
        <v>USD43x55F_SYNTH1Y_Quote</v>
      </c>
      <c r="H45" s="85" t="str">
        <f t="shared" si="2"/>
        <v>USD_YC1YRH_43x55F</v>
      </c>
      <c r="I45" s="85"/>
      <c r="J45" s="89" t="str">
        <f>_xll.ohRangeRetrieveError(I45)</f>
        <v/>
      </c>
      <c r="K45" s="45"/>
    </row>
    <row r="46" spans="1:11" x14ac:dyDescent="0.2">
      <c r="A46" s="46"/>
      <c r="B46" s="85" t="str">
        <f t="shared" si="3"/>
        <v>44M</v>
      </c>
      <c r="C46" s="86">
        <v>44</v>
      </c>
      <c r="D46" s="87" t="str">
        <f t="shared" si="4"/>
        <v>x56F</v>
      </c>
      <c r="E46" s="85" t="str">
        <f t="shared" si="0"/>
        <v>UsdLibor1Y</v>
      </c>
      <c r="F46" s="88" t="b">
        <v>1</v>
      </c>
      <c r="G46" s="85" t="str">
        <f t="shared" si="6"/>
        <v>USD44x56F_SYNTH1Y_Quote</v>
      </c>
      <c r="H46" s="85" t="str">
        <f t="shared" si="2"/>
        <v>USD_YC1YRH_44x56F</v>
      </c>
      <c r="I46" s="85"/>
      <c r="J46" s="89" t="str">
        <f>_xll.ohRangeRetrieveError(I46)</f>
        <v/>
      </c>
      <c r="K46" s="45"/>
    </row>
    <row r="47" spans="1:11" x14ac:dyDescent="0.2">
      <c r="A47" s="46"/>
      <c r="B47" s="85" t="str">
        <f t="shared" si="3"/>
        <v>45M</v>
      </c>
      <c r="C47" s="86">
        <v>45</v>
      </c>
      <c r="D47" s="87" t="str">
        <f t="shared" si="4"/>
        <v>x57F</v>
      </c>
      <c r="E47" s="85" t="str">
        <f t="shared" si="0"/>
        <v>UsdLibor1Y</v>
      </c>
      <c r="F47" s="88" t="b">
        <v>1</v>
      </c>
      <c r="G47" s="85" t="str">
        <f t="shared" si="6"/>
        <v>USD45x57F_SYNTH1Y_Quote</v>
      </c>
      <c r="H47" s="85" t="str">
        <f t="shared" si="2"/>
        <v>USD_YC1YRH_45x57F</v>
      </c>
      <c r="I47" s="85"/>
      <c r="J47" s="89" t="str">
        <f>_xll.ohRangeRetrieveError(I47)</f>
        <v/>
      </c>
      <c r="K47" s="45"/>
    </row>
    <row r="48" spans="1:11" x14ac:dyDescent="0.2">
      <c r="A48" s="46"/>
      <c r="B48" s="85" t="str">
        <f t="shared" si="3"/>
        <v>46M</v>
      </c>
      <c r="C48" s="86">
        <v>46</v>
      </c>
      <c r="D48" s="87" t="str">
        <f t="shared" si="4"/>
        <v>x58F</v>
      </c>
      <c r="E48" s="85" t="str">
        <f t="shared" si="0"/>
        <v>UsdLibor1Y</v>
      </c>
      <c r="F48" s="88" t="b">
        <v>1</v>
      </c>
      <c r="G48" s="85" t="str">
        <f t="shared" si="6"/>
        <v>USD46x58F_SYNTH1Y_Quote</v>
      </c>
      <c r="H48" s="85" t="str">
        <f t="shared" si="2"/>
        <v>USD_YC1YRH_46x58F</v>
      </c>
      <c r="I48" s="85"/>
      <c r="J48" s="89" t="str">
        <f>_xll.ohRangeRetrieveError(I48)</f>
        <v/>
      </c>
      <c r="K48" s="45"/>
    </row>
    <row r="49" spans="1:11" x14ac:dyDescent="0.2">
      <c r="A49" s="46"/>
      <c r="B49" s="81" t="str">
        <f t="shared" si="3"/>
        <v>47M</v>
      </c>
      <c r="C49" s="82">
        <v>47</v>
      </c>
      <c r="D49" s="58" t="str">
        <f t="shared" si="4"/>
        <v>x59F</v>
      </c>
      <c r="E49" s="81" t="str">
        <f t="shared" si="0"/>
        <v>UsdLibor1Y</v>
      </c>
      <c r="F49" s="83" t="b">
        <v>1</v>
      </c>
      <c r="G49" s="81" t="str">
        <f t="shared" si="6"/>
        <v>USD47x59F_SYNTH1Y_Quote</v>
      </c>
      <c r="H49" s="81" t="str">
        <f t="shared" si="2"/>
        <v>USD_YC1YRH_47x59F</v>
      </c>
      <c r="I49" s="81"/>
      <c r="J49" s="96" t="str">
        <f>_xll.ohRangeRetrieveError(I49)</f>
        <v/>
      </c>
      <c r="K49" s="45"/>
    </row>
    <row r="50" spans="1:11" ht="12" thickBot="1" x14ac:dyDescent="0.25">
      <c r="A50" s="59"/>
      <c r="B50" s="60"/>
      <c r="C50" s="60"/>
      <c r="D50" s="60"/>
      <c r="E50" s="60"/>
      <c r="F50" s="60"/>
      <c r="G50" s="60"/>
      <c r="H50" s="60"/>
      <c r="I50" s="97"/>
      <c r="J50" s="97"/>
      <c r="K50" s="61"/>
    </row>
    <row r="52" spans="1:11" x14ac:dyDescent="0.2">
      <c r="D52" s="44"/>
      <c r="E52" s="44"/>
      <c r="F52" s="44"/>
      <c r="I52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K1" sqref="K1"/>
    </sheetView>
  </sheetViews>
  <sheetFormatPr defaultRowHeight="11.25" x14ac:dyDescent="0.2"/>
  <cols>
    <col min="1" max="1" width="2.7109375" style="153" customWidth="1"/>
    <col min="2" max="2" width="3.85546875" style="153" bestFit="1" customWidth="1"/>
    <col min="3" max="3" width="3.28515625" style="153" bestFit="1" customWidth="1"/>
    <col min="4" max="4" width="2.7109375" style="153" bestFit="1" customWidth="1"/>
    <col min="5" max="5" width="4.7109375" style="153" bestFit="1" customWidth="1"/>
    <col min="6" max="6" width="3.5703125" style="153" bestFit="1" customWidth="1"/>
    <col min="7" max="7" width="2.7109375" style="153" bestFit="1" customWidth="1"/>
    <col min="8" max="8" width="16.42578125" style="153" customWidth="1"/>
    <col min="9" max="9" width="27.28515625" style="153" bestFit="1" customWidth="1"/>
    <col min="10" max="10" width="25.85546875" style="153" bestFit="1" customWidth="1"/>
    <col min="11" max="11" width="26.85546875" style="153" bestFit="1" customWidth="1"/>
    <col min="12" max="12" width="21.140625" style="153" customWidth="1"/>
    <col min="13" max="14" width="2.85546875" style="153" customWidth="1"/>
    <col min="15" max="15" width="4" style="153" bestFit="1" customWidth="1"/>
    <col min="16" max="16" width="3.140625" style="153" bestFit="1" customWidth="1"/>
    <col min="17" max="17" width="2.7109375" style="153" bestFit="1" customWidth="1"/>
    <col min="18" max="18" width="3.28515625" style="153" bestFit="1" customWidth="1"/>
    <col min="19" max="20" width="3.5703125" style="153" bestFit="1" customWidth="1"/>
    <col min="21" max="16384" width="9.140625" style="153"/>
  </cols>
  <sheetData>
    <row r="1" spans="1:20" ht="12" thickBot="1" x14ac:dyDescent="0.25">
      <c r="A1" s="149" t="s">
        <v>159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1"/>
      <c r="M1" s="152"/>
    </row>
    <row r="2" spans="1:20" ht="22.5" x14ac:dyDescent="0.2">
      <c r="A2" s="154"/>
      <c r="B2" s="155"/>
      <c r="C2" s="155"/>
      <c r="D2" s="155"/>
      <c r="E2" s="155" t="s">
        <v>133</v>
      </c>
      <c r="F2" s="155"/>
      <c r="G2" s="155"/>
      <c r="H2" s="155" t="s">
        <v>137</v>
      </c>
      <c r="I2" s="155" t="s">
        <v>160</v>
      </c>
      <c r="J2" s="156" t="str">
        <f>Currency&amp;"_020_Sw"&amp;$C$3&amp;$D$3&amp;IF(H3=0,,"_Spr"&amp;$F3&amp;$G3)&amp;".xml"</f>
        <v>USD_020_SwAM3L_Spr12L3L.xml</v>
      </c>
      <c r="K2" s="157" t="str">
        <f>IF(Serialize,_xll.ohObjectSave(K3:K36,SerializationPath&amp;J2,FileOverwrite,Serialize),"---")</f>
        <v>---</v>
      </c>
      <c r="L2" s="158" t="str">
        <f>_xll.ohRangeRetrieveError(K2)</f>
        <v/>
      </c>
      <c r="M2" s="159"/>
      <c r="O2" s="160"/>
      <c r="P2" s="161"/>
      <c r="Q2" s="161"/>
      <c r="R2" s="161"/>
      <c r="S2" s="161"/>
      <c r="T2" s="162"/>
    </row>
    <row r="3" spans="1:20" x14ac:dyDescent="0.2">
      <c r="A3" s="154"/>
      <c r="B3" s="163" t="s">
        <v>39</v>
      </c>
      <c r="C3" s="164" t="str">
        <f t="shared" ref="C3:C36" si="0">VLOOKUP(Currency,$O$3:$T$7,2)</f>
        <v>AM</v>
      </c>
      <c r="D3" s="164" t="str">
        <f t="shared" ref="D3:D36" si="1">VLOOKUP(Currency,$O$3:$T$7,3)</f>
        <v>3L</v>
      </c>
      <c r="E3" s="165" t="s">
        <v>129</v>
      </c>
      <c r="F3" s="164" t="str">
        <f t="shared" ref="F3:F36" si="2">VLOOKUP(Currency,$O$3:$T$7,5)</f>
        <v>12L</v>
      </c>
      <c r="G3" s="164" t="str">
        <f t="shared" ref="G3:G36" si="3">VLOOKUP(Currency,$O$3:$T$7,6)</f>
        <v>3L</v>
      </c>
      <c r="H3" s="166" t="str">
        <f t="shared" ref="H3:H36" si="4">IF(F3=0,0,Currency&amp;$F3&amp;$G3&amp;$B3&amp;QuoteSuffix)</f>
        <v>USD12L3L1Y_Quote</v>
      </c>
      <c r="I3" s="167" t="str">
        <f t="shared" ref="I3:I36" si="5">Currency&amp;FamilyName&amp;"SwapForBasisCalc"&amp;$B3</f>
        <v>USDLiborSwapForBasisCalc1Y</v>
      </c>
      <c r="J3" s="168" t="str">
        <f t="shared" ref="J3:J36" si="6">Currency&amp;$C3&amp;$D3&amp;$B3&amp;IF(H3=0,,"_S"&amp;$F3&amp;$G3)&amp;QuoteSuffix</f>
        <v>USDAM3L1Y_S12L3L_Quote</v>
      </c>
      <c r="K3" s="168" t="str">
        <f>_xll.qlForwardSwapQuote(J3,I3,H3,E3,Permanent,Trigger,ObjectOverwrite)</f>
        <v>USDAM3L1Y_S12L3L_Quote#0001</v>
      </c>
      <c r="L3" s="169" t="str">
        <f>_xll.ohRangeRetrieveError(K3)</f>
        <v/>
      </c>
      <c r="M3" s="159"/>
      <c r="O3" s="170" t="s">
        <v>103</v>
      </c>
      <c r="P3" s="171" t="s">
        <v>55</v>
      </c>
      <c r="Q3" s="171" t="s">
        <v>161</v>
      </c>
      <c r="R3" s="171" t="s">
        <v>162</v>
      </c>
      <c r="S3" s="171" t="s">
        <v>161</v>
      </c>
      <c r="T3" s="172" t="s">
        <v>139</v>
      </c>
    </row>
    <row r="4" spans="1:20" x14ac:dyDescent="0.2">
      <c r="A4" s="154"/>
      <c r="B4" s="163" t="s">
        <v>43</v>
      </c>
      <c r="C4" s="164" t="str">
        <f t="shared" si="0"/>
        <v>AM</v>
      </c>
      <c r="D4" s="164" t="str">
        <f t="shared" si="1"/>
        <v>3L</v>
      </c>
      <c r="E4" s="164" t="str">
        <f t="shared" ref="E4:E36" si="7">E3</f>
        <v>0D</v>
      </c>
      <c r="F4" s="164" t="str">
        <f t="shared" si="2"/>
        <v>12L</v>
      </c>
      <c r="G4" s="164" t="str">
        <f t="shared" si="3"/>
        <v>3L</v>
      </c>
      <c r="H4" s="166" t="str">
        <f t="shared" si="4"/>
        <v>USD12L3L2Y_Quote</v>
      </c>
      <c r="I4" s="173" t="str">
        <f t="shared" si="5"/>
        <v>USDLiborSwapForBasisCalc2Y</v>
      </c>
      <c r="J4" s="168" t="str">
        <f t="shared" si="6"/>
        <v>USDAM3L2Y_S12L3L_Quote</v>
      </c>
      <c r="K4" s="168" t="str">
        <f>_xll.qlForwardSwapQuote(J4,I4,H4,E4,Permanent,Trigger,ObjectOverwrite)</f>
        <v>USDAM3L2Y_S12L3L_Quote#0001</v>
      </c>
      <c r="L4" s="169" t="str">
        <f>_xll.ohRangeRetrieveError(K4)</f>
        <v/>
      </c>
      <c r="M4" s="159"/>
      <c r="O4" s="170" t="s">
        <v>6</v>
      </c>
      <c r="P4" s="171" t="s">
        <v>55</v>
      </c>
      <c r="Q4" s="171" t="s">
        <v>163</v>
      </c>
      <c r="R4" s="171" t="s">
        <v>162</v>
      </c>
      <c r="S4" s="171" t="s">
        <v>163</v>
      </c>
      <c r="T4" s="172" t="s">
        <v>140</v>
      </c>
    </row>
    <row r="5" spans="1:20" x14ac:dyDescent="0.2">
      <c r="A5" s="154"/>
      <c r="B5" s="163" t="s">
        <v>44</v>
      </c>
      <c r="C5" s="164" t="str">
        <f t="shared" si="0"/>
        <v>AM</v>
      </c>
      <c r="D5" s="164" t="str">
        <f t="shared" si="1"/>
        <v>3L</v>
      </c>
      <c r="E5" s="164" t="str">
        <f t="shared" si="7"/>
        <v>0D</v>
      </c>
      <c r="F5" s="164" t="str">
        <f t="shared" si="2"/>
        <v>12L</v>
      </c>
      <c r="G5" s="164" t="str">
        <f t="shared" si="3"/>
        <v>3L</v>
      </c>
      <c r="H5" s="166" t="str">
        <f t="shared" si="4"/>
        <v>USD12L3L3Y_Quote</v>
      </c>
      <c r="I5" s="173" t="str">
        <f t="shared" si="5"/>
        <v>USDLiborSwapForBasisCalc3Y</v>
      </c>
      <c r="J5" s="168" t="str">
        <f t="shared" si="6"/>
        <v>USDAM3L3Y_S12L3L_Quote</v>
      </c>
      <c r="K5" s="168" t="str">
        <f>_xll.qlForwardSwapQuote(J5,I5,H5,E5,Permanent,Trigger,ObjectOverwrite)</f>
        <v>USDAM3L3Y_S12L3L_Quote#0001</v>
      </c>
      <c r="L5" s="169" t="str">
        <f>_xll.ohRangeRetrieveError(K5)</f>
        <v/>
      </c>
      <c r="M5" s="159"/>
      <c r="O5" s="170" t="s">
        <v>104</v>
      </c>
      <c r="P5" s="171" t="s">
        <v>141</v>
      </c>
      <c r="Q5" s="171" t="s">
        <v>161</v>
      </c>
      <c r="R5" s="171" t="s">
        <v>162</v>
      </c>
      <c r="S5" s="171" t="s">
        <v>161</v>
      </c>
      <c r="T5" s="172" t="s">
        <v>139</v>
      </c>
    </row>
    <row r="6" spans="1:20" x14ac:dyDescent="0.2">
      <c r="A6" s="154"/>
      <c r="B6" s="163" t="s">
        <v>45</v>
      </c>
      <c r="C6" s="164" t="str">
        <f t="shared" si="0"/>
        <v>AM</v>
      </c>
      <c r="D6" s="164" t="str">
        <f t="shared" si="1"/>
        <v>3L</v>
      </c>
      <c r="E6" s="164" t="str">
        <f t="shared" si="7"/>
        <v>0D</v>
      </c>
      <c r="F6" s="164" t="str">
        <f t="shared" si="2"/>
        <v>12L</v>
      </c>
      <c r="G6" s="164" t="str">
        <f t="shared" si="3"/>
        <v>3L</v>
      </c>
      <c r="H6" s="166" t="str">
        <f t="shared" si="4"/>
        <v>USD12L3L4Y_Quote</v>
      </c>
      <c r="I6" s="173" t="str">
        <f t="shared" si="5"/>
        <v>USDLiborSwapForBasisCalc4Y</v>
      </c>
      <c r="J6" s="168" t="str">
        <f t="shared" si="6"/>
        <v>USDAM3L4Y_S12L3L_Quote</v>
      </c>
      <c r="K6" s="168" t="str">
        <f>_xll.qlForwardSwapQuote(J6,I6,H6,E6,Permanent,Trigger,ObjectOverwrite)</f>
        <v>USDAM3L4Y_S12L3L_Quote#0001</v>
      </c>
      <c r="L6" s="169" t="str">
        <f>_xll.ohRangeRetrieveError(K6)</f>
        <v/>
      </c>
      <c r="M6" s="159"/>
      <c r="O6" s="170" t="s">
        <v>105</v>
      </c>
      <c r="P6" s="171" t="s">
        <v>141</v>
      </c>
      <c r="Q6" s="171" t="s">
        <v>161</v>
      </c>
      <c r="R6" s="171" t="s">
        <v>162</v>
      </c>
      <c r="S6" s="171" t="s">
        <v>161</v>
      </c>
      <c r="T6" s="172" t="s">
        <v>139</v>
      </c>
    </row>
    <row r="7" spans="1:20" ht="12" thickBot="1" x14ac:dyDescent="0.25">
      <c r="A7" s="154"/>
      <c r="B7" s="163" t="s">
        <v>46</v>
      </c>
      <c r="C7" s="164" t="str">
        <f t="shared" si="0"/>
        <v>AM</v>
      </c>
      <c r="D7" s="164" t="str">
        <f t="shared" si="1"/>
        <v>3L</v>
      </c>
      <c r="E7" s="164" t="str">
        <f t="shared" si="7"/>
        <v>0D</v>
      </c>
      <c r="F7" s="164" t="str">
        <f t="shared" si="2"/>
        <v>12L</v>
      </c>
      <c r="G7" s="164" t="str">
        <f t="shared" si="3"/>
        <v>3L</v>
      </c>
      <c r="H7" s="166" t="str">
        <f t="shared" si="4"/>
        <v>USD12L3L5Y_Quote</v>
      </c>
      <c r="I7" s="173" t="str">
        <f t="shared" si="5"/>
        <v>USDLiborSwapForBasisCalc5Y</v>
      </c>
      <c r="J7" s="168" t="str">
        <f t="shared" si="6"/>
        <v>USDAM3L5Y_S12L3L_Quote</v>
      </c>
      <c r="K7" s="168" t="str">
        <f>_xll.qlForwardSwapQuote(J7,I7,H7,E7,Permanent,Trigger,ObjectOverwrite)</f>
        <v>USDAM3L5Y_S12L3L_Quote#0001</v>
      </c>
      <c r="L7" s="169" t="str">
        <f>_xll.ohRangeRetrieveError(K7)</f>
        <v/>
      </c>
      <c r="M7" s="159"/>
      <c r="O7" s="174" t="s">
        <v>106</v>
      </c>
      <c r="P7" s="175" t="s">
        <v>107</v>
      </c>
      <c r="Q7" s="175" t="s">
        <v>132</v>
      </c>
      <c r="R7" s="175" t="s">
        <v>162</v>
      </c>
      <c r="S7" s="175" t="s">
        <v>139</v>
      </c>
      <c r="T7" s="176" t="s">
        <v>132</v>
      </c>
    </row>
    <row r="8" spans="1:20" x14ac:dyDescent="0.2">
      <c r="A8" s="154"/>
      <c r="B8" s="163" t="s">
        <v>47</v>
      </c>
      <c r="C8" s="164" t="str">
        <f t="shared" si="0"/>
        <v>AM</v>
      </c>
      <c r="D8" s="164" t="str">
        <f t="shared" si="1"/>
        <v>3L</v>
      </c>
      <c r="E8" s="164" t="str">
        <f t="shared" si="7"/>
        <v>0D</v>
      </c>
      <c r="F8" s="164" t="str">
        <f t="shared" si="2"/>
        <v>12L</v>
      </c>
      <c r="G8" s="164" t="str">
        <f t="shared" si="3"/>
        <v>3L</v>
      </c>
      <c r="H8" s="166" t="str">
        <f t="shared" si="4"/>
        <v>USD12L3L6Y_Quote</v>
      </c>
      <c r="I8" s="173" t="str">
        <f t="shared" si="5"/>
        <v>USDLiborSwapForBasisCalc6Y</v>
      </c>
      <c r="J8" s="168" t="str">
        <f t="shared" si="6"/>
        <v>USDAM3L6Y_S12L3L_Quote</v>
      </c>
      <c r="K8" s="168" t="str">
        <f>_xll.qlForwardSwapQuote(J8,I8,H8,E8,Permanent,Trigger,ObjectOverwrite)</f>
        <v>USDAM3L6Y_S12L3L_Quote#0001</v>
      </c>
      <c r="L8" s="169" t="str">
        <f>_xll.ohRangeRetrieveError(K8)</f>
        <v/>
      </c>
      <c r="M8" s="159"/>
    </row>
    <row r="9" spans="1:20" x14ac:dyDescent="0.2">
      <c r="A9" s="154"/>
      <c r="B9" s="163" t="s">
        <v>48</v>
      </c>
      <c r="C9" s="164" t="str">
        <f t="shared" si="0"/>
        <v>AM</v>
      </c>
      <c r="D9" s="164" t="str">
        <f t="shared" si="1"/>
        <v>3L</v>
      </c>
      <c r="E9" s="164" t="str">
        <f t="shared" si="7"/>
        <v>0D</v>
      </c>
      <c r="F9" s="164" t="str">
        <f t="shared" si="2"/>
        <v>12L</v>
      </c>
      <c r="G9" s="164" t="str">
        <f t="shared" si="3"/>
        <v>3L</v>
      </c>
      <c r="H9" s="166" t="str">
        <f t="shared" si="4"/>
        <v>USD12L3L7Y_Quote</v>
      </c>
      <c r="I9" s="173" t="str">
        <f t="shared" si="5"/>
        <v>USDLiborSwapForBasisCalc7Y</v>
      </c>
      <c r="J9" s="168" t="str">
        <f t="shared" si="6"/>
        <v>USDAM3L7Y_S12L3L_Quote</v>
      </c>
      <c r="K9" s="168" t="str">
        <f>_xll.qlForwardSwapQuote(J9,I9,H9,E9,Permanent,Trigger,ObjectOverwrite)</f>
        <v>USDAM3L7Y_S12L3L_Quote#0001</v>
      </c>
      <c r="L9" s="169" t="str">
        <f>_xll.ohRangeRetrieveError(K9)</f>
        <v/>
      </c>
      <c r="M9" s="159"/>
    </row>
    <row r="10" spans="1:20" x14ac:dyDescent="0.2">
      <c r="A10" s="154"/>
      <c r="B10" s="163" t="s">
        <v>49</v>
      </c>
      <c r="C10" s="164" t="str">
        <f t="shared" si="0"/>
        <v>AM</v>
      </c>
      <c r="D10" s="164" t="str">
        <f t="shared" si="1"/>
        <v>3L</v>
      </c>
      <c r="E10" s="164" t="str">
        <f t="shared" si="7"/>
        <v>0D</v>
      </c>
      <c r="F10" s="164" t="str">
        <f t="shared" si="2"/>
        <v>12L</v>
      </c>
      <c r="G10" s="164" t="str">
        <f t="shared" si="3"/>
        <v>3L</v>
      </c>
      <c r="H10" s="166" t="str">
        <f t="shared" si="4"/>
        <v>USD12L3L8Y_Quote</v>
      </c>
      <c r="I10" s="173" t="str">
        <f t="shared" si="5"/>
        <v>USDLiborSwapForBasisCalc8Y</v>
      </c>
      <c r="J10" s="168" t="str">
        <f t="shared" si="6"/>
        <v>USDAM3L8Y_S12L3L_Quote</v>
      </c>
      <c r="K10" s="168" t="str">
        <f>_xll.qlForwardSwapQuote(J10,I10,H10,E10,Permanent,Trigger,ObjectOverwrite)</f>
        <v>USDAM3L8Y_S12L3L_Quote#0001</v>
      </c>
      <c r="L10" s="169" t="str">
        <f>_xll.ohRangeRetrieveError(K10)</f>
        <v/>
      </c>
      <c r="M10" s="159"/>
    </row>
    <row r="11" spans="1:20" x14ac:dyDescent="0.2">
      <c r="A11" s="154"/>
      <c r="B11" s="163" t="s">
        <v>50</v>
      </c>
      <c r="C11" s="164" t="str">
        <f t="shared" si="0"/>
        <v>AM</v>
      </c>
      <c r="D11" s="164" t="str">
        <f t="shared" si="1"/>
        <v>3L</v>
      </c>
      <c r="E11" s="164" t="str">
        <f t="shared" si="7"/>
        <v>0D</v>
      </c>
      <c r="F11" s="164" t="str">
        <f t="shared" si="2"/>
        <v>12L</v>
      </c>
      <c r="G11" s="164" t="str">
        <f t="shared" si="3"/>
        <v>3L</v>
      </c>
      <c r="H11" s="166" t="str">
        <f t="shared" si="4"/>
        <v>USD12L3L9Y_Quote</v>
      </c>
      <c r="I11" s="173" t="str">
        <f t="shared" si="5"/>
        <v>USDLiborSwapForBasisCalc9Y</v>
      </c>
      <c r="J11" s="168" t="str">
        <f t="shared" si="6"/>
        <v>USDAM3L9Y_S12L3L_Quote</v>
      </c>
      <c r="K11" s="168" t="str">
        <f>_xll.qlForwardSwapQuote(J11,I11,H11,E11,Permanent,Trigger,ObjectOverwrite)</f>
        <v>USDAM3L9Y_S12L3L_Quote#0001</v>
      </c>
      <c r="L11" s="169" t="str">
        <f>_xll.ohRangeRetrieveError(K11)</f>
        <v/>
      </c>
      <c r="M11" s="159"/>
    </row>
    <row r="12" spans="1:20" x14ac:dyDescent="0.2">
      <c r="A12" s="154"/>
      <c r="B12" s="163" t="s">
        <v>51</v>
      </c>
      <c r="C12" s="164" t="str">
        <f t="shared" si="0"/>
        <v>AM</v>
      </c>
      <c r="D12" s="164" t="str">
        <f t="shared" si="1"/>
        <v>3L</v>
      </c>
      <c r="E12" s="164" t="str">
        <f t="shared" si="7"/>
        <v>0D</v>
      </c>
      <c r="F12" s="164" t="str">
        <f t="shared" si="2"/>
        <v>12L</v>
      </c>
      <c r="G12" s="164" t="str">
        <f t="shared" si="3"/>
        <v>3L</v>
      </c>
      <c r="H12" s="166" t="str">
        <f t="shared" si="4"/>
        <v>USD12L3L10Y_Quote</v>
      </c>
      <c r="I12" s="173" t="str">
        <f t="shared" si="5"/>
        <v>USDLiborSwapForBasisCalc10Y</v>
      </c>
      <c r="J12" s="168" t="str">
        <f t="shared" si="6"/>
        <v>USDAM3L10Y_S12L3L_Quote</v>
      </c>
      <c r="K12" s="168" t="str">
        <f>_xll.qlForwardSwapQuote(J12,I12,H12,E12,Permanent,Trigger,ObjectOverwrite)</f>
        <v>USDAM3L10Y_S12L3L_Quote#0001</v>
      </c>
      <c r="L12" s="169" t="str">
        <f>_xll.ohRangeRetrieveError(K12)</f>
        <v/>
      </c>
      <c r="M12" s="159"/>
    </row>
    <row r="13" spans="1:20" x14ac:dyDescent="0.2">
      <c r="A13" s="154"/>
      <c r="B13" s="163" t="s">
        <v>59</v>
      </c>
      <c r="C13" s="164" t="str">
        <f t="shared" si="0"/>
        <v>AM</v>
      </c>
      <c r="D13" s="164" t="str">
        <f t="shared" si="1"/>
        <v>3L</v>
      </c>
      <c r="E13" s="164" t="str">
        <f t="shared" si="7"/>
        <v>0D</v>
      </c>
      <c r="F13" s="164" t="str">
        <f t="shared" si="2"/>
        <v>12L</v>
      </c>
      <c r="G13" s="164" t="str">
        <f t="shared" si="3"/>
        <v>3L</v>
      </c>
      <c r="H13" s="166" t="str">
        <f t="shared" si="4"/>
        <v>USD12L3L11Y_Quote</v>
      </c>
      <c r="I13" s="173" t="str">
        <f t="shared" si="5"/>
        <v>USDLiborSwapForBasisCalc11Y</v>
      </c>
      <c r="J13" s="168" t="str">
        <f t="shared" si="6"/>
        <v>USDAM3L11Y_S12L3L_Quote</v>
      </c>
      <c r="K13" s="168" t="str">
        <f>_xll.qlForwardSwapQuote(J13,I13,H13,E13,Permanent,Trigger,ObjectOverwrite)</f>
        <v>USDAM3L11Y_S12L3L_Quote#0001</v>
      </c>
      <c r="L13" s="169" t="str">
        <f>_xll.ohRangeRetrieveError(K13)</f>
        <v/>
      </c>
      <c r="M13" s="159"/>
    </row>
    <row r="14" spans="1:20" x14ac:dyDescent="0.2">
      <c r="A14" s="154"/>
      <c r="B14" s="163" t="s">
        <v>60</v>
      </c>
      <c r="C14" s="164" t="str">
        <f t="shared" si="0"/>
        <v>AM</v>
      </c>
      <c r="D14" s="164" t="str">
        <f t="shared" si="1"/>
        <v>3L</v>
      </c>
      <c r="E14" s="164" t="str">
        <f t="shared" si="7"/>
        <v>0D</v>
      </c>
      <c r="F14" s="164" t="str">
        <f t="shared" si="2"/>
        <v>12L</v>
      </c>
      <c r="G14" s="164" t="str">
        <f t="shared" si="3"/>
        <v>3L</v>
      </c>
      <c r="H14" s="166" t="str">
        <f t="shared" si="4"/>
        <v>USD12L3L12Y_Quote</v>
      </c>
      <c r="I14" s="173" t="str">
        <f t="shared" si="5"/>
        <v>USDLiborSwapForBasisCalc12Y</v>
      </c>
      <c r="J14" s="168" t="str">
        <f t="shared" si="6"/>
        <v>USDAM3L12Y_S12L3L_Quote</v>
      </c>
      <c r="K14" s="168" t="str">
        <f>_xll.qlForwardSwapQuote(J14,I14,H14,E14,Permanent,Trigger,ObjectOverwrite)</f>
        <v>USDAM3L12Y_S12L3L_Quote#0001</v>
      </c>
      <c r="L14" s="169" t="str">
        <f>_xll.ohRangeRetrieveError(K14)</f>
        <v/>
      </c>
      <c r="M14" s="159"/>
    </row>
    <row r="15" spans="1:20" x14ac:dyDescent="0.2">
      <c r="A15" s="154"/>
      <c r="B15" s="163" t="s">
        <v>61</v>
      </c>
      <c r="C15" s="164" t="str">
        <f t="shared" si="0"/>
        <v>AM</v>
      </c>
      <c r="D15" s="164" t="str">
        <f t="shared" si="1"/>
        <v>3L</v>
      </c>
      <c r="E15" s="164" t="str">
        <f t="shared" si="7"/>
        <v>0D</v>
      </c>
      <c r="F15" s="164" t="str">
        <f t="shared" si="2"/>
        <v>12L</v>
      </c>
      <c r="G15" s="164" t="str">
        <f t="shared" si="3"/>
        <v>3L</v>
      </c>
      <c r="H15" s="166" t="str">
        <f t="shared" si="4"/>
        <v>USD12L3L13Y_Quote</v>
      </c>
      <c r="I15" s="173" t="str">
        <f t="shared" si="5"/>
        <v>USDLiborSwapForBasisCalc13Y</v>
      </c>
      <c r="J15" s="168" t="str">
        <f t="shared" si="6"/>
        <v>USDAM3L13Y_S12L3L_Quote</v>
      </c>
      <c r="K15" s="168" t="str">
        <f>_xll.qlForwardSwapQuote(J15,I15,H15,E15,Permanent,Trigger,ObjectOverwrite)</f>
        <v>USDAM3L13Y_S12L3L_Quote#0001</v>
      </c>
      <c r="L15" s="169" t="str">
        <f>_xll.ohRangeRetrieveError(K15)</f>
        <v/>
      </c>
      <c r="M15" s="159"/>
    </row>
    <row r="16" spans="1:20" x14ac:dyDescent="0.2">
      <c r="A16" s="154"/>
      <c r="B16" s="163" t="s">
        <v>62</v>
      </c>
      <c r="C16" s="164" t="str">
        <f t="shared" si="0"/>
        <v>AM</v>
      </c>
      <c r="D16" s="164" t="str">
        <f t="shared" si="1"/>
        <v>3L</v>
      </c>
      <c r="E16" s="164" t="str">
        <f t="shared" si="7"/>
        <v>0D</v>
      </c>
      <c r="F16" s="164" t="str">
        <f t="shared" si="2"/>
        <v>12L</v>
      </c>
      <c r="G16" s="164" t="str">
        <f t="shared" si="3"/>
        <v>3L</v>
      </c>
      <c r="H16" s="166" t="str">
        <f t="shared" si="4"/>
        <v>USD12L3L14Y_Quote</v>
      </c>
      <c r="I16" s="173" t="str">
        <f t="shared" si="5"/>
        <v>USDLiborSwapForBasisCalc14Y</v>
      </c>
      <c r="J16" s="168" t="str">
        <f t="shared" si="6"/>
        <v>USDAM3L14Y_S12L3L_Quote</v>
      </c>
      <c r="K16" s="168" t="str">
        <f>_xll.qlForwardSwapQuote(J16,I16,H16,E16,Permanent,Trigger,ObjectOverwrite)</f>
        <v>USDAM3L14Y_S12L3L_Quote#0001</v>
      </c>
      <c r="L16" s="169" t="str">
        <f>_xll.ohRangeRetrieveError(K16)</f>
        <v/>
      </c>
      <c r="M16" s="159"/>
    </row>
    <row r="17" spans="1:13" x14ac:dyDescent="0.2">
      <c r="A17" s="154"/>
      <c r="B17" s="163" t="s">
        <v>52</v>
      </c>
      <c r="C17" s="164" t="str">
        <f t="shared" si="0"/>
        <v>AM</v>
      </c>
      <c r="D17" s="164" t="str">
        <f t="shared" si="1"/>
        <v>3L</v>
      </c>
      <c r="E17" s="164" t="str">
        <f t="shared" si="7"/>
        <v>0D</v>
      </c>
      <c r="F17" s="164" t="str">
        <f t="shared" si="2"/>
        <v>12L</v>
      </c>
      <c r="G17" s="164" t="str">
        <f t="shared" si="3"/>
        <v>3L</v>
      </c>
      <c r="H17" s="166" t="str">
        <f t="shared" si="4"/>
        <v>USD12L3L15Y_Quote</v>
      </c>
      <c r="I17" s="173" t="str">
        <f t="shared" si="5"/>
        <v>USDLiborSwapForBasisCalc15Y</v>
      </c>
      <c r="J17" s="168" t="str">
        <f t="shared" si="6"/>
        <v>USDAM3L15Y_S12L3L_Quote</v>
      </c>
      <c r="K17" s="168" t="str">
        <f>_xll.qlForwardSwapQuote(J17,I17,H17,E17,Permanent,Trigger,ObjectOverwrite)</f>
        <v>USDAM3L15Y_S12L3L_Quote#0001</v>
      </c>
      <c r="L17" s="169" t="str">
        <f>_xll.ohRangeRetrieveError(K17)</f>
        <v/>
      </c>
      <c r="M17" s="159"/>
    </row>
    <row r="18" spans="1:13" x14ac:dyDescent="0.2">
      <c r="A18" s="154"/>
      <c r="B18" s="163" t="s">
        <v>63</v>
      </c>
      <c r="C18" s="164" t="str">
        <f t="shared" si="0"/>
        <v>AM</v>
      </c>
      <c r="D18" s="164" t="str">
        <f t="shared" si="1"/>
        <v>3L</v>
      </c>
      <c r="E18" s="164" t="str">
        <f t="shared" si="7"/>
        <v>0D</v>
      </c>
      <c r="F18" s="164" t="str">
        <f t="shared" si="2"/>
        <v>12L</v>
      </c>
      <c r="G18" s="164" t="str">
        <f t="shared" si="3"/>
        <v>3L</v>
      </c>
      <c r="H18" s="166" t="str">
        <f t="shared" si="4"/>
        <v>USD12L3L16Y_Quote</v>
      </c>
      <c r="I18" s="173" t="str">
        <f t="shared" si="5"/>
        <v>USDLiborSwapForBasisCalc16Y</v>
      </c>
      <c r="J18" s="168" t="str">
        <f t="shared" si="6"/>
        <v>USDAM3L16Y_S12L3L_Quote</v>
      </c>
      <c r="K18" s="168" t="str">
        <f>_xll.qlForwardSwapQuote(J18,I18,H18,E18,Permanent,Trigger,ObjectOverwrite)</f>
        <v>USDAM3L16Y_S12L3L_Quote#0001</v>
      </c>
      <c r="L18" s="169" t="str">
        <f>_xll.ohRangeRetrieveError(K18)</f>
        <v/>
      </c>
      <c r="M18" s="159"/>
    </row>
    <row r="19" spans="1:13" x14ac:dyDescent="0.2">
      <c r="A19" s="154"/>
      <c r="B19" s="163" t="s">
        <v>64</v>
      </c>
      <c r="C19" s="164" t="str">
        <f t="shared" si="0"/>
        <v>AM</v>
      </c>
      <c r="D19" s="164" t="str">
        <f t="shared" si="1"/>
        <v>3L</v>
      </c>
      <c r="E19" s="164" t="str">
        <f t="shared" si="7"/>
        <v>0D</v>
      </c>
      <c r="F19" s="164" t="str">
        <f t="shared" si="2"/>
        <v>12L</v>
      </c>
      <c r="G19" s="164" t="str">
        <f t="shared" si="3"/>
        <v>3L</v>
      </c>
      <c r="H19" s="166" t="str">
        <f t="shared" si="4"/>
        <v>USD12L3L17Y_Quote</v>
      </c>
      <c r="I19" s="173" t="str">
        <f t="shared" si="5"/>
        <v>USDLiborSwapForBasisCalc17Y</v>
      </c>
      <c r="J19" s="168" t="str">
        <f t="shared" si="6"/>
        <v>USDAM3L17Y_S12L3L_Quote</v>
      </c>
      <c r="K19" s="168" t="str">
        <f>_xll.qlForwardSwapQuote(J19,I19,H19,E19,Permanent,Trigger,ObjectOverwrite)</f>
        <v>USDAM3L17Y_S12L3L_Quote#0001</v>
      </c>
      <c r="L19" s="169" t="str">
        <f>_xll.ohRangeRetrieveError(K19)</f>
        <v/>
      </c>
      <c r="M19" s="159"/>
    </row>
    <row r="20" spans="1:13" x14ac:dyDescent="0.2">
      <c r="A20" s="154"/>
      <c r="B20" s="163" t="s">
        <v>65</v>
      </c>
      <c r="C20" s="164" t="str">
        <f t="shared" si="0"/>
        <v>AM</v>
      </c>
      <c r="D20" s="164" t="str">
        <f t="shared" si="1"/>
        <v>3L</v>
      </c>
      <c r="E20" s="164" t="str">
        <f t="shared" si="7"/>
        <v>0D</v>
      </c>
      <c r="F20" s="164" t="str">
        <f t="shared" si="2"/>
        <v>12L</v>
      </c>
      <c r="G20" s="164" t="str">
        <f t="shared" si="3"/>
        <v>3L</v>
      </c>
      <c r="H20" s="166" t="str">
        <f t="shared" si="4"/>
        <v>USD12L3L18Y_Quote</v>
      </c>
      <c r="I20" s="173" t="str">
        <f t="shared" si="5"/>
        <v>USDLiborSwapForBasisCalc18Y</v>
      </c>
      <c r="J20" s="168" t="str">
        <f t="shared" si="6"/>
        <v>USDAM3L18Y_S12L3L_Quote</v>
      </c>
      <c r="K20" s="168" t="str">
        <f>_xll.qlForwardSwapQuote(J20,I20,H20,E20,Permanent,Trigger,ObjectOverwrite)</f>
        <v>USDAM3L18Y_S12L3L_Quote#0001</v>
      </c>
      <c r="L20" s="169" t="str">
        <f>_xll.ohRangeRetrieveError(K20)</f>
        <v/>
      </c>
      <c r="M20" s="159"/>
    </row>
    <row r="21" spans="1:13" x14ac:dyDescent="0.2">
      <c r="A21" s="154"/>
      <c r="B21" s="163" t="s">
        <v>66</v>
      </c>
      <c r="C21" s="164" t="str">
        <f t="shared" si="0"/>
        <v>AM</v>
      </c>
      <c r="D21" s="164" t="str">
        <f t="shared" si="1"/>
        <v>3L</v>
      </c>
      <c r="E21" s="164" t="str">
        <f t="shared" si="7"/>
        <v>0D</v>
      </c>
      <c r="F21" s="164" t="str">
        <f t="shared" si="2"/>
        <v>12L</v>
      </c>
      <c r="G21" s="164" t="str">
        <f t="shared" si="3"/>
        <v>3L</v>
      </c>
      <c r="H21" s="166" t="str">
        <f t="shared" si="4"/>
        <v>USD12L3L19Y_Quote</v>
      </c>
      <c r="I21" s="173" t="str">
        <f t="shared" si="5"/>
        <v>USDLiborSwapForBasisCalc19Y</v>
      </c>
      <c r="J21" s="168" t="str">
        <f t="shared" si="6"/>
        <v>USDAM3L19Y_S12L3L_Quote</v>
      </c>
      <c r="K21" s="168" t="str">
        <f>_xll.qlForwardSwapQuote(J21,I21,H21,E21,Permanent,Trigger,ObjectOverwrite)</f>
        <v>USDAM3L19Y_S12L3L_Quote#0001</v>
      </c>
      <c r="L21" s="169" t="str">
        <f>_xll.ohRangeRetrieveError(K21)</f>
        <v/>
      </c>
      <c r="M21" s="159"/>
    </row>
    <row r="22" spans="1:13" x14ac:dyDescent="0.2">
      <c r="A22" s="154"/>
      <c r="B22" s="163" t="s">
        <v>53</v>
      </c>
      <c r="C22" s="164" t="str">
        <f t="shared" si="0"/>
        <v>AM</v>
      </c>
      <c r="D22" s="164" t="str">
        <f t="shared" si="1"/>
        <v>3L</v>
      </c>
      <c r="E22" s="164" t="str">
        <f t="shared" si="7"/>
        <v>0D</v>
      </c>
      <c r="F22" s="164" t="str">
        <f t="shared" si="2"/>
        <v>12L</v>
      </c>
      <c r="G22" s="164" t="str">
        <f t="shared" si="3"/>
        <v>3L</v>
      </c>
      <c r="H22" s="166" t="str">
        <f t="shared" si="4"/>
        <v>USD12L3L20Y_Quote</v>
      </c>
      <c r="I22" s="173" t="str">
        <f t="shared" si="5"/>
        <v>USDLiborSwapForBasisCalc20Y</v>
      </c>
      <c r="J22" s="168" t="str">
        <f t="shared" si="6"/>
        <v>USDAM3L20Y_S12L3L_Quote</v>
      </c>
      <c r="K22" s="168" t="str">
        <f>_xll.qlForwardSwapQuote(J22,I22,H22,E22,Permanent,Trigger,ObjectOverwrite)</f>
        <v>USDAM3L20Y_S12L3L_Quote#0001</v>
      </c>
      <c r="L22" s="169" t="str">
        <f>_xll.ohRangeRetrieveError(K22)</f>
        <v/>
      </c>
      <c r="M22" s="159"/>
    </row>
    <row r="23" spans="1:13" x14ac:dyDescent="0.2">
      <c r="A23" s="154"/>
      <c r="B23" s="163" t="s">
        <v>67</v>
      </c>
      <c r="C23" s="164" t="str">
        <f t="shared" si="0"/>
        <v>AM</v>
      </c>
      <c r="D23" s="164" t="str">
        <f t="shared" si="1"/>
        <v>3L</v>
      </c>
      <c r="E23" s="164" t="str">
        <f t="shared" si="7"/>
        <v>0D</v>
      </c>
      <c r="F23" s="164" t="str">
        <f t="shared" si="2"/>
        <v>12L</v>
      </c>
      <c r="G23" s="164" t="str">
        <f t="shared" si="3"/>
        <v>3L</v>
      </c>
      <c r="H23" s="166" t="str">
        <f t="shared" si="4"/>
        <v>USD12L3L21Y_Quote</v>
      </c>
      <c r="I23" s="173" t="str">
        <f t="shared" si="5"/>
        <v>USDLiborSwapForBasisCalc21Y</v>
      </c>
      <c r="J23" s="168" t="str">
        <f t="shared" si="6"/>
        <v>USDAM3L21Y_S12L3L_Quote</v>
      </c>
      <c r="K23" s="168" t="str">
        <f>_xll.qlForwardSwapQuote(J23,I23,H23,E23,Permanent,Trigger,ObjectOverwrite)</f>
        <v>USDAM3L21Y_S12L3L_Quote#0001</v>
      </c>
      <c r="L23" s="169" t="str">
        <f>_xll.ohRangeRetrieveError(K23)</f>
        <v/>
      </c>
      <c r="M23" s="159"/>
    </row>
    <row r="24" spans="1:13" x14ac:dyDescent="0.2">
      <c r="A24" s="154"/>
      <c r="B24" s="163" t="s">
        <v>68</v>
      </c>
      <c r="C24" s="164" t="str">
        <f t="shared" si="0"/>
        <v>AM</v>
      </c>
      <c r="D24" s="164" t="str">
        <f t="shared" si="1"/>
        <v>3L</v>
      </c>
      <c r="E24" s="164" t="str">
        <f t="shared" si="7"/>
        <v>0D</v>
      </c>
      <c r="F24" s="164" t="str">
        <f t="shared" si="2"/>
        <v>12L</v>
      </c>
      <c r="G24" s="164" t="str">
        <f t="shared" si="3"/>
        <v>3L</v>
      </c>
      <c r="H24" s="166" t="str">
        <f t="shared" si="4"/>
        <v>USD12L3L22Y_Quote</v>
      </c>
      <c r="I24" s="173" t="str">
        <f t="shared" si="5"/>
        <v>USDLiborSwapForBasisCalc22Y</v>
      </c>
      <c r="J24" s="168" t="str">
        <f t="shared" si="6"/>
        <v>USDAM3L22Y_S12L3L_Quote</v>
      </c>
      <c r="K24" s="168" t="str">
        <f>_xll.qlForwardSwapQuote(J24,I24,H24,E24,Permanent,Trigger,ObjectOverwrite)</f>
        <v>USDAM3L22Y_S12L3L_Quote#0001</v>
      </c>
      <c r="L24" s="169" t="str">
        <f>_xll.ohRangeRetrieveError(K24)</f>
        <v/>
      </c>
      <c r="M24" s="159"/>
    </row>
    <row r="25" spans="1:13" x14ac:dyDescent="0.2">
      <c r="A25" s="154"/>
      <c r="B25" s="163" t="s">
        <v>69</v>
      </c>
      <c r="C25" s="164" t="str">
        <f t="shared" si="0"/>
        <v>AM</v>
      </c>
      <c r="D25" s="164" t="str">
        <f t="shared" si="1"/>
        <v>3L</v>
      </c>
      <c r="E25" s="164" t="str">
        <f t="shared" si="7"/>
        <v>0D</v>
      </c>
      <c r="F25" s="164" t="str">
        <f t="shared" si="2"/>
        <v>12L</v>
      </c>
      <c r="G25" s="164" t="str">
        <f t="shared" si="3"/>
        <v>3L</v>
      </c>
      <c r="H25" s="166" t="str">
        <f t="shared" si="4"/>
        <v>USD12L3L23Y_Quote</v>
      </c>
      <c r="I25" s="173" t="str">
        <f t="shared" si="5"/>
        <v>USDLiborSwapForBasisCalc23Y</v>
      </c>
      <c r="J25" s="168" t="str">
        <f t="shared" si="6"/>
        <v>USDAM3L23Y_S12L3L_Quote</v>
      </c>
      <c r="K25" s="168" t="str">
        <f>_xll.qlForwardSwapQuote(J25,I25,H25,E25,Permanent,Trigger,ObjectOverwrite)</f>
        <v>USDAM3L23Y_S12L3L_Quote#0001</v>
      </c>
      <c r="L25" s="169" t="str">
        <f>_xll.ohRangeRetrieveError(K25)</f>
        <v/>
      </c>
      <c r="M25" s="159"/>
    </row>
    <row r="26" spans="1:13" x14ac:dyDescent="0.2">
      <c r="A26" s="154"/>
      <c r="B26" s="163" t="s">
        <v>70</v>
      </c>
      <c r="C26" s="164" t="str">
        <f t="shared" si="0"/>
        <v>AM</v>
      </c>
      <c r="D26" s="164" t="str">
        <f t="shared" si="1"/>
        <v>3L</v>
      </c>
      <c r="E26" s="164" t="str">
        <f t="shared" si="7"/>
        <v>0D</v>
      </c>
      <c r="F26" s="164" t="str">
        <f t="shared" si="2"/>
        <v>12L</v>
      </c>
      <c r="G26" s="164" t="str">
        <f t="shared" si="3"/>
        <v>3L</v>
      </c>
      <c r="H26" s="166" t="str">
        <f t="shared" si="4"/>
        <v>USD12L3L24Y_Quote</v>
      </c>
      <c r="I26" s="173" t="str">
        <f t="shared" si="5"/>
        <v>USDLiborSwapForBasisCalc24Y</v>
      </c>
      <c r="J26" s="168" t="str">
        <f t="shared" si="6"/>
        <v>USDAM3L24Y_S12L3L_Quote</v>
      </c>
      <c r="K26" s="168" t="str">
        <f>_xll.qlForwardSwapQuote(J26,I26,H26,E26,Permanent,Trigger,ObjectOverwrite)</f>
        <v>USDAM3L24Y_S12L3L_Quote#0001</v>
      </c>
      <c r="L26" s="169" t="str">
        <f>_xll.ohRangeRetrieveError(K26)</f>
        <v/>
      </c>
      <c r="M26" s="159"/>
    </row>
    <row r="27" spans="1:13" x14ac:dyDescent="0.2">
      <c r="A27" s="154"/>
      <c r="B27" s="163" t="s">
        <v>71</v>
      </c>
      <c r="C27" s="164" t="str">
        <f t="shared" si="0"/>
        <v>AM</v>
      </c>
      <c r="D27" s="164" t="str">
        <f t="shared" si="1"/>
        <v>3L</v>
      </c>
      <c r="E27" s="164" t="str">
        <f t="shared" si="7"/>
        <v>0D</v>
      </c>
      <c r="F27" s="164" t="str">
        <f t="shared" si="2"/>
        <v>12L</v>
      </c>
      <c r="G27" s="164" t="str">
        <f t="shared" si="3"/>
        <v>3L</v>
      </c>
      <c r="H27" s="166" t="str">
        <f t="shared" si="4"/>
        <v>USD12L3L25Y_Quote</v>
      </c>
      <c r="I27" s="173" t="str">
        <f t="shared" si="5"/>
        <v>USDLiborSwapForBasisCalc25Y</v>
      </c>
      <c r="J27" s="168" t="str">
        <f t="shared" si="6"/>
        <v>USDAM3L25Y_S12L3L_Quote</v>
      </c>
      <c r="K27" s="168" t="str">
        <f>_xll.qlForwardSwapQuote(J27,I27,H27,E27,Permanent,Trigger,ObjectOverwrite)</f>
        <v>USDAM3L25Y_S12L3L_Quote#0001</v>
      </c>
      <c r="L27" s="169" t="str">
        <f>_xll.ohRangeRetrieveError(K27)</f>
        <v/>
      </c>
      <c r="M27" s="159"/>
    </row>
    <row r="28" spans="1:13" x14ac:dyDescent="0.2">
      <c r="A28" s="154"/>
      <c r="B28" s="163" t="s">
        <v>72</v>
      </c>
      <c r="C28" s="164" t="str">
        <f t="shared" si="0"/>
        <v>AM</v>
      </c>
      <c r="D28" s="164" t="str">
        <f t="shared" si="1"/>
        <v>3L</v>
      </c>
      <c r="E28" s="164" t="str">
        <f t="shared" si="7"/>
        <v>0D</v>
      </c>
      <c r="F28" s="164" t="str">
        <f t="shared" si="2"/>
        <v>12L</v>
      </c>
      <c r="G28" s="164" t="str">
        <f t="shared" si="3"/>
        <v>3L</v>
      </c>
      <c r="H28" s="166" t="str">
        <f t="shared" si="4"/>
        <v>USD12L3L26Y_Quote</v>
      </c>
      <c r="I28" s="173" t="str">
        <f t="shared" si="5"/>
        <v>USDLiborSwapForBasisCalc26Y</v>
      </c>
      <c r="J28" s="168" t="str">
        <f t="shared" si="6"/>
        <v>USDAM3L26Y_S12L3L_Quote</v>
      </c>
      <c r="K28" s="168" t="str">
        <f>_xll.qlForwardSwapQuote(J28,I28,H28,E28,Permanent,Trigger,ObjectOverwrite)</f>
        <v>USDAM3L26Y_S12L3L_Quote#0001</v>
      </c>
      <c r="L28" s="169" t="str">
        <f>_xll.ohRangeRetrieveError(K28)</f>
        <v/>
      </c>
      <c r="M28" s="159"/>
    </row>
    <row r="29" spans="1:13" x14ac:dyDescent="0.2">
      <c r="A29" s="154"/>
      <c r="B29" s="163" t="s">
        <v>73</v>
      </c>
      <c r="C29" s="164" t="str">
        <f t="shared" si="0"/>
        <v>AM</v>
      </c>
      <c r="D29" s="164" t="str">
        <f t="shared" si="1"/>
        <v>3L</v>
      </c>
      <c r="E29" s="164" t="str">
        <f t="shared" si="7"/>
        <v>0D</v>
      </c>
      <c r="F29" s="164" t="str">
        <f t="shared" si="2"/>
        <v>12L</v>
      </c>
      <c r="G29" s="164" t="str">
        <f t="shared" si="3"/>
        <v>3L</v>
      </c>
      <c r="H29" s="166" t="str">
        <f t="shared" si="4"/>
        <v>USD12L3L27Y_Quote</v>
      </c>
      <c r="I29" s="173" t="str">
        <f t="shared" si="5"/>
        <v>USDLiborSwapForBasisCalc27Y</v>
      </c>
      <c r="J29" s="168" t="str">
        <f t="shared" si="6"/>
        <v>USDAM3L27Y_S12L3L_Quote</v>
      </c>
      <c r="K29" s="168" t="str">
        <f>_xll.qlForwardSwapQuote(J29,I29,H29,E29,Permanent,Trigger,ObjectOverwrite)</f>
        <v>USDAM3L27Y_S12L3L_Quote#0001</v>
      </c>
      <c r="L29" s="169" t="str">
        <f>_xll.ohRangeRetrieveError(K29)</f>
        <v/>
      </c>
      <c r="M29" s="159"/>
    </row>
    <row r="30" spans="1:13" x14ac:dyDescent="0.2">
      <c r="A30" s="154"/>
      <c r="B30" s="163" t="s">
        <v>74</v>
      </c>
      <c r="C30" s="164" t="str">
        <f t="shared" si="0"/>
        <v>AM</v>
      </c>
      <c r="D30" s="164" t="str">
        <f t="shared" si="1"/>
        <v>3L</v>
      </c>
      <c r="E30" s="164" t="str">
        <f t="shared" si="7"/>
        <v>0D</v>
      </c>
      <c r="F30" s="164" t="str">
        <f t="shared" si="2"/>
        <v>12L</v>
      </c>
      <c r="G30" s="164" t="str">
        <f t="shared" si="3"/>
        <v>3L</v>
      </c>
      <c r="H30" s="166" t="str">
        <f t="shared" si="4"/>
        <v>USD12L3L28Y_Quote</v>
      </c>
      <c r="I30" s="173" t="str">
        <f t="shared" si="5"/>
        <v>USDLiborSwapForBasisCalc28Y</v>
      </c>
      <c r="J30" s="168" t="str">
        <f t="shared" si="6"/>
        <v>USDAM3L28Y_S12L3L_Quote</v>
      </c>
      <c r="K30" s="168" t="str">
        <f>_xll.qlForwardSwapQuote(J30,I30,H30,E30,Permanent,Trigger,ObjectOverwrite)</f>
        <v>USDAM3L28Y_S12L3L_Quote#0001</v>
      </c>
      <c r="L30" s="169" t="str">
        <f>_xll.ohRangeRetrieveError(K30)</f>
        <v/>
      </c>
      <c r="M30" s="159"/>
    </row>
    <row r="31" spans="1:13" x14ac:dyDescent="0.2">
      <c r="A31" s="154"/>
      <c r="B31" s="163" t="s">
        <v>75</v>
      </c>
      <c r="C31" s="164" t="str">
        <f t="shared" si="0"/>
        <v>AM</v>
      </c>
      <c r="D31" s="164" t="str">
        <f t="shared" si="1"/>
        <v>3L</v>
      </c>
      <c r="E31" s="164" t="str">
        <f t="shared" si="7"/>
        <v>0D</v>
      </c>
      <c r="F31" s="164" t="str">
        <f t="shared" si="2"/>
        <v>12L</v>
      </c>
      <c r="G31" s="164" t="str">
        <f t="shared" si="3"/>
        <v>3L</v>
      </c>
      <c r="H31" s="166" t="str">
        <f t="shared" si="4"/>
        <v>USD12L3L29Y_Quote</v>
      </c>
      <c r="I31" s="173" t="str">
        <f t="shared" si="5"/>
        <v>USDLiborSwapForBasisCalc29Y</v>
      </c>
      <c r="J31" s="168" t="str">
        <f t="shared" si="6"/>
        <v>USDAM3L29Y_S12L3L_Quote</v>
      </c>
      <c r="K31" s="168" t="str">
        <f>_xll.qlForwardSwapQuote(J31,I31,H31,E31,Permanent,Trigger,ObjectOverwrite)</f>
        <v>USDAM3L29Y_S12L3L_Quote#0001</v>
      </c>
      <c r="L31" s="169" t="str">
        <f>_xll.ohRangeRetrieveError(K31)</f>
        <v/>
      </c>
      <c r="M31" s="159"/>
    </row>
    <row r="32" spans="1:13" x14ac:dyDescent="0.2">
      <c r="A32" s="154"/>
      <c r="B32" s="163" t="s">
        <v>54</v>
      </c>
      <c r="C32" s="164" t="str">
        <f t="shared" si="0"/>
        <v>AM</v>
      </c>
      <c r="D32" s="164" t="str">
        <f t="shared" si="1"/>
        <v>3L</v>
      </c>
      <c r="E32" s="164" t="str">
        <f t="shared" si="7"/>
        <v>0D</v>
      </c>
      <c r="F32" s="164" t="str">
        <f t="shared" si="2"/>
        <v>12L</v>
      </c>
      <c r="G32" s="164" t="str">
        <f t="shared" si="3"/>
        <v>3L</v>
      </c>
      <c r="H32" s="166" t="str">
        <f t="shared" si="4"/>
        <v>USD12L3L30Y_Quote</v>
      </c>
      <c r="I32" s="173" t="str">
        <f t="shared" si="5"/>
        <v>USDLiborSwapForBasisCalc30Y</v>
      </c>
      <c r="J32" s="168" t="str">
        <f t="shared" si="6"/>
        <v>USDAM3L30Y_S12L3L_Quote</v>
      </c>
      <c r="K32" s="168" t="str">
        <f>_xll.qlForwardSwapQuote(J32,I32,H32,E32,Permanent,Trigger,ObjectOverwrite)</f>
        <v>USDAM3L30Y_S12L3L_Quote#0001</v>
      </c>
      <c r="L32" s="169" t="str">
        <f>_xll.ohRangeRetrieveError(K32)</f>
        <v/>
      </c>
      <c r="M32" s="159"/>
    </row>
    <row r="33" spans="1:13" x14ac:dyDescent="0.2">
      <c r="A33" s="154"/>
      <c r="B33" s="163" t="s">
        <v>76</v>
      </c>
      <c r="C33" s="164" t="str">
        <f t="shared" si="0"/>
        <v>AM</v>
      </c>
      <c r="D33" s="164" t="str">
        <f t="shared" si="1"/>
        <v>3L</v>
      </c>
      <c r="E33" s="164" t="str">
        <f t="shared" si="7"/>
        <v>0D</v>
      </c>
      <c r="F33" s="164" t="str">
        <f t="shared" si="2"/>
        <v>12L</v>
      </c>
      <c r="G33" s="164" t="str">
        <f t="shared" si="3"/>
        <v>3L</v>
      </c>
      <c r="H33" s="166" t="str">
        <f t="shared" si="4"/>
        <v>USD12L3L35Y_Quote</v>
      </c>
      <c r="I33" s="173" t="str">
        <f t="shared" si="5"/>
        <v>USDLiborSwapForBasisCalc35Y</v>
      </c>
      <c r="J33" s="168" t="str">
        <f t="shared" si="6"/>
        <v>USDAM3L35Y_S12L3L_Quote</v>
      </c>
      <c r="K33" s="168" t="str">
        <f>_xll.qlForwardSwapQuote(J33,I33,H33,E33,Permanent,Trigger,ObjectOverwrite)</f>
        <v>USDAM3L35Y_S12L3L_Quote#0001</v>
      </c>
      <c r="L33" s="169" t="str">
        <f>_xll.ohRangeRetrieveError(K33)</f>
        <v/>
      </c>
      <c r="M33" s="159"/>
    </row>
    <row r="34" spans="1:13" x14ac:dyDescent="0.2">
      <c r="A34" s="154"/>
      <c r="B34" s="163" t="s">
        <v>77</v>
      </c>
      <c r="C34" s="164" t="str">
        <f t="shared" si="0"/>
        <v>AM</v>
      </c>
      <c r="D34" s="164" t="str">
        <f t="shared" si="1"/>
        <v>3L</v>
      </c>
      <c r="E34" s="164" t="str">
        <f t="shared" si="7"/>
        <v>0D</v>
      </c>
      <c r="F34" s="164" t="str">
        <f t="shared" si="2"/>
        <v>12L</v>
      </c>
      <c r="G34" s="164" t="str">
        <f t="shared" si="3"/>
        <v>3L</v>
      </c>
      <c r="H34" s="166" t="str">
        <f t="shared" si="4"/>
        <v>USD12L3L40Y_Quote</v>
      </c>
      <c r="I34" s="173" t="str">
        <f t="shared" si="5"/>
        <v>USDLiborSwapForBasisCalc40Y</v>
      </c>
      <c r="J34" s="168" t="str">
        <f t="shared" si="6"/>
        <v>USDAM3L40Y_S12L3L_Quote</v>
      </c>
      <c r="K34" s="168" t="str">
        <f>_xll.qlForwardSwapQuote(J34,I34,H34,E34,Permanent,Trigger,ObjectOverwrite)</f>
        <v>USDAM3L40Y_S12L3L_Quote#0001</v>
      </c>
      <c r="L34" s="169" t="str">
        <f>_xll.ohRangeRetrieveError(K34)</f>
        <v/>
      </c>
      <c r="M34" s="159"/>
    </row>
    <row r="35" spans="1:13" x14ac:dyDescent="0.2">
      <c r="A35" s="154"/>
      <c r="B35" s="163" t="s">
        <v>78</v>
      </c>
      <c r="C35" s="164" t="str">
        <f t="shared" si="0"/>
        <v>AM</v>
      </c>
      <c r="D35" s="164" t="str">
        <f t="shared" si="1"/>
        <v>3L</v>
      </c>
      <c r="E35" s="164" t="str">
        <f t="shared" si="7"/>
        <v>0D</v>
      </c>
      <c r="F35" s="164" t="str">
        <f t="shared" si="2"/>
        <v>12L</v>
      </c>
      <c r="G35" s="164" t="str">
        <f t="shared" si="3"/>
        <v>3L</v>
      </c>
      <c r="H35" s="166" t="str">
        <f t="shared" si="4"/>
        <v>USD12L3L50Y_Quote</v>
      </c>
      <c r="I35" s="173" t="str">
        <f t="shared" si="5"/>
        <v>USDLiborSwapForBasisCalc50Y</v>
      </c>
      <c r="J35" s="168" t="str">
        <f t="shared" si="6"/>
        <v>USDAM3L50Y_S12L3L_Quote</v>
      </c>
      <c r="K35" s="168" t="str">
        <f>_xll.qlForwardSwapQuote(J35,I35,H35,E35,Permanent,Trigger,ObjectOverwrite)</f>
        <v>USDAM3L50Y_S12L3L_Quote#0001</v>
      </c>
      <c r="L35" s="169" t="str">
        <f>_xll.ohRangeRetrieveError(K35)</f>
        <v/>
      </c>
      <c r="M35" s="159"/>
    </row>
    <row r="36" spans="1:13" x14ac:dyDescent="0.2">
      <c r="A36" s="154"/>
      <c r="B36" s="163" t="s">
        <v>79</v>
      </c>
      <c r="C36" s="164" t="str">
        <f t="shared" si="0"/>
        <v>AM</v>
      </c>
      <c r="D36" s="164" t="str">
        <f t="shared" si="1"/>
        <v>3L</v>
      </c>
      <c r="E36" s="164" t="str">
        <f t="shared" si="7"/>
        <v>0D</v>
      </c>
      <c r="F36" s="164" t="str">
        <f t="shared" si="2"/>
        <v>12L</v>
      </c>
      <c r="G36" s="164" t="str">
        <f t="shared" si="3"/>
        <v>3L</v>
      </c>
      <c r="H36" s="166" t="str">
        <f t="shared" si="4"/>
        <v>USD12L3L60Y_Quote</v>
      </c>
      <c r="I36" s="173" t="str">
        <f t="shared" si="5"/>
        <v>USDLiborSwapForBasisCalc60Y</v>
      </c>
      <c r="J36" s="168" t="str">
        <f t="shared" si="6"/>
        <v>USDAM3L60Y_S12L3L_Quote</v>
      </c>
      <c r="K36" s="168" t="str">
        <f>_xll.qlForwardSwapQuote(J36,I36,H36,E36,Permanent,Trigger,ObjectOverwrite)</f>
        <v>USDAM3L60Y_S12L3L_Quote#0001</v>
      </c>
      <c r="L36" s="169" t="str">
        <f>_xll.ohRangeRetrieveError(K36)</f>
        <v/>
      </c>
      <c r="M36" s="159"/>
    </row>
    <row r="37" spans="1:13" ht="12" thickBot="1" x14ac:dyDescent="0.25">
      <c r="A37" s="177"/>
      <c r="B37" s="178"/>
      <c r="C37" s="178"/>
      <c r="D37" s="178"/>
      <c r="E37" s="178"/>
      <c r="F37" s="178"/>
      <c r="G37" s="178"/>
      <c r="H37" s="178"/>
      <c r="I37" s="178"/>
      <c r="J37" s="178"/>
      <c r="K37" s="179"/>
      <c r="L37" s="179"/>
      <c r="M37" s="180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43"/>
  <sheetViews>
    <sheetView topLeftCell="C1" workbookViewId="0">
      <selection activeCell="L10" sqref="L10"/>
    </sheetView>
  </sheetViews>
  <sheetFormatPr defaultRowHeight="11.25" x14ac:dyDescent="0.2"/>
  <cols>
    <col min="1" max="1" width="1.7109375" style="44" customWidth="1"/>
    <col min="2" max="2" width="4.7109375" style="44" bestFit="1" customWidth="1"/>
    <col min="3" max="3" width="3.85546875" style="44" bestFit="1" customWidth="1"/>
    <col min="4" max="4" width="3.140625" style="44" bestFit="1" customWidth="1"/>
    <col min="5" max="5" width="3.5703125" style="44" bestFit="1" customWidth="1"/>
    <col min="6" max="6" width="5.85546875" style="44" bestFit="1" customWidth="1"/>
    <col min="7" max="7" width="13.85546875" style="44" bestFit="1" customWidth="1"/>
    <col min="8" max="8" width="15.28515625" style="44" bestFit="1" customWidth="1"/>
    <col min="9" max="9" width="7.140625" style="44" bestFit="1" customWidth="1"/>
    <col min="10" max="10" width="28.140625" style="44" customWidth="1"/>
    <col min="11" max="11" width="27.28515625" style="44" bestFit="1" customWidth="1"/>
    <col min="12" max="12" width="31.28515625" style="98" bestFit="1" customWidth="1"/>
    <col min="13" max="13" width="16.5703125" style="44" customWidth="1"/>
    <col min="14" max="14" width="3.85546875" style="44" customWidth="1"/>
    <col min="15" max="15" width="2.5703125" style="44" customWidth="1"/>
    <col min="16" max="16" width="4" style="44" bestFit="1" customWidth="1"/>
    <col min="17" max="17" width="3.28515625" style="44" bestFit="1" customWidth="1"/>
    <col min="18" max="18" width="3.5703125" style="44" bestFit="1" customWidth="1"/>
    <col min="19" max="256" width="9.140625" style="44"/>
    <col min="257" max="257" width="1.7109375" style="44" customWidth="1"/>
    <col min="258" max="258" width="4.7109375" style="44" bestFit="1" customWidth="1"/>
    <col min="259" max="259" width="3.85546875" style="44" bestFit="1" customWidth="1"/>
    <col min="260" max="260" width="3.140625" style="44" bestFit="1" customWidth="1"/>
    <col min="261" max="261" width="3.5703125" style="44" bestFit="1" customWidth="1"/>
    <col min="262" max="262" width="5.85546875" style="44" bestFit="1" customWidth="1"/>
    <col min="263" max="263" width="13.85546875" style="44" bestFit="1" customWidth="1"/>
    <col min="264" max="264" width="15.28515625" style="44" bestFit="1" customWidth="1"/>
    <col min="265" max="265" width="7.140625" style="44" bestFit="1" customWidth="1"/>
    <col min="266" max="266" width="22.42578125" style="44" bestFit="1" customWidth="1"/>
    <col min="267" max="267" width="27.28515625" style="44" bestFit="1" customWidth="1"/>
    <col min="268" max="268" width="31.28515625" style="44" bestFit="1" customWidth="1"/>
    <col min="269" max="269" width="16.5703125" style="44" customWidth="1"/>
    <col min="270" max="270" width="3.85546875" style="44" customWidth="1"/>
    <col min="271" max="271" width="2.5703125" style="44" customWidth="1"/>
    <col min="272" max="272" width="4" style="44" bestFit="1" customWidth="1"/>
    <col min="273" max="273" width="3.28515625" style="44" bestFit="1" customWidth="1"/>
    <col min="274" max="274" width="3.5703125" style="44" bestFit="1" customWidth="1"/>
    <col min="275" max="512" width="9.140625" style="44"/>
    <col min="513" max="513" width="1.7109375" style="44" customWidth="1"/>
    <col min="514" max="514" width="4.7109375" style="44" bestFit="1" customWidth="1"/>
    <col min="515" max="515" width="3.85546875" style="44" bestFit="1" customWidth="1"/>
    <col min="516" max="516" width="3.140625" style="44" bestFit="1" customWidth="1"/>
    <col min="517" max="517" width="3.5703125" style="44" bestFit="1" customWidth="1"/>
    <col min="518" max="518" width="5.85546875" style="44" bestFit="1" customWidth="1"/>
    <col min="519" max="519" width="13.85546875" style="44" bestFit="1" customWidth="1"/>
    <col min="520" max="520" width="15.28515625" style="44" bestFit="1" customWidth="1"/>
    <col min="521" max="521" width="7.140625" style="44" bestFit="1" customWidth="1"/>
    <col min="522" max="522" width="22.42578125" style="44" bestFit="1" customWidth="1"/>
    <col min="523" max="523" width="27.28515625" style="44" bestFit="1" customWidth="1"/>
    <col min="524" max="524" width="31.28515625" style="44" bestFit="1" customWidth="1"/>
    <col min="525" max="525" width="16.5703125" style="44" customWidth="1"/>
    <col min="526" max="526" width="3.85546875" style="44" customWidth="1"/>
    <col min="527" max="527" width="2.5703125" style="44" customWidth="1"/>
    <col min="528" max="528" width="4" style="44" bestFit="1" customWidth="1"/>
    <col min="529" max="529" width="3.28515625" style="44" bestFit="1" customWidth="1"/>
    <col min="530" max="530" width="3.5703125" style="44" bestFit="1" customWidth="1"/>
    <col min="531" max="768" width="9.140625" style="44"/>
    <col min="769" max="769" width="1.7109375" style="44" customWidth="1"/>
    <col min="770" max="770" width="4.7109375" style="44" bestFit="1" customWidth="1"/>
    <col min="771" max="771" width="3.85546875" style="44" bestFit="1" customWidth="1"/>
    <col min="772" max="772" width="3.140625" style="44" bestFit="1" customWidth="1"/>
    <col min="773" max="773" width="3.5703125" style="44" bestFit="1" customWidth="1"/>
    <col min="774" max="774" width="5.85546875" style="44" bestFit="1" customWidth="1"/>
    <col min="775" max="775" width="13.85546875" style="44" bestFit="1" customWidth="1"/>
    <col min="776" max="776" width="15.28515625" style="44" bestFit="1" customWidth="1"/>
    <col min="777" max="777" width="7.140625" style="44" bestFit="1" customWidth="1"/>
    <col min="778" max="778" width="22.42578125" style="44" bestFit="1" customWidth="1"/>
    <col min="779" max="779" width="27.28515625" style="44" bestFit="1" customWidth="1"/>
    <col min="780" max="780" width="31.28515625" style="44" bestFit="1" customWidth="1"/>
    <col min="781" max="781" width="16.5703125" style="44" customWidth="1"/>
    <col min="782" max="782" width="3.85546875" style="44" customWidth="1"/>
    <col min="783" max="783" width="2.5703125" style="44" customWidth="1"/>
    <col min="784" max="784" width="4" style="44" bestFit="1" customWidth="1"/>
    <col min="785" max="785" width="3.28515625" style="44" bestFit="1" customWidth="1"/>
    <col min="786" max="786" width="3.5703125" style="44" bestFit="1" customWidth="1"/>
    <col min="787" max="1024" width="9.140625" style="44"/>
    <col min="1025" max="1025" width="1.7109375" style="44" customWidth="1"/>
    <col min="1026" max="1026" width="4.7109375" style="44" bestFit="1" customWidth="1"/>
    <col min="1027" max="1027" width="3.85546875" style="44" bestFit="1" customWidth="1"/>
    <col min="1028" max="1028" width="3.140625" style="44" bestFit="1" customWidth="1"/>
    <col min="1029" max="1029" width="3.5703125" style="44" bestFit="1" customWidth="1"/>
    <col min="1030" max="1030" width="5.85546875" style="44" bestFit="1" customWidth="1"/>
    <col min="1031" max="1031" width="13.85546875" style="44" bestFit="1" customWidth="1"/>
    <col min="1032" max="1032" width="15.28515625" style="44" bestFit="1" customWidth="1"/>
    <col min="1033" max="1033" width="7.140625" style="44" bestFit="1" customWidth="1"/>
    <col min="1034" max="1034" width="22.42578125" style="44" bestFit="1" customWidth="1"/>
    <col min="1035" max="1035" width="27.28515625" style="44" bestFit="1" customWidth="1"/>
    <col min="1036" max="1036" width="31.28515625" style="44" bestFit="1" customWidth="1"/>
    <col min="1037" max="1037" width="16.5703125" style="44" customWidth="1"/>
    <col min="1038" max="1038" width="3.85546875" style="44" customWidth="1"/>
    <col min="1039" max="1039" width="2.5703125" style="44" customWidth="1"/>
    <col min="1040" max="1040" width="4" style="44" bestFit="1" customWidth="1"/>
    <col min="1041" max="1041" width="3.28515625" style="44" bestFit="1" customWidth="1"/>
    <col min="1042" max="1042" width="3.5703125" style="44" bestFit="1" customWidth="1"/>
    <col min="1043" max="1280" width="9.140625" style="44"/>
    <col min="1281" max="1281" width="1.7109375" style="44" customWidth="1"/>
    <col min="1282" max="1282" width="4.7109375" style="44" bestFit="1" customWidth="1"/>
    <col min="1283" max="1283" width="3.85546875" style="44" bestFit="1" customWidth="1"/>
    <col min="1284" max="1284" width="3.140625" style="44" bestFit="1" customWidth="1"/>
    <col min="1285" max="1285" width="3.5703125" style="44" bestFit="1" customWidth="1"/>
    <col min="1286" max="1286" width="5.85546875" style="44" bestFit="1" customWidth="1"/>
    <col min="1287" max="1287" width="13.85546875" style="44" bestFit="1" customWidth="1"/>
    <col min="1288" max="1288" width="15.28515625" style="44" bestFit="1" customWidth="1"/>
    <col min="1289" max="1289" width="7.140625" style="44" bestFit="1" customWidth="1"/>
    <col min="1290" max="1290" width="22.42578125" style="44" bestFit="1" customWidth="1"/>
    <col min="1291" max="1291" width="27.28515625" style="44" bestFit="1" customWidth="1"/>
    <col min="1292" max="1292" width="31.28515625" style="44" bestFit="1" customWidth="1"/>
    <col min="1293" max="1293" width="16.5703125" style="44" customWidth="1"/>
    <col min="1294" max="1294" width="3.85546875" style="44" customWidth="1"/>
    <col min="1295" max="1295" width="2.5703125" style="44" customWidth="1"/>
    <col min="1296" max="1296" width="4" style="44" bestFit="1" customWidth="1"/>
    <col min="1297" max="1297" width="3.28515625" style="44" bestFit="1" customWidth="1"/>
    <col min="1298" max="1298" width="3.5703125" style="44" bestFit="1" customWidth="1"/>
    <col min="1299" max="1536" width="9.140625" style="44"/>
    <col min="1537" max="1537" width="1.7109375" style="44" customWidth="1"/>
    <col min="1538" max="1538" width="4.7109375" style="44" bestFit="1" customWidth="1"/>
    <col min="1539" max="1539" width="3.85546875" style="44" bestFit="1" customWidth="1"/>
    <col min="1540" max="1540" width="3.140625" style="44" bestFit="1" customWidth="1"/>
    <col min="1541" max="1541" width="3.5703125" style="44" bestFit="1" customWidth="1"/>
    <col min="1542" max="1542" width="5.85546875" style="44" bestFit="1" customWidth="1"/>
    <col min="1543" max="1543" width="13.85546875" style="44" bestFit="1" customWidth="1"/>
    <col min="1544" max="1544" width="15.28515625" style="44" bestFit="1" customWidth="1"/>
    <col min="1545" max="1545" width="7.140625" style="44" bestFit="1" customWidth="1"/>
    <col min="1546" max="1546" width="22.42578125" style="44" bestFit="1" customWidth="1"/>
    <col min="1547" max="1547" width="27.28515625" style="44" bestFit="1" customWidth="1"/>
    <col min="1548" max="1548" width="31.28515625" style="44" bestFit="1" customWidth="1"/>
    <col min="1549" max="1549" width="16.5703125" style="44" customWidth="1"/>
    <col min="1550" max="1550" width="3.85546875" style="44" customWidth="1"/>
    <col min="1551" max="1551" width="2.5703125" style="44" customWidth="1"/>
    <col min="1552" max="1552" width="4" style="44" bestFit="1" customWidth="1"/>
    <col min="1553" max="1553" width="3.28515625" style="44" bestFit="1" customWidth="1"/>
    <col min="1554" max="1554" width="3.5703125" style="44" bestFit="1" customWidth="1"/>
    <col min="1555" max="1792" width="9.140625" style="44"/>
    <col min="1793" max="1793" width="1.7109375" style="44" customWidth="1"/>
    <col min="1794" max="1794" width="4.7109375" style="44" bestFit="1" customWidth="1"/>
    <col min="1795" max="1795" width="3.85546875" style="44" bestFit="1" customWidth="1"/>
    <col min="1796" max="1796" width="3.140625" style="44" bestFit="1" customWidth="1"/>
    <col min="1797" max="1797" width="3.5703125" style="44" bestFit="1" customWidth="1"/>
    <col min="1798" max="1798" width="5.85546875" style="44" bestFit="1" customWidth="1"/>
    <col min="1799" max="1799" width="13.85546875" style="44" bestFit="1" customWidth="1"/>
    <col min="1800" max="1800" width="15.28515625" style="44" bestFit="1" customWidth="1"/>
    <col min="1801" max="1801" width="7.140625" style="44" bestFit="1" customWidth="1"/>
    <col min="1802" max="1802" width="22.42578125" style="44" bestFit="1" customWidth="1"/>
    <col min="1803" max="1803" width="27.28515625" style="44" bestFit="1" customWidth="1"/>
    <col min="1804" max="1804" width="31.28515625" style="44" bestFit="1" customWidth="1"/>
    <col min="1805" max="1805" width="16.5703125" style="44" customWidth="1"/>
    <col min="1806" max="1806" width="3.85546875" style="44" customWidth="1"/>
    <col min="1807" max="1807" width="2.5703125" style="44" customWidth="1"/>
    <col min="1808" max="1808" width="4" style="44" bestFit="1" customWidth="1"/>
    <col min="1809" max="1809" width="3.28515625" style="44" bestFit="1" customWidth="1"/>
    <col min="1810" max="1810" width="3.5703125" style="44" bestFit="1" customWidth="1"/>
    <col min="1811" max="2048" width="9.140625" style="44"/>
    <col min="2049" max="2049" width="1.7109375" style="44" customWidth="1"/>
    <col min="2050" max="2050" width="4.7109375" style="44" bestFit="1" customWidth="1"/>
    <col min="2051" max="2051" width="3.85546875" style="44" bestFit="1" customWidth="1"/>
    <col min="2052" max="2052" width="3.140625" style="44" bestFit="1" customWidth="1"/>
    <col min="2053" max="2053" width="3.5703125" style="44" bestFit="1" customWidth="1"/>
    <col min="2054" max="2054" width="5.85546875" style="44" bestFit="1" customWidth="1"/>
    <col min="2055" max="2055" width="13.85546875" style="44" bestFit="1" customWidth="1"/>
    <col min="2056" max="2056" width="15.28515625" style="44" bestFit="1" customWidth="1"/>
    <col min="2057" max="2057" width="7.140625" style="44" bestFit="1" customWidth="1"/>
    <col min="2058" max="2058" width="22.42578125" style="44" bestFit="1" customWidth="1"/>
    <col min="2059" max="2059" width="27.28515625" style="44" bestFit="1" customWidth="1"/>
    <col min="2060" max="2060" width="31.28515625" style="44" bestFit="1" customWidth="1"/>
    <col min="2061" max="2061" width="16.5703125" style="44" customWidth="1"/>
    <col min="2062" max="2062" width="3.85546875" style="44" customWidth="1"/>
    <col min="2063" max="2063" width="2.5703125" style="44" customWidth="1"/>
    <col min="2064" max="2064" width="4" style="44" bestFit="1" customWidth="1"/>
    <col min="2065" max="2065" width="3.28515625" style="44" bestFit="1" customWidth="1"/>
    <col min="2066" max="2066" width="3.5703125" style="44" bestFit="1" customWidth="1"/>
    <col min="2067" max="2304" width="9.140625" style="44"/>
    <col min="2305" max="2305" width="1.7109375" style="44" customWidth="1"/>
    <col min="2306" max="2306" width="4.7109375" style="44" bestFit="1" customWidth="1"/>
    <col min="2307" max="2307" width="3.85546875" style="44" bestFit="1" customWidth="1"/>
    <col min="2308" max="2308" width="3.140625" style="44" bestFit="1" customWidth="1"/>
    <col min="2309" max="2309" width="3.5703125" style="44" bestFit="1" customWidth="1"/>
    <col min="2310" max="2310" width="5.85546875" style="44" bestFit="1" customWidth="1"/>
    <col min="2311" max="2311" width="13.85546875" style="44" bestFit="1" customWidth="1"/>
    <col min="2312" max="2312" width="15.28515625" style="44" bestFit="1" customWidth="1"/>
    <col min="2313" max="2313" width="7.140625" style="44" bestFit="1" customWidth="1"/>
    <col min="2314" max="2314" width="22.42578125" style="44" bestFit="1" customWidth="1"/>
    <col min="2315" max="2315" width="27.28515625" style="44" bestFit="1" customWidth="1"/>
    <col min="2316" max="2316" width="31.28515625" style="44" bestFit="1" customWidth="1"/>
    <col min="2317" max="2317" width="16.5703125" style="44" customWidth="1"/>
    <col min="2318" max="2318" width="3.85546875" style="44" customWidth="1"/>
    <col min="2319" max="2319" width="2.5703125" style="44" customWidth="1"/>
    <col min="2320" max="2320" width="4" style="44" bestFit="1" customWidth="1"/>
    <col min="2321" max="2321" width="3.28515625" style="44" bestFit="1" customWidth="1"/>
    <col min="2322" max="2322" width="3.5703125" style="44" bestFit="1" customWidth="1"/>
    <col min="2323" max="2560" width="9.140625" style="44"/>
    <col min="2561" max="2561" width="1.7109375" style="44" customWidth="1"/>
    <col min="2562" max="2562" width="4.7109375" style="44" bestFit="1" customWidth="1"/>
    <col min="2563" max="2563" width="3.85546875" style="44" bestFit="1" customWidth="1"/>
    <col min="2564" max="2564" width="3.140625" style="44" bestFit="1" customWidth="1"/>
    <col min="2565" max="2565" width="3.5703125" style="44" bestFit="1" customWidth="1"/>
    <col min="2566" max="2566" width="5.85546875" style="44" bestFit="1" customWidth="1"/>
    <col min="2567" max="2567" width="13.85546875" style="44" bestFit="1" customWidth="1"/>
    <col min="2568" max="2568" width="15.28515625" style="44" bestFit="1" customWidth="1"/>
    <col min="2569" max="2569" width="7.140625" style="44" bestFit="1" customWidth="1"/>
    <col min="2570" max="2570" width="22.42578125" style="44" bestFit="1" customWidth="1"/>
    <col min="2571" max="2571" width="27.28515625" style="44" bestFit="1" customWidth="1"/>
    <col min="2572" max="2572" width="31.28515625" style="44" bestFit="1" customWidth="1"/>
    <col min="2573" max="2573" width="16.5703125" style="44" customWidth="1"/>
    <col min="2574" max="2574" width="3.85546875" style="44" customWidth="1"/>
    <col min="2575" max="2575" width="2.5703125" style="44" customWidth="1"/>
    <col min="2576" max="2576" width="4" style="44" bestFit="1" customWidth="1"/>
    <col min="2577" max="2577" width="3.28515625" style="44" bestFit="1" customWidth="1"/>
    <col min="2578" max="2578" width="3.5703125" style="44" bestFit="1" customWidth="1"/>
    <col min="2579" max="2816" width="9.140625" style="44"/>
    <col min="2817" max="2817" width="1.7109375" style="44" customWidth="1"/>
    <col min="2818" max="2818" width="4.7109375" style="44" bestFit="1" customWidth="1"/>
    <col min="2819" max="2819" width="3.85546875" style="44" bestFit="1" customWidth="1"/>
    <col min="2820" max="2820" width="3.140625" style="44" bestFit="1" customWidth="1"/>
    <col min="2821" max="2821" width="3.5703125" style="44" bestFit="1" customWidth="1"/>
    <col min="2822" max="2822" width="5.85546875" style="44" bestFit="1" customWidth="1"/>
    <col min="2823" max="2823" width="13.85546875" style="44" bestFit="1" customWidth="1"/>
    <col min="2824" max="2824" width="15.28515625" style="44" bestFit="1" customWidth="1"/>
    <col min="2825" max="2825" width="7.140625" style="44" bestFit="1" customWidth="1"/>
    <col min="2826" max="2826" width="22.42578125" style="44" bestFit="1" customWidth="1"/>
    <col min="2827" max="2827" width="27.28515625" style="44" bestFit="1" customWidth="1"/>
    <col min="2828" max="2828" width="31.28515625" style="44" bestFit="1" customWidth="1"/>
    <col min="2829" max="2829" width="16.5703125" style="44" customWidth="1"/>
    <col min="2830" max="2830" width="3.85546875" style="44" customWidth="1"/>
    <col min="2831" max="2831" width="2.5703125" style="44" customWidth="1"/>
    <col min="2832" max="2832" width="4" style="44" bestFit="1" customWidth="1"/>
    <col min="2833" max="2833" width="3.28515625" style="44" bestFit="1" customWidth="1"/>
    <col min="2834" max="2834" width="3.5703125" style="44" bestFit="1" customWidth="1"/>
    <col min="2835" max="3072" width="9.140625" style="44"/>
    <col min="3073" max="3073" width="1.7109375" style="44" customWidth="1"/>
    <col min="3074" max="3074" width="4.7109375" style="44" bestFit="1" customWidth="1"/>
    <col min="3075" max="3075" width="3.85546875" style="44" bestFit="1" customWidth="1"/>
    <col min="3076" max="3076" width="3.140625" style="44" bestFit="1" customWidth="1"/>
    <col min="3077" max="3077" width="3.5703125" style="44" bestFit="1" customWidth="1"/>
    <col min="3078" max="3078" width="5.85546875" style="44" bestFit="1" customWidth="1"/>
    <col min="3079" max="3079" width="13.85546875" style="44" bestFit="1" customWidth="1"/>
    <col min="3080" max="3080" width="15.28515625" style="44" bestFit="1" customWidth="1"/>
    <col min="3081" max="3081" width="7.140625" style="44" bestFit="1" customWidth="1"/>
    <col min="3082" max="3082" width="22.42578125" style="44" bestFit="1" customWidth="1"/>
    <col min="3083" max="3083" width="27.28515625" style="44" bestFit="1" customWidth="1"/>
    <col min="3084" max="3084" width="31.28515625" style="44" bestFit="1" customWidth="1"/>
    <col min="3085" max="3085" width="16.5703125" style="44" customWidth="1"/>
    <col min="3086" max="3086" width="3.85546875" style="44" customWidth="1"/>
    <col min="3087" max="3087" width="2.5703125" style="44" customWidth="1"/>
    <col min="3088" max="3088" width="4" style="44" bestFit="1" customWidth="1"/>
    <col min="3089" max="3089" width="3.28515625" style="44" bestFit="1" customWidth="1"/>
    <col min="3090" max="3090" width="3.5703125" style="44" bestFit="1" customWidth="1"/>
    <col min="3091" max="3328" width="9.140625" style="44"/>
    <col min="3329" max="3329" width="1.7109375" style="44" customWidth="1"/>
    <col min="3330" max="3330" width="4.7109375" style="44" bestFit="1" customWidth="1"/>
    <col min="3331" max="3331" width="3.85546875" style="44" bestFit="1" customWidth="1"/>
    <col min="3332" max="3332" width="3.140625" style="44" bestFit="1" customWidth="1"/>
    <col min="3333" max="3333" width="3.5703125" style="44" bestFit="1" customWidth="1"/>
    <col min="3334" max="3334" width="5.85546875" style="44" bestFit="1" customWidth="1"/>
    <col min="3335" max="3335" width="13.85546875" style="44" bestFit="1" customWidth="1"/>
    <col min="3336" max="3336" width="15.28515625" style="44" bestFit="1" customWidth="1"/>
    <col min="3337" max="3337" width="7.140625" style="44" bestFit="1" customWidth="1"/>
    <col min="3338" max="3338" width="22.42578125" style="44" bestFit="1" customWidth="1"/>
    <col min="3339" max="3339" width="27.28515625" style="44" bestFit="1" customWidth="1"/>
    <col min="3340" max="3340" width="31.28515625" style="44" bestFit="1" customWidth="1"/>
    <col min="3341" max="3341" width="16.5703125" style="44" customWidth="1"/>
    <col min="3342" max="3342" width="3.85546875" style="44" customWidth="1"/>
    <col min="3343" max="3343" width="2.5703125" style="44" customWidth="1"/>
    <col min="3344" max="3344" width="4" style="44" bestFit="1" customWidth="1"/>
    <col min="3345" max="3345" width="3.28515625" style="44" bestFit="1" customWidth="1"/>
    <col min="3346" max="3346" width="3.5703125" style="44" bestFit="1" customWidth="1"/>
    <col min="3347" max="3584" width="9.140625" style="44"/>
    <col min="3585" max="3585" width="1.7109375" style="44" customWidth="1"/>
    <col min="3586" max="3586" width="4.7109375" style="44" bestFit="1" customWidth="1"/>
    <col min="3587" max="3587" width="3.85546875" style="44" bestFit="1" customWidth="1"/>
    <col min="3588" max="3588" width="3.140625" style="44" bestFit="1" customWidth="1"/>
    <col min="3589" max="3589" width="3.5703125" style="44" bestFit="1" customWidth="1"/>
    <col min="3590" max="3590" width="5.85546875" style="44" bestFit="1" customWidth="1"/>
    <col min="3591" max="3591" width="13.85546875" style="44" bestFit="1" customWidth="1"/>
    <col min="3592" max="3592" width="15.28515625" style="44" bestFit="1" customWidth="1"/>
    <col min="3593" max="3593" width="7.140625" style="44" bestFit="1" customWidth="1"/>
    <col min="3594" max="3594" width="22.42578125" style="44" bestFit="1" customWidth="1"/>
    <col min="3595" max="3595" width="27.28515625" style="44" bestFit="1" customWidth="1"/>
    <col min="3596" max="3596" width="31.28515625" style="44" bestFit="1" customWidth="1"/>
    <col min="3597" max="3597" width="16.5703125" style="44" customWidth="1"/>
    <col min="3598" max="3598" width="3.85546875" style="44" customWidth="1"/>
    <col min="3599" max="3599" width="2.5703125" style="44" customWidth="1"/>
    <col min="3600" max="3600" width="4" style="44" bestFit="1" customWidth="1"/>
    <col min="3601" max="3601" width="3.28515625" style="44" bestFit="1" customWidth="1"/>
    <col min="3602" max="3602" width="3.5703125" style="44" bestFit="1" customWidth="1"/>
    <col min="3603" max="3840" width="9.140625" style="44"/>
    <col min="3841" max="3841" width="1.7109375" style="44" customWidth="1"/>
    <col min="3842" max="3842" width="4.7109375" style="44" bestFit="1" customWidth="1"/>
    <col min="3843" max="3843" width="3.85546875" style="44" bestFit="1" customWidth="1"/>
    <col min="3844" max="3844" width="3.140625" style="44" bestFit="1" customWidth="1"/>
    <col min="3845" max="3845" width="3.5703125" style="44" bestFit="1" customWidth="1"/>
    <col min="3846" max="3846" width="5.85546875" style="44" bestFit="1" customWidth="1"/>
    <col min="3847" max="3847" width="13.85546875" style="44" bestFit="1" customWidth="1"/>
    <col min="3848" max="3848" width="15.28515625" style="44" bestFit="1" customWidth="1"/>
    <col min="3849" max="3849" width="7.140625" style="44" bestFit="1" customWidth="1"/>
    <col min="3850" max="3850" width="22.42578125" style="44" bestFit="1" customWidth="1"/>
    <col min="3851" max="3851" width="27.28515625" style="44" bestFit="1" customWidth="1"/>
    <col min="3852" max="3852" width="31.28515625" style="44" bestFit="1" customWidth="1"/>
    <col min="3853" max="3853" width="16.5703125" style="44" customWidth="1"/>
    <col min="3854" max="3854" width="3.85546875" style="44" customWidth="1"/>
    <col min="3855" max="3855" width="2.5703125" style="44" customWidth="1"/>
    <col min="3856" max="3856" width="4" style="44" bestFit="1" customWidth="1"/>
    <col min="3857" max="3857" width="3.28515625" style="44" bestFit="1" customWidth="1"/>
    <col min="3858" max="3858" width="3.5703125" style="44" bestFit="1" customWidth="1"/>
    <col min="3859" max="4096" width="9.140625" style="44"/>
    <col min="4097" max="4097" width="1.7109375" style="44" customWidth="1"/>
    <col min="4098" max="4098" width="4.7109375" style="44" bestFit="1" customWidth="1"/>
    <col min="4099" max="4099" width="3.85546875" style="44" bestFit="1" customWidth="1"/>
    <col min="4100" max="4100" width="3.140625" style="44" bestFit="1" customWidth="1"/>
    <col min="4101" max="4101" width="3.5703125" style="44" bestFit="1" customWidth="1"/>
    <col min="4102" max="4102" width="5.85546875" style="44" bestFit="1" customWidth="1"/>
    <col min="4103" max="4103" width="13.85546875" style="44" bestFit="1" customWidth="1"/>
    <col min="4104" max="4104" width="15.28515625" style="44" bestFit="1" customWidth="1"/>
    <col min="4105" max="4105" width="7.140625" style="44" bestFit="1" customWidth="1"/>
    <col min="4106" max="4106" width="22.42578125" style="44" bestFit="1" customWidth="1"/>
    <col min="4107" max="4107" width="27.28515625" style="44" bestFit="1" customWidth="1"/>
    <col min="4108" max="4108" width="31.28515625" style="44" bestFit="1" customWidth="1"/>
    <col min="4109" max="4109" width="16.5703125" style="44" customWidth="1"/>
    <col min="4110" max="4110" width="3.85546875" style="44" customWidth="1"/>
    <col min="4111" max="4111" width="2.5703125" style="44" customWidth="1"/>
    <col min="4112" max="4112" width="4" style="44" bestFit="1" customWidth="1"/>
    <col min="4113" max="4113" width="3.28515625" style="44" bestFit="1" customWidth="1"/>
    <col min="4114" max="4114" width="3.5703125" style="44" bestFit="1" customWidth="1"/>
    <col min="4115" max="4352" width="9.140625" style="44"/>
    <col min="4353" max="4353" width="1.7109375" style="44" customWidth="1"/>
    <col min="4354" max="4354" width="4.7109375" style="44" bestFit="1" customWidth="1"/>
    <col min="4355" max="4355" width="3.85546875" style="44" bestFit="1" customWidth="1"/>
    <col min="4356" max="4356" width="3.140625" style="44" bestFit="1" customWidth="1"/>
    <col min="4357" max="4357" width="3.5703125" style="44" bestFit="1" customWidth="1"/>
    <col min="4358" max="4358" width="5.85546875" style="44" bestFit="1" customWidth="1"/>
    <col min="4359" max="4359" width="13.85546875" style="44" bestFit="1" customWidth="1"/>
    <col min="4360" max="4360" width="15.28515625" style="44" bestFit="1" customWidth="1"/>
    <col min="4361" max="4361" width="7.140625" style="44" bestFit="1" customWidth="1"/>
    <col min="4362" max="4362" width="22.42578125" style="44" bestFit="1" customWidth="1"/>
    <col min="4363" max="4363" width="27.28515625" style="44" bestFit="1" customWidth="1"/>
    <col min="4364" max="4364" width="31.28515625" style="44" bestFit="1" customWidth="1"/>
    <col min="4365" max="4365" width="16.5703125" style="44" customWidth="1"/>
    <col min="4366" max="4366" width="3.85546875" style="44" customWidth="1"/>
    <col min="4367" max="4367" width="2.5703125" style="44" customWidth="1"/>
    <col min="4368" max="4368" width="4" style="44" bestFit="1" customWidth="1"/>
    <col min="4369" max="4369" width="3.28515625" style="44" bestFit="1" customWidth="1"/>
    <col min="4370" max="4370" width="3.5703125" style="44" bestFit="1" customWidth="1"/>
    <col min="4371" max="4608" width="9.140625" style="44"/>
    <col min="4609" max="4609" width="1.7109375" style="44" customWidth="1"/>
    <col min="4610" max="4610" width="4.7109375" style="44" bestFit="1" customWidth="1"/>
    <col min="4611" max="4611" width="3.85546875" style="44" bestFit="1" customWidth="1"/>
    <col min="4612" max="4612" width="3.140625" style="44" bestFit="1" customWidth="1"/>
    <col min="4613" max="4613" width="3.5703125" style="44" bestFit="1" customWidth="1"/>
    <col min="4614" max="4614" width="5.85546875" style="44" bestFit="1" customWidth="1"/>
    <col min="4615" max="4615" width="13.85546875" style="44" bestFit="1" customWidth="1"/>
    <col min="4616" max="4616" width="15.28515625" style="44" bestFit="1" customWidth="1"/>
    <col min="4617" max="4617" width="7.140625" style="44" bestFit="1" customWidth="1"/>
    <col min="4618" max="4618" width="22.42578125" style="44" bestFit="1" customWidth="1"/>
    <col min="4619" max="4619" width="27.28515625" style="44" bestFit="1" customWidth="1"/>
    <col min="4620" max="4620" width="31.28515625" style="44" bestFit="1" customWidth="1"/>
    <col min="4621" max="4621" width="16.5703125" style="44" customWidth="1"/>
    <col min="4622" max="4622" width="3.85546875" style="44" customWidth="1"/>
    <col min="4623" max="4623" width="2.5703125" style="44" customWidth="1"/>
    <col min="4624" max="4624" width="4" style="44" bestFit="1" customWidth="1"/>
    <col min="4625" max="4625" width="3.28515625" style="44" bestFit="1" customWidth="1"/>
    <col min="4626" max="4626" width="3.5703125" style="44" bestFit="1" customWidth="1"/>
    <col min="4627" max="4864" width="9.140625" style="44"/>
    <col min="4865" max="4865" width="1.7109375" style="44" customWidth="1"/>
    <col min="4866" max="4866" width="4.7109375" style="44" bestFit="1" customWidth="1"/>
    <col min="4867" max="4867" width="3.85546875" style="44" bestFit="1" customWidth="1"/>
    <col min="4868" max="4868" width="3.140625" style="44" bestFit="1" customWidth="1"/>
    <col min="4869" max="4869" width="3.5703125" style="44" bestFit="1" customWidth="1"/>
    <col min="4870" max="4870" width="5.85546875" style="44" bestFit="1" customWidth="1"/>
    <col min="4871" max="4871" width="13.85546875" style="44" bestFit="1" customWidth="1"/>
    <col min="4872" max="4872" width="15.28515625" style="44" bestFit="1" customWidth="1"/>
    <col min="4873" max="4873" width="7.140625" style="44" bestFit="1" customWidth="1"/>
    <col min="4874" max="4874" width="22.42578125" style="44" bestFit="1" customWidth="1"/>
    <col min="4875" max="4875" width="27.28515625" style="44" bestFit="1" customWidth="1"/>
    <col min="4876" max="4876" width="31.28515625" style="44" bestFit="1" customWidth="1"/>
    <col min="4877" max="4877" width="16.5703125" style="44" customWidth="1"/>
    <col min="4878" max="4878" width="3.85546875" style="44" customWidth="1"/>
    <col min="4879" max="4879" width="2.5703125" style="44" customWidth="1"/>
    <col min="4880" max="4880" width="4" style="44" bestFit="1" customWidth="1"/>
    <col min="4881" max="4881" width="3.28515625" style="44" bestFit="1" customWidth="1"/>
    <col min="4882" max="4882" width="3.5703125" style="44" bestFit="1" customWidth="1"/>
    <col min="4883" max="5120" width="9.140625" style="44"/>
    <col min="5121" max="5121" width="1.7109375" style="44" customWidth="1"/>
    <col min="5122" max="5122" width="4.7109375" style="44" bestFit="1" customWidth="1"/>
    <col min="5123" max="5123" width="3.85546875" style="44" bestFit="1" customWidth="1"/>
    <col min="5124" max="5124" width="3.140625" style="44" bestFit="1" customWidth="1"/>
    <col min="5125" max="5125" width="3.5703125" style="44" bestFit="1" customWidth="1"/>
    <col min="5126" max="5126" width="5.85546875" style="44" bestFit="1" customWidth="1"/>
    <col min="5127" max="5127" width="13.85546875" style="44" bestFit="1" customWidth="1"/>
    <col min="5128" max="5128" width="15.28515625" style="44" bestFit="1" customWidth="1"/>
    <col min="5129" max="5129" width="7.140625" style="44" bestFit="1" customWidth="1"/>
    <col min="5130" max="5130" width="22.42578125" style="44" bestFit="1" customWidth="1"/>
    <col min="5131" max="5131" width="27.28515625" style="44" bestFit="1" customWidth="1"/>
    <col min="5132" max="5132" width="31.28515625" style="44" bestFit="1" customWidth="1"/>
    <col min="5133" max="5133" width="16.5703125" style="44" customWidth="1"/>
    <col min="5134" max="5134" width="3.85546875" style="44" customWidth="1"/>
    <col min="5135" max="5135" width="2.5703125" style="44" customWidth="1"/>
    <col min="5136" max="5136" width="4" style="44" bestFit="1" customWidth="1"/>
    <col min="5137" max="5137" width="3.28515625" style="44" bestFit="1" customWidth="1"/>
    <col min="5138" max="5138" width="3.5703125" style="44" bestFit="1" customWidth="1"/>
    <col min="5139" max="5376" width="9.140625" style="44"/>
    <col min="5377" max="5377" width="1.7109375" style="44" customWidth="1"/>
    <col min="5378" max="5378" width="4.7109375" style="44" bestFit="1" customWidth="1"/>
    <col min="5379" max="5379" width="3.85546875" style="44" bestFit="1" customWidth="1"/>
    <col min="5380" max="5380" width="3.140625" style="44" bestFit="1" customWidth="1"/>
    <col min="5381" max="5381" width="3.5703125" style="44" bestFit="1" customWidth="1"/>
    <col min="5382" max="5382" width="5.85546875" style="44" bestFit="1" customWidth="1"/>
    <col min="5383" max="5383" width="13.85546875" style="44" bestFit="1" customWidth="1"/>
    <col min="5384" max="5384" width="15.28515625" style="44" bestFit="1" customWidth="1"/>
    <col min="5385" max="5385" width="7.140625" style="44" bestFit="1" customWidth="1"/>
    <col min="5386" max="5386" width="22.42578125" style="44" bestFit="1" customWidth="1"/>
    <col min="5387" max="5387" width="27.28515625" style="44" bestFit="1" customWidth="1"/>
    <col min="5388" max="5388" width="31.28515625" style="44" bestFit="1" customWidth="1"/>
    <col min="5389" max="5389" width="16.5703125" style="44" customWidth="1"/>
    <col min="5390" max="5390" width="3.85546875" style="44" customWidth="1"/>
    <col min="5391" max="5391" width="2.5703125" style="44" customWidth="1"/>
    <col min="5392" max="5392" width="4" style="44" bestFit="1" customWidth="1"/>
    <col min="5393" max="5393" width="3.28515625" style="44" bestFit="1" customWidth="1"/>
    <col min="5394" max="5394" width="3.5703125" style="44" bestFit="1" customWidth="1"/>
    <col min="5395" max="5632" width="9.140625" style="44"/>
    <col min="5633" max="5633" width="1.7109375" style="44" customWidth="1"/>
    <col min="5634" max="5634" width="4.7109375" style="44" bestFit="1" customWidth="1"/>
    <col min="5635" max="5635" width="3.85546875" style="44" bestFit="1" customWidth="1"/>
    <col min="5636" max="5636" width="3.140625" style="44" bestFit="1" customWidth="1"/>
    <col min="5637" max="5637" width="3.5703125" style="44" bestFit="1" customWidth="1"/>
    <col min="5638" max="5638" width="5.85546875" style="44" bestFit="1" customWidth="1"/>
    <col min="5639" max="5639" width="13.85546875" style="44" bestFit="1" customWidth="1"/>
    <col min="5640" max="5640" width="15.28515625" style="44" bestFit="1" customWidth="1"/>
    <col min="5641" max="5641" width="7.140625" style="44" bestFit="1" customWidth="1"/>
    <col min="5642" max="5642" width="22.42578125" style="44" bestFit="1" customWidth="1"/>
    <col min="5643" max="5643" width="27.28515625" style="44" bestFit="1" customWidth="1"/>
    <col min="5644" max="5644" width="31.28515625" style="44" bestFit="1" customWidth="1"/>
    <col min="5645" max="5645" width="16.5703125" style="44" customWidth="1"/>
    <col min="5646" max="5646" width="3.85546875" style="44" customWidth="1"/>
    <col min="5647" max="5647" width="2.5703125" style="44" customWidth="1"/>
    <col min="5648" max="5648" width="4" style="44" bestFit="1" customWidth="1"/>
    <col min="5649" max="5649" width="3.28515625" style="44" bestFit="1" customWidth="1"/>
    <col min="5650" max="5650" width="3.5703125" style="44" bestFit="1" customWidth="1"/>
    <col min="5651" max="5888" width="9.140625" style="44"/>
    <col min="5889" max="5889" width="1.7109375" style="44" customWidth="1"/>
    <col min="5890" max="5890" width="4.7109375" style="44" bestFit="1" customWidth="1"/>
    <col min="5891" max="5891" width="3.85546875" style="44" bestFit="1" customWidth="1"/>
    <col min="5892" max="5892" width="3.140625" style="44" bestFit="1" customWidth="1"/>
    <col min="5893" max="5893" width="3.5703125" style="44" bestFit="1" customWidth="1"/>
    <col min="5894" max="5894" width="5.85546875" style="44" bestFit="1" customWidth="1"/>
    <col min="5895" max="5895" width="13.85546875" style="44" bestFit="1" customWidth="1"/>
    <col min="5896" max="5896" width="15.28515625" style="44" bestFit="1" customWidth="1"/>
    <col min="5897" max="5897" width="7.140625" style="44" bestFit="1" customWidth="1"/>
    <col min="5898" max="5898" width="22.42578125" style="44" bestFit="1" customWidth="1"/>
    <col min="5899" max="5899" width="27.28515625" style="44" bestFit="1" customWidth="1"/>
    <col min="5900" max="5900" width="31.28515625" style="44" bestFit="1" customWidth="1"/>
    <col min="5901" max="5901" width="16.5703125" style="44" customWidth="1"/>
    <col min="5902" max="5902" width="3.85546875" style="44" customWidth="1"/>
    <col min="5903" max="5903" width="2.5703125" style="44" customWidth="1"/>
    <col min="5904" max="5904" width="4" style="44" bestFit="1" customWidth="1"/>
    <col min="5905" max="5905" width="3.28515625" style="44" bestFit="1" customWidth="1"/>
    <col min="5906" max="5906" width="3.5703125" style="44" bestFit="1" customWidth="1"/>
    <col min="5907" max="6144" width="9.140625" style="44"/>
    <col min="6145" max="6145" width="1.7109375" style="44" customWidth="1"/>
    <col min="6146" max="6146" width="4.7109375" style="44" bestFit="1" customWidth="1"/>
    <col min="6147" max="6147" width="3.85546875" style="44" bestFit="1" customWidth="1"/>
    <col min="6148" max="6148" width="3.140625" style="44" bestFit="1" customWidth="1"/>
    <col min="6149" max="6149" width="3.5703125" style="44" bestFit="1" customWidth="1"/>
    <col min="6150" max="6150" width="5.85546875" style="44" bestFit="1" customWidth="1"/>
    <col min="6151" max="6151" width="13.85546875" style="44" bestFit="1" customWidth="1"/>
    <col min="6152" max="6152" width="15.28515625" style="44" bestFit="1" customWidth="1"/>
    <col min="6153" max="6153" width="7.140625" style="44" bestFit="1" customWidth="1"/>
    <col min="6154" max="6154" width="22.42578125" style="44" bestFit="1" customWidth="1"/>
    <col min="6155" max="6155" width="27.28515625" style="44" bestFit="1" customWidth="1"/>
    <col min="6156" max="6156" width="31.28515625" style="44" bestFit="1" customWidth="1"/>
    <col min="6157" max="6157" width="16.5703125" style="44" customWidth="1"/>
    <col min="6158" max="6158" width="3.85546875" style="44" customWidth="1"/>
    <col min="6159" max="6159" width="2.5703125" style="44" customWidth="1"/>
    <col min="6160" max="6160" width="4" style="44" bestFit="1" customWidth="1"/>
    <col min="6161" max="6161" width="3.28515625" style="44" bestFit="1" customWidth="1"/>
    <col min="6162" max="6162" width="3.5703125" style="44" bestFit="1" customWidth="1"/>
    <col min="6163" max="6400" width="9.140625" style="44"/>
    <col min="6401" max="6401" width="1.7109375" style="44" customWidth="1"/>
    <col min="6402" max="6402" width="4.7109375" style="44" bestFit="1" customWidth="1"/>
    <col min="6403" max="6403" width="3.85546875" style="44" bestFit="1" customWidth="1"/>
    <col min="6404" max="6404" width="3.140625" style="44" bestFit="1" customWidth="1"/>
    <col min="6405" max="6405" width="3.5703125" style="44" bestFit="1" customWidth="1"/>
    <col min="6406" max="6406" width="5.85546875" style="44" bestFit="1" customWidth="1"/>
    <col min="6407" max="6407" width="13.85546875" style="44" bestFit="1" customWidth="1"/>
    <col min="6408" max="6408" width="15.28515625" style="44" bestFit="1" customWidth="1"/>
    <col min="6409" max="6409" width="7.140625" style="44" bestFit="1" customWidth="1"/>
    <col min="6410" max="6410" width="22.42578125" style="44" bestFit="1" customWidth="1"/>
    <col min="6411" max="6411" width="27.28515625" style="44" bestFit="1" customWidth="1"/>
    <col min="6412" max="6412" width="31.28515625" style="44" bestFit="1" customWidth="1"/>
    <col min="6413" max="6413" width="16.5703125" style="44" customWidth="1"/>
    <col min="6414" max="6414" width="3.85546875" style="44" customWidth="1"/>
    <col min="6415" max="6415" width="2.5703125" style="44" customWidth="1"/>
    <col min="6416" max="6416" width="4" style="44" bestFit="1" customWidth="1"/>
    <col min="6417" max="6417" width="3.28515625" style="44" bestFit="1" customWidth="1"/>
    <col min="6418" max="6418" width="3.5703125" style="44" bestFit="1" customWidth="1"/>
    <col min="6419" max="6656" width="9.140625" style="44"/>
    <col min="6657" max="6657" width="1.7109375" style="44" customWidth="1"/>
    <col min="6658" max="6658" width="4.7109375" style="44" bestFit="1" customWidth="1"/>
    <col min="6659" max="6659" width="3.85546875" style="44" bestFit="1" customWidth="1"/>
    <col min="6660" max="6660" width="3.140625" style="44" bestFit="1" customWidth="1"/>
    <col min="6661" max="6661" width="3.5703125" style="44" bestFit="1" customWidth="1"/>
    <col min="6662" max="6662" width="5.85546875" style="44" bestFit="1" customWidth="1"/>
    <col min="6663" max="6663" width="13.85546875" style="44" bestFit="1" customWidth="1"/>
    <col min="6664" max="6664" width="15.28515625" style="44" bestFit="1" customWidth="1"/>
    <col min="6665" max="6665" width="7.140625" style="44" bestFit="1" customWidth="1"/>
    <col min="6666" max="6666" width="22.42578125" style="44" bestFit="1" customWidth="1"/>
    <col min="6667" max="6667" width="27.28515625" style="44" bestFit="1" customWidth="1"/>
    <col min="6668" max="6668" width="31.28515625" style="44" bestFit="1" customWidth="1"/>
    <col min="6669" max="6669" width="16.5703125" style="44" customWidth="1"/>
    <col min="6670" max="6670" width="3.85546875" style="44" customWidth="1"/>
    <col min="6671" max="6671" width="2.5703125" style="44" customWidth="1"/>
    <col min="6672" max="6672" width="4" style="44" bestFit="1" customWidth="1"/>
    <col min="6673" max="6673" width="3.28515625" style="44" bestFit="1" customWidth="1"/>
    <col min="6674" max="6674" width="3.5703125" style="44" bestFit="1" customWidth="1"/>
    <col min="6675" max="6912" width="9.140625" style="44"/>
    <col min="6913" max="6913" width="1.7109375" style="44" customWidth="1"/>
    <col min="6914" max="6914" width="4.7109375" style="44" bestFit="1" customWidth="1"/>
    <col min="6915" max="6915" width="3.85546875" style="44" bestFit="1" customWidth="1"/>
    <col min="6916" max="6916" width="3.140625" style="44" bestFit="1" customWidth="1"/>
    <col min="6917" max="6917" width="3.5703125" style="44" bestFit="1" customWidth="1"/>
    <col min="6918" max="6918" width="5.85546875" style="44" bestFit="1" customWidth="1"/>
    <col min="6919" max="6919" width="13.85546875" style="44" bestFit="1" customWidth="1"/>
    <col min="6920" max="6920" width="15.28515625" style="44" bestFit="1" customWidth="1"/>
    <col min="6921" max="6921" width="7.140625" style="44" bestFit="1" customWidth="1"/>
    <col min="6922" max="6922" width="22.42578125" style="44" bestFit="1" customWidth="1"/>
    <col min="6923" max="6923" width="27.28515625" style="44" bestFit="1" customWidth="1"/>
    <col min="6924" max="6924" width="31.28515625" style="44" bestFit="1" customWidth="1"/>
    <col min="6925" max="6925" width="16.5703125" style="44" customWidth="1"/>
    <col min="6926" max="6926" width="3.85546875" style="44" customWidth="1"/>
    <col min="6927" max="6927" width="2.5703125" style="44" customWidth="1"/>
    <col min="6928" max="6928" width="4" style="44" bestFit="1" customWidth="1"/>
    <col min="6929" max="6929" width="3.28515625" style="44" bestFit="1" customWidth="1"/>
    <col min="6930" max="6930" width="3.5703125" style="44" bestFit="1" customWidth="1"/>
    <col min="6931" max="7168" width="9.140625" style="44"/>
    <col min="7169" max="7169" width="1.7109375" style="44" customWidth="1"/>
    <col min="7170" max="7170" width="4.7109375" style="44" bestFit="1" customWidth="1"/>
    <col min="7171" max="7171" width="3.85546875" style="44" bestFit="1" customWidth="1"/>
    <col min="7172" max="7172" width="3.140625" style="44" bestFit="1" customWidth="1"/>
    <col min="7173" max="7173" width="3.5703125" style="44" bestFit="1" customWidth="1"/>
    <col min="7174" max="7174" width="5.85546875" style="44" bestFit="1" customWidth="1"/>
    <col min="7175" max="7175" width="13.85546875" style="44" bestFit="1" customWidth="1"/>
    <col min="7176" max="7176" width="15.28515625" style="44" bestFit="1" customWidth="1"/>
    <col min="7177" max="7177" width="7.140625" style="44" bestFit="1" customWidth="1"/>
    <col min="7178" max="7178" width="22.42578125" style="44" bestFit="1" customWidth="1"/>
    <col min="7179" max="7179" width="27.28515625" style="44" bestFit="1" customWidth="1"/>
    <col min="7180" max="7180" width="31.28515625" style="44" bestFit="1" customWidth="1"/>
    <col min="7181" max="7181" width="16.5703125" style="44" customWidth="1"/>
    <col min="7182" max="7182" width="3.85546875" style="44" customWidth="1"/>
    <col min="7183" max="7183" width="2.5703125" style="44" customWidth="1"/>
    <col min="7184" max="7184" width="4" style="44" bestFit="1" customWidth="1"/>
    <col min="7185" max="7185" width="3.28515625" style="44" bestFit="1" customWidth="1"/>
    <col min="7186" max="7186" width="3.5703125" style="44" bestFit="1" customWidth="1"/>
    <col min="7187" max="7424" width="9.140625" style="44"/>
    <col min="7425" max="7425" width="1.7109375" style="44" customWidth="1"/>
    <col min="7426" max="7426" width="4.7109375" style="44" bestFit="1" customWidth="1"/>
    <col min="7427" max="7427" width="3.85546875" style="44" bestFit="1" customWidth="1"/>
    <col min="7428" max="7428" width="3.140625" style="44" bestFit="1" customWidth="1"/>
    <col min="7429" max="7429" width="3.5703125" style="44" bestFit="1" customWidth="1"/>
    <col min="7430" max="7430" width="5.85546875" style="44" bestFit="1" customWidth="1"/>
    <col min="7431" max="7431" width="13.85546875" style="44" bestFit="1" customWidth="1"/>
    <col min="7432" max="7432" width="15.28515625" style="44" bestFit="1" customWidth="1"/>
    <col min="7433" max="7433" width="7.140625" style="44" bestFit="1" customWidth="1"/>
    <col min="7434" max="7434" width="22.42578125" style="44" bestFit="1" customWidth="1"/>
    <col min="7435" max="7435" width="27.28515625" style="44" bestFit="1" customWidth="1"/>
    <col min="7436" max="7436" width="31.28515625" style="44" bestFit="1" customWidth="1"/>
    <col min="7437" max="7437" width="16.5703125" style="44" customWidth="1"/>
    <col min="7438" max="7438" width="3.85546875" style="44" customWidth="1"/>
    <col min="7439" max="7439" width="2.5703125" style="44" customWidth="1"/>
    <col min="7440" max="7440" width="4" style="44" bestFit="1" customWidth="1"/>
    <col min="7441" max="7441" width="3.28515625" style="44" bestFit="1" customWidth="1"/>
    <col min="7442" max="7442" width="3.5703125" style="44" bestFit="1" customWidth="1"/>
    <col min="7443" max="7680" width="9.140625" style="44"/>
    <col min="7681" max="7681" width="1.7109375" style="44" customWidth="1"/>
    <col min="7682" max="7682" width="4.7109375" style="44" bestFit="1" customWidth="1"/>
    <col min="7683" max="7683" width="3.85546875" style="44" bestFit="1" customWidth="1"/>
    <col min="7684" max="7684" width="3.140625" style="44" bestFit="1" customWidth="1"/>
    <col min="7685" max="7685" width="3.5703125" style="44" bestFit="1" customWidth="1"/>
    <col min="7686" max="7686" width="5.85546875" style="44" bestFit="1" customWidth="1"/>
    <col min="7687" max="7687" width="13.85546875" style="44" bestFit="1" customWidth="1"/>
    <col min="7688" max="7688" width="15.28515625" style="44" bestFit="1" customWidth="1"/>
    <col min="7689" max="7689" width="7.140625" style="44" bestFit="1" customWidth="1"/>
    <col min="7690" max="7690" width="22.42578125" style="44" bestFit="1" customWidth="1"/>
    <col min="7691" max="7691" width="27.28515625" style="44" bestFit="1" customWidth="1"/>
    <col min="7692" max="7692" width="31.28515625" style="44" bestFit="1" customWidth="1"/>
    <col min="7693" max="7693" width="16.5703125" style="44" customWidth="1"/>
    <col min="7694" max="7694" width="3.85546875" style="44" customWidth="1"/>
    <col min="7695" max="7695" width="2.5703125" style="44" customWidth="1"/>
    <col min="7696" max="7696" width="4" style="44" bestFit="1" customWidth="1"/>
    <col min="7697" max="7697" width="3.28515625" style="44" bestFit="1" customWidth="1"/>
    <col min="7698" max="7698" width="3.5703125" style="44" bestFit="1" customWidth="1"/>
    <col min="7699" max="7936" width="9.140625" style="44"/>
    <col min="7937" max="7937" width="1.7109375" style="44" customWidth="1"/>
    <col min="7938" max="7938" width="4.7109375" style="44" bestFit="1" customWidth="1"/>
    <col min="7939" max="7939" width="3.85546875" style="44" bestFit="1" customWidth="1"/>
    <col min="7940" max="7940" width="3.140625" style="44" bestFit="1" customWidth="1"/>
    <col min="7941" max="7941" width="3.5703125" style="44" bestFit="1" customWidth="1"/>
    <col min="7942" max="7942" width="5.85546875" style="44" bestFit="1" customWidth="1"/>
    <col min="7943" max="7943" width="13.85546875" style="44" bestFit="1" customWidth="1"/>
    <col min="7944" max="7944" width="15.28515625" style="44" bestFit="1" customWidth="1"/>
    <col min="7945" max="7945" width="7.140625" style="44" bestFit="1" customWidth="1"/>
    <col min="7946" max="7946" width="22.42578125" style="44" bestFit="1" customWidth="1"/>
    <col min="7947" max="7947" width="27.28515625" style="44" bestFit="1" customWidth="1"/>
    <col min="7948" max="7948" width="31.28515625" style="44" bestFit="1" customWidth="1"/>
    <col min="7949" max="7949" width="16.5703125" style="44" customWidth="1"/>
    <col min="7950" max="7950" width="3.85546875" style="44" customWidth="1"/>
    <col min="7951" max="7951" width="2.5703125" style="44" customWidth="1"/>
    <col min="7952" max="7952" width="4" style="44" bestFit="1" customWidth="1"/>
    <col min="7953" max="7953" width="3.28515625" style="44" bestFit="1" customWidth="1"/>
    <col min="7954" max="7954" width="3.5703125" style="44" bestFit="1" customWidth="1"/>
    <col min="7955" max="8192" width="9.140625" style="44"/>
    <col min="8193" max="8193" width="1.7109375" style="44" customWidth="1"/>
    <col min="8194" max="8194" width="4.7109375" style="44" bestFit="1" customWidth="1"/>
    <col min="8195" max="8195" width="3.85546875" style="44" bestFit="1" customWidth="1"/>
    <col min="8196" max="8196" width="3.140625" style="44" bestFit="1" customWidth="1"/>
    <col min="8197" max="8197" width="3.5703125" style="44" bestFit="1" customWidth="1"/>
    <col min="8198" max="8198" width="5.85546875" style="44" bestFit="1" customWidth="1"/>
    <col min="8199" max="8199" width="13.85546875" style="44" bestFit="1" customWidth="1"/>
    <col min="8200" max="8200" width="15.28515625" style="44" bestFit="1" customWidth="1"/>
    <col min="8201" max="8201" width="7.140625" style="44" bestFit="1" customWidth="1"/>
    <col min="8202" max="8202" width="22.42578125" style="44" bestFit="1" customWidth="1"/>
    <col min="8203" max="8203" width="27.28515625" style="44" bestFit="1" customWidth="1"/>
    <col min="8204" max="8204" width="31.28515625" style="44" bestFit="1" customWidth="1"/>
    <col min="8205" max="8205" width="16.5703125" style="44" customWidth="1"/>
    <col min="8206" max="8206" width="3.85546875" style="44" customWidth="1"/>
    <col min="8207" max="8207" width="2.5703125" style="44" customWidth="1"/>
    <col min="8208" max="8208" width="4" style="44" bestFit="1" customWidth="1"/>
    <col min="8209" max="8209" width="3.28515625" style="44" bestFit="1" customWidth="1"/>
    <col min="8210" max="8210" width="3.5703125" style="44" bestFit="1" customWidth="1"/>
    <col min="8211" max="8448" width="9.140625" style="44"/>
    <col min="8449" max="8449" width="1.7109375" style="44" customWidth="1"/>
    <col min="8450" max="8450" width="4.7109375" style="44" bestFit="1" customWidth="1"/>
    <col min="8451" max="8451" width="3.85546875" style="44" bestFit="1" customWidth="1"/>
    <col min="8452" max="8452" width="3.140625" style="44" bestFit="1" customWidth="1"/>
    <col min="8453" max="8453" width="3.5703125" style="44" bestFit="1" customWidth="1"/>
    <col min="8454" max="8454" width="5.85546875" style="44" bestFit="1" customWidth="1"/>
    <col min="8455" max="8455" width="13.85546875" style="44" bestFit="1" customWidth="1"/>
    <col min="8456" max="8456" width="15.28515625" style="44" bestFit="1" customWidth="1"/>
    <col min="8457" max="8457" width="7.140625" style="44" bestFit="1" customWidth="1"/>
    <col min="8458" max="8458" width="22.42578125" style="44" bestFit="1" customWidth="1"/>
    <col min="8459" max="8459" width="27.28515625" style="44" bestFit="1" customWidth="1"/>
    <col min="8460" max="8460" width="31.28515625" style="44" bestFit="1" customWidth="1"/>
    <col min="8461" max="8461" width="16.5703125" style="44" customWidth="1"/>
    <col min="8462" max="8462" width="3.85546875" style="44" customWidth="1"/>
    <col min="8463" max="8463" width="2.5703125" style="44" customWidth="1"/>
    <col min="8464" max="8464" width="4" style="44" bestFit="1" customWidth="1"/>
    <col min="8465" max="8465" width="3.28515625" style="44" bestFit="1" customWidth="1"/>
    <col min="8466" max="8466" width="3.5703125" style="44" bestFit="1" customWidth="1"/>
    <col min="8467" max="8704" width="9.140625" style="44"/>
    <col min="8705" max="8705" width="1.7109375" style="44" customWidth="1"/>
    <col min="8706" max="8706" width="4.7109375" style="44" bestFit="1" customWidth="1"/>
    <col min="8707" max="8707" width="3.85546875" style="44" bestFit="1" customWidth="1"/>
    <col min="8708" max="8708" width="3.140625" style="44" bestFit="1" customWidth="1"/>
    <col min="8709" max="8709" width="3.5703125" style="44" bestFit="1" customWidth="1"/>
    <col min="8710" max="8710" width="5.85546875" style="44" bestFit="1" customWidth="1"/>
    <col min="8711" max="8711" width="13.85546875" style="44" bestFit="1" customWidth="1"/>
    <col min="8712" max="8712" width="15.28515625" style="44" bestFit="1" customWidth="1"/>
    <col min="8713" max="8713" width="7.140625" style="44" bestFit="1" customWidth="1"/>
    <col min="8714" max="8714" width="22.42578125" style="44" bestFit="1" customWidth="1"/>
    <col min="8715" max="8715" width="27.28515625" style="44" bestFit="1" customWidth="1"/>
    <col min="8716" max="8716" width="31.28515625" style="44" bestFit="1" customWidth="1"/>
    <col min="8717" max="8717" width="16.5703125" style="44" customWidth="1"/>
    <col min="8718" max="8718" width="3.85546875" style="44" customWidth="1"/>
    <col min="8719" max="8719" width="2.5703125" style="44" customWidth="1"/>
    <col min="8720" max="8720" width="4" style="44" bestFit="1" customWidth="1"/>
    <col min="8721" max="8721" width="3.28515625" style="44" bestFit="1" customWidth="1"/>
    <col min="8722" max="8722" width="3.5703125" style="44" bestFit="1" customWidth="1"/>
    <col min="8723" max="8960" width="9.140625" style="44"/>
    <col min="8961" max="8961" width="1.7109375" style="44" customWidth="1"/>
    <col min="8962" max="8962" width="4.7109375" style="44" bestFit="1" customWidth="1"/>
    <col min="8963" max="8963" width="3.85546875" style="44" bestFit="1" customWidth="1"/>
    <col min="8964" max="8964" width="3.140625" style="44" bestFit="1" customWidth="1"/>
    <col min="8965" max="8965" width="3.5703125" style="44" bestFit="1" customWidth="1"/>
    <col min="8966" max="8966" width="5.85546875" style="44" bestFit="1" customWidth="1"/>
    <col min="8967" max="8967" width="13.85546875" style="44" bestFit="1" customWidth="1"/>
    <col min="8968" max="8968" width="15.28515625" style="44" bestFit="1" customWidth="1"/>
    <col min="8969" max="8969" width="7.140625" style="44" bestFit="1" customWidth="1"/>
    <col min="8970" max="8970" width="22.42578125" style="44" bestFit="1" customWidth="1"/>
    <col min="8971" max="8971" width="27.28515625" style="44" bestFit="1" customWidth="1"/>
    <col min="8972" max="8972" width="31.28515625" style="44" bestFit="1" customWidth="1"/>
    <col min="8973" max="8973" width="16.5703125" style="44" customWidth="1"/>
    <col min="8974" max="8974" width="3.85546875" style="44" customWidth="1"/>
    <col min="8975" max="8975" width="2.5703125" style="44" customWidth="1"/>
    <col min="8976" max="8976" width="4" style="44" bestFit="1" customWidth="1"/>
    <col min="8977" max="8977" width="3.28515625" style="44" bestFit="1" customWidth="1"/>
    <col min="8978" max="8978" width="3.5703125" style="44" bestFit="1" customWidth="1"/>
    <col min="8979" max="9216" width="9.140625" style="44"/>
    <col min="9217" max="9217" width="1.7109375" style="44" customWidth="1"/>
    <col min="9218" max="9218" width="4.7109375" style="44" bestFit="1" customWidth="1"/>
    <col min="9219" max="9219" width="3.85546875" style="44" bestFit="1" customWidth="1"/>
    <col min="9220" max="9220" width="3.140625" style="44" bestFit="1" customWidth="1"/>
    <col min="9221" max="9221" width="3.5703125" style="44" bestFit="1" customWidth="1"/>
    <col min="9222" max="9222" width="5.85546875" style="44" bestFit="1" customWidth="1"/>
    <col min="9223" max="9223" width="13.85546875" style="44" bestFit="1" customWidth="1"/>
    <col min="9224" max="9224" width="15.28515625" style="44" bestFit="1" customWidth="1"/>
    <col min="9225" max="9225" width="7.140625" style="44" bestFit="1" customWidth="1"/>
    <col min="9226" max="9226" width="22.42578125" style="44" bestFit="1" customWidth="1"/>
    <col min="9227" max="9227" width="27.28515625" style="44" bestFit="1" customWidth="1"/>
    <col min="9228" max="9228" width="31.28515625" style="44" bestFit="1" customWidth="1"/>
    <col min="9229" max="9229" width="16.5703125" style="44" customWidth="1"/>
    <col min="9230" max="9230" width="3.85546875" style="44" customWidth="1"/>
    <col min="9231" max="9231" width="2.5703125" style="44" customWidth="1"/>
    <col min="9232" max="9232" width="4" style="44" bestFit="1" customWidth="1"/>
    <col min="9233" max="9233" width="3.28515625" style="44" bestFit="1" customWidth="1"/>
    <col min="9234" max="9234" width="3.5703125" style="44" bestFit="1" customWidth="1"/>
    <col min="9235" max="9472" width="9.140625" style="44"/>
    <col min="9473" max="9473" width="1.7109375" style="44" customWidth="1"/>
    <col min="9474" max="9474" width="4.7109375" style="44" bestFit="1" customWidth="1"/>
    <col min="9475" max="9475" width="3.85546875" style="44" bestFit="1" customWidth="1"/>
    <col min="9476" max="9476" width="3.140625" style="44" bestFit="1" customWidth="1"/>
    <col min="9477" max="9477" width="3.5703125" style="44" bestFit="1" customWidth="1"/>
    <col min="9478" max="9478" width="5.85546875" style="44" bestFit="1" customWidth="1"/>
    <col min="9479" max="9479" width="13.85546875" style="44" bestFit="1" customWidth="1"/>
    <col min="9480" max="9480" width="15.28515625" style="44" bestFit="1" customWidth="1"/>
    <col min="9481" max="9481" width="7.140625" style="44" bestFit="1" customWidth="1"/>
    <col min="9482" max="9482" width="22.42578125" style="44" bestFit="1" customWidth="1"/>
    <col min="9483" max="9483" width="27.28515625" style="44" bestFit="1" customWidth="1"/>
    <col min="9484" max="9484" width="31.28515625" style="44" bestFit="1" customWidth="1"/>
    <col min="9485" max="9485" width="16.5703125" style="44" customWidth="1"/>
    <col min="9486" max="9486" width="3.85546875" style="44" customWidth="1"/>
    <col min="9487" max="9487" width="2.5703125" style="44" customWidth="1"/>
    <col min="9488" max="9488" width="4" style="44" bestFit="1" customWidth="1"/>
    <col min="9489" max="9489" width="3.28515625" style="44" bestFit="1" customWidth="1"/>
    <col min="9490" max="9490" width="3.5703125" style="44" bestFit="1" customWidth="1"/>
    <col min="9491" max="9728" width="9.140625" style="44"/>
    <col min="9729" max="9729" width="1.7109375" style="44" customWidth="1"/>
    <col min="9730" max="9730" width="4.7109375" style="44" bestFit="1" customWidth="1"/>
    <col min="9731" max="9731" width="3.85546875" style="44" bestFit="1" customWidth="1"/>
    <col min="9732" max="9732" width="3.140625" style="44" bestFit="1" customWidth="1"/>
    <col min="9733" max="9733" width="3.5703125" style="44" bestFit="1" customWidth="1"/>
    <col min="9734" max="9734" width="5.85546875" style="44" bestFit="1" customWidth="1"/>
    <col min="9735" max="9735" width="13.85546875" style="44" bestFit="1" customWidth="1"/>
    <col min="9736" max="9736" width="15.28515625" style="44" bestFit="1" customWidth="1"/>
    <col min="9737" max="9737" width="7.140625" style="44" bestFit="1" customWidth="1"/>
    <col min="9738" max="9738" width="22.42578125" style="44" bestFit="1" customWidth="1"/>
    <col min="9739" max="9739" width="27.28515625" style="44" bestFit="1" customWidth="1"/>
    <col min="9740" max="9740" width="31.28515625" style="44" bestFit="1" customWidth="1"/>
    <col min="9741" max="9741" width="16.5703125" style="44" customWidth="1"/>
    <col min="9742" max="9742" width="3.85546875" style="44" customWidth="1"/>
    <col min="9743" max="9743" width="2.5703125" style="44" customWidth="1"/>
    <col min="9744" max="9744" width="4" style="44" bestFit="1" customWidth="1"/>
    <col min="9745" max="9745" width="3.28515625" style="44" bestFit="1" customWidth="1"/>
    <col min="9746" max="9746" width="3.5703125" style="44" bestFit="1" customWidth="1"/>
    <col min="9747" max="9984" width="9.140625" style="44"/>
    <col min="9985" max="9985" width="1.7109375" style="44" customWidth="1"/>
    <col min="9986" max="9986" width="4.7109375" style="44" bestFit="1" customWidth="1"/>
    <col min="9987" max="9987" width="3.85546875" style="44" bestFit="1" customWidth="1"/>
    <col min="9988" max="9988" width="3.140625" style="44" bestFit="1" customWidth="1"/>
    <col min="9989" max="9989" width="3.5703125" style="44" bestFit="1" customWidth="1"/>
    <col min="9990" max="9990" width="5.85546875" style="44" bestFit="1" customWidth="1"/>
    <col min="9991" max="9991" width="13.85546875" style="44" bestFit="1" customWidth="1"/>
    <col min="9992" max="9992" width="15.28515625" style="44" bestFit="1" customWidth="1"/>
    <col min="9993" max="9993" width="7.140625" style="44" bestFit="1" customWidth="1"/>
    <col min="9994" max="9994" width="22.42578125" style="44" bestFit="1" customWidth="1"/>
    <col min="9995" max="9995" width="27.28515625" style="44" bestFit="1" customWidth="1"/>
    <col min="9996" max="9996" width="31.28515625" style="44" bestFit="1" customWidth="1"/>
    <col min="9997" max="9997" width="16.5703125" style="44" customWidth="1"/>
    <col min="9998" max="9998" width="3.85546875" style="44" customWidth="1"/>
    <col min="9999" max="9999" width="2.5703125" style="44" customWidth="1"/>
    <col min="10000" max="10000" width="4" style="44" bestFit="1" customWidth="1"/>
    <col min="10001" max="10001" width="3.28515625" style="44" bestFit="1" customWidth="1"/>
    <col min="10002" max="10002" width="3.5703125" style="44" bestFit="1" customWidth="1"/>
    <col min="10003" max="10240" width="9.140625" style="44"/>
    <col min="10241" max="10241" width="1.7109375" style="44" customWidth="1"/>
    <col min="10242" max="10242" width="4.7109375" style="44" bestFit="1" customWidth="1"/>
    <col min="10243" max="10243" width="3.85546875" style="44" bestFit="1" customWidth="1"/>
    <col min="10244" max="10244" width="3.140625" style="44" bestFit="1" customWidth="1"/>
    <col min="10245" max="10245" width="3.5703125" style="44" bestFit="1" customWidth="1"/>
    <col min="10246" max="10246" width="5.85546875" style="44" bestFit="1" customWidth="1"/>
    <col min="10247" max="10247" width="13.85546875" style="44" bestFit="1" customWidth="1"/>
    <col min="10248" max="10248" width="15.28515625" style="44" bestFit="1" customWidth="1"/>
    <col min="10249" max="10249" width="7.140625" style="44" bestFit="1" customWidth="1"/>
    <col min="10250" max="10250" width="22.42578125" style="44" bestFit="1" customWidth="1"/>
    <col min="10251" max="10251" width="27.28515625" style="44" bestFit="1" customWidth="1"/>
    <col min="10252" max="10252" width="31.28515625" style="44" bestFit="1" customWidth="1"/>
    <col min="10253" max="10253" width="16.5703125" style="44" customWidth="1"/>
    <col min="10254" max="10254" width="3.85546875" style="44" customWidth="1"/>
    <col min="10255" max="10255" width="2.5703125" style="44" customWidth="1"/>
    <col min="10256" max="10256" width="4" style="44" bestFit="1" customWidth="1"/>
    <col min="10257" max="10257" width="3.28515625" style="44" bestFit="1" customWidth="1"/>
    <col min="10258" max="10258" width="3.5703125" style="44" bestFit="1" customWidth="1"/>
    <col min="10259" max="10496" width="9.140625" style="44"/>
    <col min="10497" max="10497" width="1.7109375" style="44" customWidth="1"/>
    <col min="10498" max="10498" width="4.7109375" style="44" bestFit="1" customWidth="1"/>
    <col min="10499" max="10499" width="3.85546875" style="44" bestFit="1" customWidth="1"/>
    <col min="10500" max="10500" width="3.140625" style="44" bestFit="1" customWidth="1"/>
    <col min="10501" max="10501" width="3.5703125" style="44" bestFit="1" customWidth="1"/>
    <col min="10502" max="10502" width="5.85546875" style="44" bestFit="1" customWidth="1"/>
    <col min="10503" max="10503" width="13.85546875" style="44" bestFit="1" customWidth="1"/>
    <col min="10504" max="10504" width="15.28515625" style="44" bestFit="1" customWidth="1"/>
    <col min="10505" max="10505" width="7.140625" style="44" bestFit="1" customWidth="1"/>
    <col min="10506" max="10506" width="22.42578125" style="44" bestFit="1" customWidth="1"/>
    <col min="10507" max="10507" width="27.28515625" style="44" bestFit="1" customWidth="1"/>
    <col min="10508" max="10508" width="31.28515625" style="44" bestFit="1" customWidth="1"/>
    <col min="10509" max="10509" width="16.5703125" style="44" customWidth="1"/>
    <col min="10510" max="10510" width="3.85546875" style="44" customWidth="1"/>
    <col min="10511" max="10511" width="2.5703125" style="44" customWidth="1"/>
    <col min="10512" max="10512" width="4" style="44" bestFit="1" customWidth="1"/>
    <col min="10513" max="10513" width="3.28515625" style="44" bestFit="1" customWidth="1"/>
    <col min="10514" max="10514" width="3.5703125" style="44" bestFit="1" customWidth="1"/>
    <col min="10515" max="10752" width="9.140625" style="44"/>
    <col min="10753" max="10753" width="1.7109375" style="44" customWidth="1"/>
    <col min="10754" max="10754" width="4.7109375" style="44" bestFit="1" customWidth="1"/>
    <col min="10755" max="10755" width="3.85546875" style="44" bestFit="1" customWidth="1"/>
    <col min="10756" max="10756" width="3.140625" style="44" bestFit="1" customWidth="1"/>
    <col min="10757" max="10757" width="3.5703125" style="44" bestFit="1" customWidth="1"/>
    <col min="10758" max="10758" width="5.85546875" style="44" bestFit="1" customWidth="1"/>
    <col min="10759" max="10759" width="13.85546875" style="44" bestFit="1" customWidth="1"/>
    <col min="10760" max="10760" width="15.28515625" style="44" bestFit="1" customWidth="1"/>
    <col min="10761" max="10761" width="7.140625" style="44" bestFit="1" customWidth="1"/>
    <col min="10762" max="10762" width="22.42578125" style="44" bestFit="1" customWidth="1"/>
    <col min="10763" max="10763" width="27.28515625" style="44" bestFit="1" customWidth="1"/>
    <col min="10764" max="10764" width="31.28515625" style="44" bestFit="1" customWidth="1"/>
    <col min="10765" max="10765" width="16.5703125" style="44" customWidth="1"/>
    <col min="10766" max="10766" width="3.85546875" style="44" customWidth="1"/>
    <col min="10767" max="10767" width="2.5703125" style="44" customWidth="1"/>
    <col min="10768" max="10768" width="4" style="44" bestFit="1" customWidth="1"/>
    <col min="10769" max="10769" width="3.28515625" style="44" bestFit="1" customWidth="1"/>
    <col min="10770" max="10770" width="3.5703125" style="44" bestFit="1" customWidth="1"/>
    <col min="10771" max="11008" width="9.140625" style="44"/>
    <col min="11009" max="11009" width="1.7109375" style="44" customWidth="1"/>
    <col min="11010" max="11010" width="4.7109375" style="44" bestFit="1" customWidth="1"/>
    <col min="11011" max="11011" width="3.85546875" style="44" bestFit="1" customWidth="1"/>
    <col min="11012" max="11012" width="3.140625" style="44" bestFit="1" customWidth="1"/>
    <col min="11013" max="11013" width="3.5703125" style="44" bestFit="1" customWidth="1"/>
    <col min="11014" max="11014" width="5.85546875" style="44" bestFit="1" customWidth="1"/>
    <col min="11015" max="11015" width="13.85546875" style="44" bestFit="1" customWidth="1"/>
    <col min="11016" max="11016" width="15.28515625" style="44" bestFit="1" customWidth="1"/>
    <col min="11017" max="11017" width="7.140625" style="44" bestFit="1" customWidth="1"/>
    <col min="11018" max="11018" width="22.42578125" style="44" bestFit="1" customWidth="1"/>
    <col min="11019" max="11019" width="27.28515625" style="44" bestFit="1" customWidth="1"/>
    <col min="11020" max="11020" width="31.28515625" style="44" bestFit="1" customWidth="1"/>
    <col min="11021" max="11021" width="16.5703125" style="44" customWidth="1"/>
    <col min="11022" max="11022" width="3.85546875" style="44" customWidth="1"/>
    <col min="11023" max="11023" width="2.5703125" style="44" customWidth="1"/>
    <col min="11024" max="11024" width="4" style="44" bestFit="1" customWidth="1"/>
    <col min="11025" max="11025" width="3.28515625" style="44" bestFit="1" customWidth="1"/>
    <col min="11026" max="11026" width="3.5703125" style="44" bestFit="1" customWidth="1"/>
    <col min="11027" max="11264" width="9.140625" style="44"/>
    <col min="11265" max="11265" width="1.7109375" style="44" customWidth="1"/>
    <col min="11266" max="11266" width="4.7109375" style="44" bestFit="1" customWidth="1"/>
    <col min="11267" max="11267" width="3.85546875" style="44" bestFit="1" customWidth="1"/>
    <col min="11268" max="11268" width="3.140625" style="44" bestFit="1" customWidth="1"/>
    <col min="11269" max="11269" width="3.5703125" style="44" bestFit="1" customWidth="1"/>
    <col min="11270" max="11270" width="5.85546875" style="44" bestFit="1" customWidth="1"/>
    <col min="11271" max="11271" width="13.85546875" style="44" bestFit="1" customWidth="1"/>
    <col min="11272" max="11272" width="15.28515625" style="44" bestFit="1" customWidth="1"/>
    <col min="11273" max="11273" width="7.140625" style="44" bestFit="1" customWidth="1"/>
    <col min="11274" max="11274" width="22.42578125" style="44" bestFit="1" customWidth="1"/>
    <col min="11275" max="11275" width="27.28515625" style="44" bestFit="1" customWidth="1"/>
    <col min="11276" max="11276" width="31.28515625" style="44" bestFit="1" customWidth="1"/>
    <col min="11277" max="11277" width="16.5703125" style="44" customWidth="1"/>
    <col min="11278" max="11278" width="3.85546875" style="44" customWidth="1"/>
    <col min="11279" max="11279" width="2.5703125" style="44" customWidth="1"/>
    <col min="11280" max="11280" width="4" style="44" bestFit="1" customWidth="1"/>
    <col min="11281" max="11281" width="3.28515625" style="44" bestFit="1" customWidth="1"/>
    <col min="11282" max="11282" width="3.5703125" style="44" bestFit="1" customWidth="1"/>
    <col min="11283" max="11520" width="9.140625" style="44"/>
    <col min="11521" max="11521" width="1.7109375" style="44" customWidth="1"/>
    <col min="11522" max="11522" width="4.7109375" style="44" bestFit="1" customWidth="1"/>
    <col min="11523" max="11523" width="3.85546875" style="44" bestFit="1" customWidth="1"/>
    <col min="11524" max="11524" width="3.140625" style="44" bestFit="1" customWidth="1"/>
    <col min="11525" max="11525" width="3.5703125" style="44" bestFit="1" customWidth="1"/>
    <col min="11526" max="11526" width="5.85546875" style="44" bestFit="1" customWidth="1"/>
    <col min="11527" max="11527" width="13.85546875" style="44" bestFit="1" customWidth="1"/>
    <col min="11528" max="11528" width="15.28515625" style="44" bestFit="1" customWidth="1"/>
    <col min="11529" max="11529" width="7.140625" style="44" bestFit="1" customWidth="1"/>
    <col min="11530" max="11530" width="22.42578125" style="44" bestFit="1" customWidth="1"/>
    <col min="11531" max="11531" width="27.28515625" style="44" bestFit="1" customWidth="1"/>
    <col min="11532" max="11532" width="31.28515625" style="44" bestFit="1" customWidth="1"/>
    <col min="11533" max="11533" width="16.5703125" style="44" customWidth="1"/>
    <col min="11534" max="11534" width="3.85546875" style="44" customWidth="1"/>
    <col min="11535" max="11535" width="2.5703125" style="44" customWidth="1"/>
    <col min="11536" max="11536" width="4" style="44" bestFit="1" customWidth="1"/>
    <col min="11537" max="11537" width="3.28515625" style="44" bestFit="1" customWidth="1"/>
    <col min="11538" max="11538" width="3.5703125" style="44" bestFit="1" customWidth="1"/>
    <col min="11539" max="11776" width="9.140625" style="44"/>
    <col min="11777" max="11777" width="1.7109375" style="44" customWidth="1"/>
    <col min="11778" max="11778" width="4.7109375" style="44" bestFit="1" customWidth="1"/>
    <col min="11779" max="11779" width="3.85546875" style="44" bestFit="1" customWidth="1"/>
    <col min="11780" max="11780" width="3.140625" style="44" bestFit="1" customWidth="1"/>
    <col min="11781" max="11781" width="3.5703125" style="44" bestFit="1" customWidth="1"/>
    <col min="11782" max="11782" width="5.85546875" style="44" bestFit="1" customWidth="1"/>
    <col min="11783" max="11783" width="13.85546875" style="44" bestFit="1" customWidth="1"/>
    <col min="11784" max="11784" width="15.28515625" style="44" bestFit="1" customWidth="1"/>
    <col min="11785" max="11785" width="7.140625" style="44" bestFit="1" customWidth="1"/>
    <col min="11786" max="11786" width="22.42578125" style="44" bestFit="1" customWidth="1"/>
    <col min="11787" max="11787" width="27.28515625" style="44" bestFit="1" customWidth="1"/>
    <col min="11788" max="11788" width="31.28515625" style="44" bestFit="1" customWidth="1"/>
    <col min="11789" max="11789" width="16.5703125" style="44" customWidth="1"/>
    <col min="11790" max="11790" width="3.85546875" style="44" customWidth="1"/>
    <col min="11791" max="11791" width="2.5703125" style="44" customWidth="1"/>
    <col min="11792" max="11792" width="4" style="44" bestFit="1" customWidth="1"/>
    <col min="11793" max="11793" width="3.28515625" style="44" bestFit="1" customWidth="1"/>
    <col min="11794" max="11794" width="3.5703125" style="44" bestFit="1" customWidth="1"/>
    <col min="11795" max="12032" width="9.140625" style="44"/>
    <col min="12033" max="12033" width="1.7109375" style="44" customWidth="1"/>
    <col min="12034" max="12034" width="4.7109375" style="44" bestFit="1" customWidth="1"/>
    <col min="12035" max="12035" width="3.85546875" style="44" bestFit="1" customWidth="1"/>
    <col min="12036" max="12036" width="3.140625" style="44" bestFit="1" customWidth="1"/>
    <col min="12037" max="12037" width="3.5703125" style="44" bestFit="1" customWidth="1"/>
    <col min="12038" max="12038" width="5.85546875" style="44" bestFit="1" customWidth="1"/>
    <col min="12039" max="12039" width="13.85546875" style="44" bestFit="1" customWidth="1"/>
    <col min="12040" max="12040" width="15.28515625" style="44" bestFit="1" customWidth="1"/>
    <col min="12041" max="12041" width="7.140625" style="44" bestFit="1" customWidth="1"/>
    <col min="12042" max="12042" width="22.42578125" style="44" bestFit="1" customWidth="1"/>
    <col min="12043" max="12043" width="27.28515625" style="44" bestFit="1" customWidth="1"/>
    <col min="12044" max="12044" width="31.28515625" style="44" bestFit="1" customWidth="1"/>
    <col min="12045" max="12045" width="16.5703125" style="44" customWidth="1"/>
    <col min="12046" max="12046" width="3.85546875" style="44" customWidth="1"/>
    <col min="12047" max="12047" width="2.5703125" style="44" customWidth="1"/>
    <col min="12048" max="12048" width="4" style="44" bestFit="1" customWidth="1"/>
    <col min="12049" max="12049" width="3.28515625" style="44" bestFit="1" customWidth="1"/>
    <col min="12050" max="12050" width="3.5703125" style="44" bestFit="1" customWidth="1"/>
    <col min="12051" max="12288" width="9.140625" style="44"/>
    <col min="12289" max="12289" width="1.7109375" style="44" customWidth="1"/>
    <col min="12290" max="12290" width="4.7109375" style="44" bestFit="1" customWidth="1"/>
    <col min="12291" max="12291" width="3.85546875" style="44" bestFit="1" customWidth="1"/>
    <col min="12292" max="12292" width="3.140625" style="44" bestFit="1" customWidth="1"/>
    <col min="12293" max="12293" width="3.5703125" style="44" bestFit="1" customWidth="1"/>
    <col min="12294" max="12294" width="5.85546875" style="44" bestFit="1" customWidth="1"/>
    <col min="12295" max="12295" width="13.85546875" style="44" bestFit="1" customWidth="1"/>
    <col min="12296" max="12296" width="15.28515625" style="44" bestFit="1" customWidth="1"/>
    <col min="12297" max="12297" width="7.140625" style="44" bestFit="1" customWidth="1"/>
    <col min="12298" max="12298" width="22.42578125" style="44" bestFit="1" customWidth="1"/>
    <col min="12299" max="12299" width="27.28515625" style="44" bestFit="1" customWidth="1"/>
    <col min="12300" max="12300" width="31.28515625" style="44" bestFit="1" customWidth="1"/>
    <col min="12301" max="12301" width="16.5703125" style="44" customWidth="1"/>
    <col min="12302" max="12302" width="3.85546875" style="44" customWidth="1"/>
    <col min="12303" max="12303" width="2.5703125" style="44" customWidth="1"/>
    <col min="12304" max="12304" width="4" style="44" bestFit="1" customWidth="1"/>
    <col min="12305" max="12305" width="3.28515625" style="44" bestFit="1" customWidth="1"/>
    <col min="12306" max="12306" width="3.5703125" style="44" bestFit="1" customWidth="1"/>
    <col min="12307" max="12544" width="9.140625" style="44"/>
    <col min="12545" max="12545" width="1.7109375" style="44" customWidth="1"/>
    <col min="12546" max="12546" width="4.7109375" style="44" bestFit="1" customWidth="1"/>
    <col min="12547" max="12547" width="3.85546875" style="44" bestFit="1" customWidth="1"/>
    <col min="12548" max="12548" width="3.140625" style="44" bestFit="1" customWidth="1"/>
    <col min="12549" max="12549" width="3.5703125" style="44" bestFit="1" customWidth="1"/>
    <col min="12550" max="12550" width="5.85546875" style="44" bestFit="1" customWidth="1"/>
    <col min="12551" max="12551" width="13.85546875" style="44" bestFit="1" customWidth="1"/>
    <col min="12552" max="12552" width="15.28515625" style="44" bestFit="1" customWidth="1"/>
    <col min="12553" max="12553" width="7.140625" style="44" bestFit="1" customWidth="1"/>
    <col min="12554" max="12554" width="22.42578125" style="44" bestFit="1" customWidth="1"/>
    <col min="12555" max="12555" width="27.28515625" style="44" bestFit="1" customWidth="1"/>
    <col min="12556" max="12556" width="31.28515625" style="44" bestFit="1" customWidth="1"/>
    <col min="12557" max="12557" width="16.5703125" style="44" customWidth="1"/>
    <col min="12558" max="12558" width="3.85546875" style="44" customWidth="1"/>
    <col min="12559" max="12559" width="2.5703125" style="44" customWidth="1"/>
    <col min="12560" max="12560" width="4" style="44" bestFit="1" customWidth="1"/>
    <col min="12561" max="12561" width="3.28515625" style="44" bestFit="1" customWidth="1"/>
    <col min="12562" max="12562" width="3.5703125" style="44" bestFit="1" customWidth="1"/>
    <col min="12563" max="12800" width="9.140625" style="44"/>
    <col min="12801" max="12801" width="1.7109375" style="44" customWidth="1"/>
    <col min="12802" max="12802" width="4.7109375" style="44" bestFit="1" customWidth="1"/>
    <col min="12803" max="12803" width="3.85546875" style="44" bestFit="1" customWidth="1"/>
    <col min="12804" max="12804" width="3.140625" style="44" bestFit="1" customWidth="1"/>
    <col min="12805" max="12805" width="3.5703125" style="44" bestFit="1" customWidth="1"/>
    <col min="12806" max="12806" width="5.85546875" style="44" bestFit="1" customWidth="1"/>
    <col min="12807" max="12807" width="13.85546875" style="44" bestFit="1" customWidth="1"/>
    <col min="12808" max="12808" width="15.28515625" style="44" bestFit="1" customWidth="1"/>
    <col min="12809" max="12809" width="7.140625" style="44" bestFit="1" customWidth="1"/>
    <col min="12810" max="12810" width="22.42578125" style="44" bestFit="1" customWidth="1"/>
    <col min="12811" max="12811" width="27.28515625" style="44" bestFit="1" customWidth="1"/>
    <col min="12812" max="12812" width="31.28515625" style="44" bestFit="1" customWidth="1"/>
    <col min="12813" max="12813" width="16.5703125" style="44" customWidth="1"/>
    <col min="12814" max="12814" width="3.85546875" style="44" customWidth="1"/>
    <col min="12815" max="12815" width="2.5703125" style="44" customWidth="1"/>
    <col min="12816" max="12816" width="4" style="44" bestFit="1" customWidth="1"/>
    <col min="12817" max="12817" width="3.28515625" style="44" bestFit="1" customWidth="1"/>
    <col min="12818" max="12818" width="3.5703125" style="44" bestFit="1" customWidth="1"/>
    <col min="12819" max="13056" width="9.140625" style="44"/>
    <col min="13057" max="13057" width="1.7109375" style="44" customWidth="1"/>
    <col min="13058" max="13058" width="4.7109375" style="44" bestFit="1" customWidth="1"/>
    <col min="13059" max="13059" width="3.85546875" style="44" bestFit="1" customWidth="1"/>
    <col min="13060" max="13060" width="3.140625" style="44" bestFit="1" customWidth="1"/>
    <col min="13061" max="13061" width="3.5703125" style="44" bestFit="1" customWidth="1"/>
    <col min="13062" max="13062" width="5.85546875" style="44" bestFit="1" customWidth="1"/>
    <col min="13063" max="13063" width="13.85546875" style="44" bestFit="1" customWidth="1"/>
    <col min="13064" max="13064" width="15.28515625" style="44" bestFit="1" customWidth="1"/>
    <col min="13065" max="13065" width="7.140625" style="44" bestFit="1" customWidth="1"/>
    <col min="13066" max="13066" width="22.42578125" style="44" bestFit="1" customWidth="1"/>
    <col min="13067" max="13067" width="27.28515625" style="44" bestFit="1" customWidth="1"/>
    <col min="13068" max="13068" width="31.28515625" style="44" bestFit="1" customWidth="1"/>
    <col min="13069" max="13069" width="16.5703125" style="44" customWidth="1"/>
    <col min="13070" max="13070" width="3.85546875" style="44" customWidth="1"/>
    <col min="13071" max="13071" width="2.5703125" style="44" customWidth="1"/>
    <col min="13072" max="13072" width="4" style="44" bestFit="1" customWidth="1"/>
    <col min="13073" max="13073" width="3.28515625" style="44" bestFit="1" customWidth="1"/>
    <col min="13074" max="13074" width="3.5703125" style="44" bestFit="1" customWidth="1"/>
    <col min="13075" max="13312" width="9.140625" style="44"/>
    <col min="13313" max="13313" width="1.7109375" style="44" customWidth="1"/>
    <col min="13314" max="13314" width="4.7109375" style="44" bestFit="1" customWidth="1"/>
    <col min="13315" max="13315" width="3.85546875" style="44" bestFit="1" customWidth="1"/>
    <col min="13316" max="13316" width="3.140625" style="44" bestFit="1" customWidth="1"/>
    <col min="13317" max="13317" width="3.5703125" style="44" bestFit="1" customWidth="1"/>
    <col min="13318" max="13318" width="5.85546875" style="44" bestFit="1" customWidth="1"/>
    <col min="13319" max="13319" width="13.85546875" style="44" bestFit="1" customWidth="1"/>
    <col min="13320" max="13320" width="15.28515625" style="44" bestFit="1" customWidth="1"/>
    <col min="13321" max="13321" width="7.140625" style="44" bestFit="1" customWidth="1"/>
    <col min="13322" max="13322" width="22.42578125" style="44" bestFit="1" customWidth="1"/>
    <col min="13323" max="13323" width="27.28515625" style="44" bestFit="1" customWidth="1"/>
    <col min="13324" max="13324" width="31.28515625" style="44" bestFit="1" customWidth="1"/>
    <col min="13325" max="13325" width="16.5703125" style="44" customWidth="1"/>
    <col min="13326" max="13326" width="3.85546875" style="44" customWidth="1"/>
    <col min="13327" max="13327" width="2.5703125" style="44" customWidth="1"/>
    <col min="13328" max="13328" width="4" style="44" bestFit="1" customWidth="1"/>
    <col min="13329" max="13329" width="3.28515625" style="44" bestFit="1" customWidth="1"/>
    <col min="13330" max="13330" width="3.5703125" style="44" bestFit="1" customWidth="1"/>
    <col min="13331" max="13568" width="9.140625" style="44"/>
    <col min="13569" max="13569" width="1.7109375" style="44" customWidth="1"/>
    <col min="13570" max="13570" width="4.7109375" style="44" bestFit="1" customWidth="1"/>
    <col min="13571" max="13571" width="3.85546875" style="44" bestFit="1" customWidth="1"/>
    <col min="13572" max="13572" width="3.140625" style="44" bestFit="1" customWidth="1"/>
    <col min="13573" max="13573" width="3.5703125" style="44" bestFit="1" customWidth="1"/>
    <col min="13574" max="13574" width="5.85546875" style="44" bestFit="1" customWidth="1"/>
    <col min="13575" max="13575" width="13.85546875" style="44" bestFit="1" customWidth="1"/>
    <col min="13576" max="13576" width="15.28515625" style="44" bestFit="1" customWidth="1"/>
    <col min="13577" max="13577" width="7.140625" style="44" bestFit="1" customWidth="1"/>
    <col min="13578" max="13578" width="22.42578125" style="44" bestFit="1" customWidth="1"/>
    <col min="13579" max="13579" width="27.28515625" style="44" bestFit="1" customWidth="1"/>
    <col min="13580" max="13580" width="31.28515625" style="44" bestFit="1" customWidth="1"/>
    <col min="13581" max="13581" width="16.5703125" style="44" customWidth="1"/>
    <col min="13582" max="13582" width="3.85546875" style="44" customWidth="1"/>
    <col min="13583" max="13583" width="2.5703125" style="44" customWidth="1"/>
    <col min="13584" max="13584" width="4" style="44" bestFit="1" customWidth="1"/>
    <col min="13585" max="13585" width="3.28515625" style="44" bestFit="1" customWidth="1"/>
    <col min="13586" max="13586" width="3.5703125" style="44" bestFit="1" customWidth="1"/>
    <col min="13587" max="13824" width="9.140625" style="44"/>
    <col min="13825" max="13825" width="1.7109375" style="44" customWidth="1"/>
    <col min="13826" max="13826" width="4.7109375" style="44" bestFit="1" customWidth="1"/>
    <col min="13827" max="13827" width="3.85546875" style="44" bestFit="1" customWidth="1"/>
    <col min="13828" max="13828" width="3.140625" style="44" bestFit="1" customWidth="1"/>
    <col min="13829" max="13829" width="3.5703125" style="44" bestFit="1" customWidth="1"/>
    <col min="13830" max="13830" width="5.85546875" style="44" bestFit="1" customWidth="1"/>
    <col min="13831" max="13831" width="13.85546875" style="44" bestFit="1" customWidth="1"/>
    <col min="13832" max="13832" width="15.28515625" style="44" bestFit="1" customWidth="1"/>
    <col min="13833" max="13833" width="7.140625" style="44" bestFit="1" customWidth="1"/>
    <col min="13834" max="13834" width="22.42578125" style="44" bestFit="1" customWidth="1"/>
    <col min="13835" max="13835" width="27.28515625" style="44" bestFit="1" customWidth="1"/>
    <col min="13836" max="13836" width="31.28515625" style="44" bestFit="1" customWidth="1"/>
    <col min="13837" max="13837" width="16.5703125" style="44" customWidth="1"/>
    <col min="13838" max="13838" width="3.85546875" style="44" customWidth="1"/>
    <col min="13839" max="13839" width="2.5703125" style="44" customWidth="1"/>
    <col min="13840" max="13840" width="4" style="44" bestFit="1" customWidth="1"/>
    <col min="13841" max="13841" width="3.28515625" style="44" bestFit="1" customWidth="1"/>
    <col min="13842" max="13842" width="3.5703125" style="44" bestFit="1" customWidth="1"/>
    <col min="13843" max="14080" width="9.140625" style="44"/>
    <col min="14081" max="14081" width="1.7109375" style="44" customWidth="1"/>
    <col min="14082" max="14082" width="4.7109375" style="44" bestFit="1" customWidth="1"/>
    <col min="14083" max="14083" width="3.85546875" style="44" bestFit="1" customWidth="1"/>
    <col min="14084" max="14084" width="3.140625" style="44" bestFit="1" customWidth="1"/>
    <col min="14085" max="14085" width="3.5703125" style="44" bestFit="1" customWidth="1"/>
    <col min="14086" max="14086" width="5.85546875" style="44" bestFit="1" customWidth="1"/>
    <col min="14087" max="14087" width="13.85546875" style="44" bestFit="1" customWidth="1"/>
    <col min="14088" max="14088" width="15.28515625" style="44" bestFit="1" customWidth="1"/>
    <col min="14089" max="14089" width="7.140625" style="44" bestFit="1" customWidth="1"/>
    <col min="14090" max="14090" width="22.42578125" style="44" bestFit="1" customWidth="1"/>
    <col min="14091" max="14091" width="27.28515625" style="44" bestFit="1" customWidth="1"/>
    <col min="14092" max="14092" width="31.28515625" style="44" bestFit="1" customWidth="1"/>
    <col min="14093" max="14093" width="16.5703125" style="44" customWidth="1"/>
    <col min="14094" max="14094" width="3.85546875" style="44" customWidth="1"/>
    <col min="14095" max="14095" width="2.5703125" style="44" customWidth="1"/>
    <col min="14096" max="14096" width="4" style="44" bestFit="1" customWidth="1"/>
    <col min="14097" max="14097" width="3.28515625" style="44" bestFit="1" customWidth="1"/>
    <col min="14098" max="14098" width="3.5703125" style="44" bestFit="1" customWidth="1"/>
    <col min="14099" max="14336" width="9.140625" style="44"/>
    <col min="14337" max="14337" width="1.7109375" style="44" customWidth="1"/>
    <col min="14338" max="14338" width="4.7109375" style="44" bestFit="1" customWidth="1"/>
    <col min="14339" max="14339" width="3.85546875" style="44" bestFit="1" customWidth="1"/>
    <col min="14340" max="14340" width="3.140625" style="44" bestFit="1" customWidth="1"/>
    <col min="14341" max="14341" width="3.5703125" style="44" bestFit="1" customWidth="1"/>
    <col min="14342" max="14342" width="5.85546875" style="44" bestFit="1" customWidth="1"/>
    <col min="14343" max="14343" width="13.85546875" style="44" bestFit="1" customWidth="1"/>
    <col min="14344" max="14344" width="15.28515625" style="44" bestFit="1" customWidth="1"/>
    <col min="14345" max="14345" width="7.140625" style="44" bestFit="1" customWidth="1"/>
    <col min="14346" max="14346" width="22.42578125" style="44" bestFit="1" customWidth="1"/>
    <col min="14347" max="14347" width="27.28515625" style="44" bestFit="1" customWidth="1"/>
    <col min="14348" max="14348" width="31.28515625" style="44" bestFit="1" customWidth="1"/>
    <col min="14349" max="14349" width="16.5703125" style="44" customWidth="1"/>
    <col min="14350" max="14350" width="3.85546875" style="44" customWidth="1"/>
    <col min="14351" max="14351" width="2.5703125" style="44" customWidth="1"/>
    <col min="14352" max="14352" width="4" style="44" bestFit="1" customWidth="1"/>
    <col min="14353" max="14353" width="3.28515625" style="44" bestFit="1" customWidth="1"/>
    <col min="14354" max="14354" width="3.5703125" style="44" bestFit="1" customWidth="1"/>
    <col min="14355" max="14592" width="9.140625" style="44"/>
    <col min="14593" max="14593" width="1.7109375" style="44" customWidth="1"/>
    <col min="14594" max="14594" width="4.7109375" style="44" bestFit="1" customWidth="1"/>
    <col min="14595" max="14595" width="3.85546875" style="44" bestFit="1" customWidth="1"/>
    <col min="14596" max="14596" width="3.140625" style="44" bestFit="1" customWidth="1"/>
    <col min="14597" max="14597" width="3.5703125" style="44" bestFit="1" customWidth="1"/>
    <col min="14598" max="14598" width="5.85546875" style="44" bestFit="1" customWidth="1"/>
    <col min="14599" max="14599" width="13.85546875" style="44" bestFit="1" customWidth="1"/>
    <col min="14600" max="14600" width="15.28515625" style="44" bestFit="1" customWidth="1"/>
    <col min="14601" max="14601" width="7.140625" style="44" bestFit="1" customWidth="1"/>
    <col min="14602" max="14602" width="22.42578125" style="44" bestFit="1" customWidth="1"/>
    <col min="14603" max="14603" width="27.28515625" style="44" bestFit="1" customWidth="1"/>
    <col min="14604" max="14604" width="31.28515625" style="44" bestFit="1" customWidth="1"/>
    <col min="14605" max="14605" width="16.5703125" style="44" customWidth="1"/>
    <col min="14606" max="14606" width="3.85546875" style="44" customWidth="1"/>
    <col min="14607" max="14607" width="2.5703125" style="44" customWidth="1"/>
    <col min="14608" max="14608" width="4" style="44" bestFit="1" customWidth="1"/>
    <col min="14609" max="14609" width="3.28515625" style="44" bestFit="1" customWidth="1"/>
    <col min="14610" max="14610" width="3.5703125" style="44" bestFit="1" customWidth="1"/>
    <col min="14611" max="14848" width="9.140625" style="44"/>
    <col min="14849" max="14849" width="1.7109375" style="44" customWidth="1"/>
    <col min="14850" max="14850" width="4.7109375" style="44" bestFit="1" customWidth="1"/>
    <col min="14851" max="14851" width="3.85546875" style="44" bestFit="1" customWidth="1"/>
    <col min="14852" max="14852" width="3.140625" style="44" bestFit="1" customWidth="1"/>
    <col min="14853" max="14853" width="3.5703125" style="44" bestFit="1" customWidth="1"/>
    <col min="14854" max="14854" width="5.85546875" style="44" bestFit="1" customWidth="1"/>
    <col min="14855" max="14855" width="13.85546875" style="44" bestFit="1" customWidth="1"/>
    <col min="14856" max="14856" width="15.28515625" style="44" bestFit="1" customWidth="1"/>
    <col min="14857" max="14857" width="7.140625" style="44" bestFit="1" customWidth="1"/>
    <col min="14858" max="14858" width="22.42578125" style="44" bestFit="1" customWidth="1"/>
    <col min="14859" max="14859" width="27.28515625" style="44" bestFit="1" customWidth="1"/>
    <col min="14860" max="14860" width="31.28515625" style="44" bestFit="1" customWidth="1"/>
    <col min="14861" max="14861" width="16.5703125" style="44" customWidth="1"/>
    <col min="14862" max="14862" width="3.85546875" style="44" customWidth="1"/>
    <col min="14863" max="14863" width="2.5703125" style="44" customWidth="1"/>
    <col min="14864" max="14864" width="4" style="44" bestFit="1" customWidth="1"/>
    <col min="14865" max="14865" width="3.28515625" style="44" bestFit="1" customWidth="1"/>
    <col min="14866" max="14866" width="3.5703125" style="44" bestFit="1" customWidth="1"/>
    <col min="14867" max="15104" width="9.140625" style="44"/>
    <col min="15105" max="15105" width="1.7109375" style="44" customWidth="1"/>
    <col min="15106" max="15106" width="4.7109375" style="44" bestFit="1" customWidth="1"/>
    <col min="15107" max="15107" width="3.85546875" style="44" bestFit="1" customWidth="1"/>
    <col min="15108" max="15108" width="3.140625" style="44" bestFit="1" customWidth="1"/>
    <col min="15109" max="15109" width="3.5703125" style="44" bestFit="1" customWidth="1"/>
    <col min="15110" max="15110" width="5.85546875" style="44" bestFit="1" customWidth="1"/>
    <col min="15111" max="15111" width="13.85546875" style="44" bestFit="1" customWidth="1"/>
    <col min="15112" max="15112" width="15.28515625" style="44" bestFit="1" customWidth="1"/>
    <col min="15113" max="15113" width="7.140625" style="44" bestFit="1" customWidth="1"/>
    <col min="15114" max="15114" width="22.42578125" style="44" bestFit="1" customWidth="1"/>
    <col min="15115" max="15115" width="27.28515625" style="44" bestFit="1" customWidth="1"/>
    <col min="15116" max="15116" width="31.28515625" style="44" bestFit="1" customWidth="1"/>
    <col min="15117" max="15117" width="16.5703125" style="44" customWidth="1"/>
    <col min="15118" max="15118" width="3.85546875" style="44" customWidth="1"/>
    <col min="15119" max="15119" width="2.5703125" style="44" customWidth="1"/>
    <col min="15120" max="15120" width="4" style="44" bestFit="1" customWidth="1"/>
    <col min="15121" max="15121" width="3.28515625" style="44" bestFit="1" customWidth="1"/>
    <col min="15122" max="15122" width="3.5703125" style="44" bestFit="1" customWidth="1"/>
    <col min="15123" max="15360" width="9.140625" style="44"/>
    <col min="15361" max="15361" width="1.7109375" style="44" customWidth="1"/>
    <col min="15362" max="15362" width="4.7109375" style="44" bestFit="1" customWidth="1"/>
    <col min="15363" max="15363" width="3.85546875" style="44" bestFit="1" customWidth="1"/>
    <col min="15364" max="15364" width="3.140625" style="44" bestFit="1" customWidth="1"/>
    <col min="15365" max="15365" width="3.5703125" style="44" bestFit="1" customWidth="1"/>
    <col min="15366" max="15366" width="5.85546875" style="44" bestFit="1" customWidth="1"/>
    <col min="15367" max="15367" width="13.85546875" style="44" bestFit="1" customWidth="1"/>
    <col min="15368" max="15368" width="15.28515625" style="44" bestFit="1" customWidth="1"/>
    <col min="15369" max="15369" width="7.140625" style="44" bestFit="1" customWidth="1"/>
    <col min="15370" max="15370" width="22.42578125" style="44" bestFit="1" customWidth="1"/>
    <col min="15371" max="15371" width="27.28515625" style="44" bestFit="1" customWidth="1"/>
    <col min="15372" max="15372" width="31.28515625" style="44" bestFit="1" customWidth="1"/>
    <col min="15373" max="15373" width="16.5703125" style="44" customWidth="1"/>
    <col min="15374" max="15374" width="3.85546875" style="44" customWidth="1"/>
    <col min="15375" max="15375" width="2.5703125" style="44" customWidth="1"/>
    <col min="15376" max="15376" width="4" style="44" bestFit="1" customWidth="1"/>
    <col min="15377" max="15377" width="3.28515625" style="44" bestFit="1" customWidth="1"/>
    <col min="15378" max="15378" width="3.5703125" style="44" bestFit="1" customWidth="1"/>
    <col min="15379" max="15616" width="9.140625" style="44"/>
    <col min="15617" max="15617" width="1.7109375" style="44" customWidth="1"/>
    <col min="15618" max="15618" width="4.7109375" style="44" bestFit="1" customWidth="1"/>
    <col min="15619" max="15619" width="3.85546875" style="44" bestFit="1" customWidth="1"/>
    <col min="15620" max="15620" width="3.140625" style="44" bestFit="1" customWidth="1"/>
    <col min="15621" max="15621" width="3.5703125" style="44" bestFit="1" customWidth="1"/>
    <col min="15622" max="15622" width="5.85546875" style="44" bestFit="1" customWidth="1"/>
    <col min="15623" max="15623" width="13.85546875" style="44" bestFit="1" customWidth="1"/>
    <col min="15624" max="15624" width="15.28515625" style="44" bestFit="1" customWidth="1"/>
    <col min="15625" max="15625" width="7.140625" style="44" bestFit="1" customWidth="1"/>
    <col min="15626" max="15626" width="22.42578125" style="44" bestFit="1" customWidth="1"/>
    <col min="15627" max="15627" width="27.28515625" style="44" bestFit="1" customWidth="1"/>
    <col min="15628" max="15628" width="31.28515625" style="44" bestFit="1" customWidth="1"/>
    <col min="15629" max="15629" width="16.5703125" style="44" customWidth="1"/>
    <col min="15630" max="15630" width="3.85546875" style="44" customWidth="1"/>
    <col min="15631" max="15631" width="2.5703125" style="44" customWidth="1"/>
    <col min="15632" max="15632" width="4" style="44" bestFit="1" customWidth="1"/>
    <col min="15633" max="15633" width="3.28515625" style="44" bestFit="1" customWidth="1"/>
    <col min="15634" max="15634" width="3.5703125" style="44" bestFit="1" customWidth="1"/>
    <col min="15635" max="15872" width="9.140625" style="44"/>
    <col min="15873" max="15873" width="1.7109375" style="44" customWidth="1"/>
    <col min="15874" max="15874" width="4.7109375" style="44" bestFit="1" customWidth="1"/>
    <col min="15875" max="15875" width="3.85546875" style="44" bestFit="1" customWidth="1"/>
    <col min="15876" max="15876" width="3.140625" style="44" bestFit="1" customWidth="1"/>
    <col min="15877" max="15877" width="3.5703125" style="44" bestFit="1" customWidth="1"/>
    <col min="15878" max="15878" width="5.85546875" style="44" bestFit="1" customWidth="1"/>
    <col min="15879" max="15879" width="13.85546875" style="44" bestFit="1" customWidth="1"/>
    <col min="15880" max="15880" width="15.28515625" style="44" bestFit="1" customWidth="1"/>
    <col min="15881" max="15881" width="7.140625" style="44" bestFit="1" customWidth="1"/>
    <col min="15882" max="15882" width="22.42578125" style="44" bestFit="1" customWidth="1"/>
    <col min="15883" max="15883" width="27.28515625" style="44" bestFit="1" customWidth="1"/>
    <col min="15884" max="15884" width="31.28515625" style="44" bestFit="1" customWidth="1"/>
    <col min="15885" max="15885" width="16.5703125" style="44" customWidth="1"/>
    <col min="15886" max="15886" width="3.85546875" style="44" customWidth="1"/>
    <col min="15887" max="15887" width="2.5703125" style="44" customWidth="1"/>
    <col min="15888" max="15888" width="4" style="44" bestFit="1" customWidth="1"/>
    <col min="15889" max="15889" width="3.28515625" style="44" bestFit="1" customWidth="1"/>
    <col min="15890" max="15890" width="3.5703125" style="44" bestFit="1" customWidth="1"/>
    <col min="15891" max="16128" width="9.140625" style="44"/>
    <col min="16129" max="16129" width="1.7109375" style="44" customWidth="1"/>
    <col min="16130" max="16130" width="4.7109375" style="44" bestFit="1" customWidth="1"/>
    <col min="16131" max="16131" width="3.85546875" style="44" bestFit="1" customWidth="1"/>
    <col min="16132" max="16132" width="3.140625" style="44" bestFit="1" customWidth="1"/>
    <col min="16133" max="16133" width="3.5703125" style="44" bestFit="1" customWidth="1"/>
    <col min="16134" max="16134" width="5.85546875" style="44" bestFit="1" customWidth="1"/>
    <col min="16135" max="16135" width="13.85546875" style="44" bestFit="1" customWidth="1"/>
    <col min="16136" max="16136" width="15.28515625" style="44" bestFit="1" customWidth="1"/>
    <col min="16137" max="16137" width="7.140625" style="44" bestFit="1" customWidth="1"/>
    <col min="16138" max="16138" width="22.42578125" style="44" bestFit="1" customWidth="1"/>
    <col min="16139" max="16139" width="27.28515625" style="44" bestFit="1" customWidth="1"/>
    <col min="16140" max="16140" width="31.28515625" style="44" bestFit="1" customWidth="1"/>
    <col min="16141" max="16141" width="16.5703125" style="44" customWidth="1"/>
    <col min="16142" max="16142" width="3.85546875" style="44" customWidth="1"/>
    <col min="16143" max="16143" width="2.5703125" style="44" customWidth="1"/>
    <col min="16144" max="16144" width="4" style="44" bestFit="1" customWidth="1"/>
    <col min="16145" max="16145" width="3.28515625" style="44" bestFit="1" customWidth="1"/>
    <col min="16146" max="16146" width="3.5703125" style="44" bestFit="1" customWidth="1"/>
    <col min="16147" max="16384" width="9.140625" style="44"/>
  </cols>
  <sheetData>
    <row r="1" spans="1:18" x14ac:dyDescent="0.2">
      <c r="A1" s="62"/>
      <c r="B1" s="64"/>
      <c r="C1" s="64"/>
      <c r="D1" s="64"/>
      <c r="E1" s="64"/>
      <c r="F1" s="64"/>
      <c r="G1" s="64"/>
      <c r="H1" s="64"/>
      <c r="I1" s="64"/>
      <c r="J1" s="64"/>
      <c r="K1" s="63"/>
      <c r="L1" s="64"/>
      <c r="M1" s="64"/>
      <c r="N1" s="99"/>
    </row>
    <row r="2" spans="1:18" x14ac:dyDescent="0.2">
      <c r="A2" s="46"/>
      <c r="B2" s="42"/>
      <c r="C2" s="42"/>
      <c r="D2" s="42"/>
      <c r="E2" s="42"/>
      <c r="F2" s="42"/>
      <c r="G2" s="42"/>
      <c r="H2" s="42"/>
      <c r="I2" s="2" t="s">
        <v>132</v>
      </c>
      <c r="J2" s="2" t="s">
        <v>39</v>
      </c>
      <c r="K2" s="2" t="str">
        <f>Currency&amp;"_YC"&amp;$J$2&amp;"RH"</f>
        <v>USD_YC1YRH</v>
      </c>
      <c r="L2" s="2" t="str">
        <f>Discounting</f>
        <v>UsdON</v>
      </c>
      <c r="M2" s="42"/>
      <c r="N2" s="100"/>
    </row>
    <row r="3" spans="1:18" ht="22.5" x14ac:dyDescent="0.2">
      <c r="A3" s="46"/>
      <c r="B3" s="47" t="s">
        <v>133</v>
      </c>
      <c r="C3" s="47"/>
      <c r="D3" s="47"/>
      <c r="E3" s="47"/>
      <c r="F3" s="47" t="s">
        <v>134</v>
      </c>
      <c r="G3" s="47" t="s">
        <v>135</v>
      </c>
      <c r="H3" s="47" t="s">
        <v>136</v>
      </c>
      <c r="I3" s="47" t="s">
        <v>137</v>
      </c>
      <c r="J3" s="47" t="s">
        <v>112</v>
      </c>
      <c r="K3" s="101" t="str">
        <f>K2&amp;"_SwapsFromBasis.xml"</f>
        <v>USD_YC1YRH_SwapsFromBasis.xml</v>
      </c>
      <c r="L3" s="102" t="str">
        <f>IF(Serialize,_xll.ohObjectSave(L4:L42,SerializationPath&amp;K3,FileOverwrite,Serialize),"---")</f>
        <v>---</v>
      </c>
      <c r="M3" s="103" t="str">
        <f>_xll.ohRangeRetrieveError(L3)</f>
        <v/>
      </c>
      <c r="N3" s="100"/>
    </row>
    <row r="4" spans="1:18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104" t="str">
        <f>$K$2&amp;"_"&amp;$D6&amp;$E6&amp;"BASIS_"&amp;FamilyName&amp;$J$2</f>
        <v>USD_YC1YRH_AM12LBASIS_Libor1Y</v>
      </c>
      <c r="L4" s="105" t="str">
        <f>IF(UPPER(FamilyName)="IBOR",_xll.qlEuribor($K4,$J$2,,Permanent,Trigger,ObjectOverwrite),IF(UPPER(FamilyName)="LIBOR",_xll.qlLibor($K4,Currency,$J$2,,Permanent,Trigger,ObjectOverwrite),"--"))</f>
        <v>USD_YC1YRH_AM12LBASIS_Libor1Y#0001</v>
      </c>
      <c r="M4" s="106" t="str">
        <f>_xll.ohRangeRetrieveError(L4)</f>
        <v/>
      </c>
      <c r="N4" s="100"/>
    </row>
    <row r="5" spans="1:18" x14ac:dyDescent="0.2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100"/>
    </row>
    <row r="6" spans="1:18" x14ac:dyDescent="0.2">
      <c r="A6" s="46"/>
      <c r="B6" s="107" t="s">
        <v>129</v>
      </c>
      <c r="C6" s="93" t="s">
        <v>39</v>
      </c>
      <c r="D6" s="107" t="str">
        <f>VLOOKUP(Currency,Swap1YConventions,2)</f>
        <v>AM</v>
      </c>
      <c r="E6" s="107" t="str">
        <f>VLOOKUP(Currency,Swap1YConventions,3)</f>
        <v>12L</v>
      </c>
      <c r="F6" s="108" t="str">
        <f>IF(UPPER(LEFT($D6))="A","Annual",IF(UPPER(LEFT($D6))="S","Semiannual","--"))</f>
        <v>Annual</v>
      </c>
      <c r="G6" s="108" t="s">
        <v>138</v>
      </c>
      <c r="H6" s="108" t="str">
        <f t="shared" ref="H6:H42" si="0">IF(UPPER(RIGHT($D6))="B",BondBasisDayCounter,IF(UPPER(RIGHT($D6))="M",MoneyMarketDayCounter,"--"))</f>
        <v>Actual/360</v>
      </c>
      <c r="I6" s="109">
        <v>0</v>
      </c>
      <c r="J6" s="110" t="str">
        <f>'1Y_LiborSwapForBasisCalc'!$J3</f>
        <v>USDAM3L1Y_S12L3L_Quote</v>
      </c>
      <c r="K6" s="110" t="str">
        <f>$K$2&amp;"_"&amp;$D6&amp;$E6&amp;"BASIS"&amp;$C6</f>
        <v>USD_YC1YRH_AM12LBASIS1Y</v>
      </c>
      <c r="L6" s="111" t="str">
        <f>_xll.qlSwapRateHelper2(K6,$J6,$C6,Calendar,$F6,$G6,$H6,$L$4,$I6,B6,DiscountingCurve,Permanent,,ObjectOverwrite)</f>
        <v>USD_YC1YRH_AM12LBASIS1Y#0001</v>
      </c>
      <c r="M6" s="103" t="str">
        <f>_xll.ohRangeRetrieveError(L6)</f>
        <v/>
      </c>
      <c r="N6" s="100"/>
    </row>
    <row r="7" spans="1:18" x14ac:dyDescent="0.2">
      <c r="A7" s="46"/>
      <c r="B7" s="93" t="str">
        <f t="shared" ref="B7:B42" si="1">B6</f>
        <v>0D</v>
      </c>
      <c r="C7" s="93" t="s">
        <v>40</v>
      </c>
      <c r="D7" s="93" t="str">
        <f t="shared" ref="D7:E22" si="2">D6</f>
        <v>AM</v>
      </c>
      <c r="E7" s="93" t="str">
        <f t="shared" si="2"/>
        <v>12L</v>
      </c>
      <c r="F7" s="112" t="str">
        <f t="shared" ref="F7:F42" si="3">IF(UPPER(LEFT($D7))="A","Annual",IF(UPPER(LEFT($D7))="S","Semiannual","--"))</f>
        <v>Annual</v>
      </c>
      <c r="G7" s="112" t="s">
        <v>138</v>
      </c>
      <c r="H7" s="112" t="str">
        <f t="shared" si="0"/>
        <v>Actual/360</v>
      </c>
      <c r="I7" s="109">
        <v>0</v>
      </c>
      <c r="J7" s="110"/>
      <c r="K7" s="110" t="str">
        <f t="shared" ref="K7:K42" si="4">$K$2&amp;"_"&amp;$D7&amp;$E7&amp;"BASIS"&amp;$C7</f>
        <v>USD_YC1YRH_AM12LBASIS15M</v>
      </c>
      <c r="L7" s="111"/>
      <c r="M7" s="103" t="str">
        <f>_xll.ohRangeRetrieveError(L7)</f>
        <v/>
      </c>
      <c r="N7" s="100"/>
    </row>
    <row r="8" spans="1:18" x14ac:dyDescent="0.2">
      <c r="A8" s="46"/>
      <c r="B8" s="93" t="str">
        <f t="shared" si="1"/>
        <v>0D</v>
      </c>
      <c r="C8" s="93" t="s">
        <v>41</v>
      </c>
      <c r="D8" s="93" t="str">
        <f t="shared" si="2"/>
        <v>AM</v>
      </c>
      <c r="E8" s="93" t="str">
        <f t="shared" si="2"/>
        <v>12L</v>
      </c>
      <c r="F8" s="112" t="str">
        <f t="shared" si="3"/>
        <v>Annual</v>
      </c>
      <c r="G8" s="112" t="s">
        <v>138</v>
      </c>
      <c r="H8" s="112" t="str">
        <f t="shared" si="0"/>
        <v>Actual/360</v>
      </c>
      <c r="I8" s="109">
        <v>0</v>
      </c>
      <c r="J8" s="110"/>
      <c r="K8" s="110" t="str">
        <f t="shared" si="4"/>
        <v>USD_YC1YRH_AM12LBASIS18M</v>
      </c>
      <c r="L8" s="111"/>
      <c r="M8" s="103" t="str">
        <f>_xll.ohRangeRetrieveError(L8)</f>
        <v/>
      </c>
      <c r="N8" s="100"/>
    </row>
    <row r="9" spans="1:18" ht="12" thickBot="1" x14ac:dyDescent="0.25">
      <c r="A9" s="46"/>
      <c r="B9" s="93" t="str">
        <f t="shared" si="1"/>
        <v>0D</v>
      </c>
      <c r="C9" s="93" t="s">
        <v>42</v>
      </c>
      <c r="D9" s="93" t="str">
        <f t="shared" si="2"/>
        <v>AM</v>
      </c>
      <c r="E9" s="93" t="str">
        <f t="shared" si="2"/>
        <v>12L</v>
      </c>
      <c r="F9" s="112" t="str">
        <f t="shared" si="3"/>
        <v>Annual</v>
      </c>
      <c r="G9" s="112" t="s">
        <v>138</v>
      </c>
      <c r="H9" s="112" t="str">
        <f t="shared" si="0"/>
        <v>Actual/360</v>
      </c>
      <c r="I9" s="109">
        <v>0</v>
      </c>
      <c r="J9" s="110"/>
      <c r="K9" s="110" t="str">
        <f t="shared" si="4"/>
        <v>USD_YC1YRH_AM12LBASIS21M</v>
      </c>
      <c r="L9" s="111"/>
      <c r="M9" s="103" t="str">
        <f>_xll.ohRangeRetrieveError(L9)</f>
        <v/>
      </c>
      <c r="N9" s="100"/>
    </row>
    <row r="10" spans="1:18" x14ac:dyDescent="0.2">
      <c r="A10" s="46"/>
      <c r="B10" s="93" t="str">
        <f t="shared" si="1"/>
        <v>0D</v>
      </c>
      <c r="C10" s="93" t="s">
        <v>43</v>
      </c>
      <c r="D10" s="93" t="str">
        <f t="shared" si="2"/>
        <v>AM</v>
      </c>
      <c r="E10" s="93" t="str">
        <f t="shared" si="2"/>
        <v>12L</v>
      </c>
      <c r="F10" s="112" t="str">
        <f t="shared" si="3"/>
        <v>Annual</v>
      </c>
      <c r="G10" s="112" t="s">
        <v>138</v>
      </c>
      <c r="H10" s="112" t="str">
        <f t="shared" si="0"/>
        <v>Actual/360</v>
      </c>
      <c r="I10" s="109">
        <v>0</v>
      </c>
      <c r="J10" s="110" t="str">
        <f>'1Y_LiborSwapForBasisCalc'!$J4</f>
        <v>USDAM3L2Y_S12L3L_Quote</v>
      </c>
      <c r="K10" s="110" t="str">
        <f t="shared" si="4"/>
        <v>USD_YC1YRH_AM12LBASIS2Y</v>
      </c>
      <c r="L10" s="111" t="str">
        <f>_xll.qlSwapRateHelper2(K10,$J10,$C10,Calendar,$F10,$G10,$H10,$L$4,$I10,B10,DiscountingCurve,Permanent,,ObjectOverwrite)</f>
        <v>USD_YC1YRH_AM12LBASIS2Y#0001</v>
      </c>
      <c r="M10" s="103" t="str">
        <f>_xll.ohRangeRetrieveError(L10)</f>
        <v/>
      </c>
      <c r="N10" s="100"/>
      <c r="P10" s="113" t="s">
        <v>103</v>
      </c>
      <c r="Q10" s="67" t="s">
        <v>55</v>
      </c>
      <c r="R10" s="114" t="s">
        <v>139</v>
      </c>
    </row>
    <row r="11" spans="1:18" x14ac:dyDescent="0.2">
      <c r="A11" s="46"/>
      <c r="B11" s="93" t="str">
        <f t="shared" si="1"/>
        <v>0D</v>
      </c>
      <c r="C11" s="93" t="s">
        <v>44</v>
      </c>
      <c r="D11" s="93" t="str">
        <f t="shared" si="2"/>
        <v>AM</v>
      </c>
      <c r="E11" s="93" t="str">
        <f t="shared" si="2"/>
        <v>12L</v>
      </c>
      <c r="F11" s="112" t="str">
        <f t="shared" si="3"/>
        <v>Annual</v>
      </c>
      <c r="G11" s="112" t="s">
        <v>138</v>
      </c>
      <c r="H11" s="112" t="str">
        <f t="shared" si="0"/>
        <v>Actual/360</v>
      </c>
      <c r="I11" s="109">
        <v>0</v>
      </c>
      <c r="J11" s="110" t="str">
        <f>'1Y_LiborSwapForBasisCalc'!$J5</f>
        <v>USDAM3L3Y_S12L3L_Quote</v>
      </c>
      <c r="K11" s="110" t="str">
        <f t="shared" si="4"/>
        <v>USD_YC1YRH_AM12LBASIS3Y</v>
      </c>
      <c r="L11" s="111" t="str">
        <f>_xll.qlSwapRateHelper2(K11,$J11,$C11,Calendar,$F11,$G11,$H11,$L$4,$I11,B11,DiscountingCurve,Permanent,,ObjectOverwrite)</f>
        <v>USD_YC1YRH_AM12LBASIS3Y#0001</v>
      </c>
      <c r="M11" s="103" t="str">
        <f>_xll.ohRangeRetrieveError(L11)</f>
        <v/>
      </c>
      <c r="N11" s="100"/>
      <c r="P11" s="115" t="s">
        <v>6</v>
      </c>
      <c r="Q11" s="116" t="s">
        <v>55</v>
      </c>
      <c r="R11" s="117" t="s">
        <v>140</v>
      </c>
    </row>
    <row r="12" spans="1:18" x14ac:dyDescent="0.2">
      <c r="A12" s="46"/>
      <c r="B12" s="93" t="str">
        <f t="shared" si="1"/>
        <v>0D</v>
      </c>
      <c r="C12" s="93" t="s">
        <v>45</v>
      </c>
      <c r="D12" s="93" t="str">
        <f t="shared" si="2"/>
        <v>AM</v>
      </c>
      <c r="E12" s="93" t="str">
        <f t="shared" si="2"/>
        <v>12L</v>
      </c>
      <c r="F12" s="112" t="str">
        <f t="shared" si="3"/>
        <v>Annual</v>
      </c>
      <c r="G12" s="112" t="s">
        <v>138</v>
      </c>
      <c r="H12" s="112" t="str">
        <f t="shared" si="0"/>
        <v>Actual/360</v>
      </c>
      <c r="I12" s="109">
        <v>0</v>
      </c>
      <c r="J12" s="110" t="str">
        <f>'1Y_LiborSwapForBasisCalc'!$J6</f>
        <v>USDAM3L4Y_S12L3L_Quote</v>
      </c>
      <c r="K12" s="110" t="str">
        <f t="shared" si="4"/>
        <v>USD_YC1YRH_AM12LBASIS4Y</v>
      </c>
      <c r="L12" s="111" t="str">
        <f>_xll.qlSwapRateHelper2(K12,$J12,$C12,Calendar,$F12,$G12,$H12,$L$4,$I12,B12,DiscountingCurve,Permanent,,ObjectOverwrite)</f>
        <v>USD_YC1YRH_AM12LBASIS4Y#0001</v>
      </c>
      <c r="M12" s="103" t="str">
        <f>_xll.ohRangeRetrieveError(L12)</f>
        <v/>
      </c>
      <c r="N12" s="100"/>
      <c r="P12" s="115" t="s">
        <v>104</v>
      </c>
      <c r="Q12" s="116" t="s">
        <v>141</v>
      </c>
      <c r="R12" s="117" t="s">
        <v>139</v>
      </c>
    </row>
    <row r="13" spans="1:18" x14ac:dyDescent="0.2">
      <c r="A13" s="46"/>
      <c r="B13" s="93" t="str">
        <f t="shared" si="1"/>
        <v>0D</v>
      </c>
      <c r="C13" s="93" t="s">
        <v>46</v>
      </c>
      <c r="D13" s="93" t="str">
        <f t="shared" si="2"/>
        <v>AM</v>
      </c>
      <c r="E13" s="93" t="str">
        <f t="shared" si="2"/>
        <v>12L</v>
      </c>
      <c r="F13" s="112" t="str">
        <f t="shared" si="3"/>
        <v>Annual</v>
      </c>
      <c r="G13" s="112" t="s">
        <v>138</v>
      </c>
      <c r="H13" s="112" t="str">
        <f t="shared" si="0"/>
        <v>Actual/360</v>
      </c>
      <c r="I13" s="109">
        <v>0</v>
      </c>
      <c r="J13" s="110" t="str">
        <f>'1Y_LiborSwapForBasisCalc'!$J7</f>
        <v>USDAM3L5Y_S12L3L_Quote</v>
      </c>
      <c r="K13" s="110" t="str">
        <f t="shared" si="4"/>
        <v>USD_YC1YRH_AM12LBASIS5Y</v>
      </c>
      <c r="L13" s="111" t="str">
        <f>_xll.qlSwapRateHelper2(K13,$J13,$C13,Calendar,$F13,$G13,$H13,$L$4,$I13,B13,DiscountingCurve,Permanent,,ObjectOverwrite)</f>
        <v>USD_YC1YRH_AM12LBASIS5Y#0001</v>
      </c>
      <c r="M13" s="103" t="str">
        <f>_xll.ohRangeRetrieveError(L13)</f>
        <v/>
      </c>
      <c r="N13" s="100"/>
      <c r="P13" s="115" t="s">
        <v>105</v>
      </c>
      <c r="Q13" s="116" t="s">
        <v>141</v>
      </c>
      <c r="R13" s="117" t="s">
        <v>139</v>
      </c>
    </row>
    <row r="14" spans="1:18" ht="12" thickBot="1" x14ac:dyDescent="0.25">
      <c r="A14" s="46"/>
      <c r="B14" s="93" t="str">
        <f t="shared" si="1"/>
        <v>0D</v>
      </c>
      <c r="C14" s="93" t="s">
        <v>47</v>
      </c>
      <c r="D14" s="93" t="str">
        <f t="shared" si="2"/>
        <v>AM</v>
      </c>
      <c r="E14" s="93" t="str">
        <f t="shared" si="2"/>
        <v>12L</v>
      </c>
      <c r="F14" s="112" t="str">
        <f t="shared" si="3"/>
        <v>Annual</v>
      </c>
      <c r="G14" s="112" t="s">
        <v>138</v>
      </c>
      <c r="H14" s="112" t="str">
        <f t="shared" si="0"/>
        <v>Actual/360</v>
      </c>
      <c r="I14" s="109">
        <v>0</v>
      </c>
      <c r="J14" s="110" t="str">
        <f>'1Y_LiborSwapForBasisCalc'!$J8</f>
        <v>USDAM3L6Y_S12L3L_Quote</v>
      </c>
      <c r="K14" s="110" t="str">
        <f t="shared" si="4"/>
        <v>USD_YC1YRH_AM12LBASIS6Y</v>
      </c>
      <c r="L14" s="111" t="str">
        <f>_xll.qlSwapRateHelper2(K14,$J14,$C14,Calendar,$F14,$G14,$H14,$L$4,$I14,B14,DiscountingCurve,Permanent,,ObjectOverwrite)</f>
        <v>USD_YC1YRH_AM12LBASIS6Y#0001</v>
      </c>
      <c r="M14" s="103" t="str">
        <f>_xll.ohRangeRetrieveError(L14)</f>
        <v/>
      </c>
      <c r="N14" s="100"/>
      <c r="P14" s="118" t="s">
        <v>106</v>
      </c>
      <c r="Q14" s="119" t="s">
        <v>107</v>
      </c>
      <c r="R14" s="120" t="s">
        <v>139</v>
      </c>
    </row>
    <row r="15" spans="1:18" x14ac:dyDescent="0.2">
      <c r="A15" s="46"/>
      <c r="B15" s="93" t="str">
        <f t="shared" si="1"/>
        <v>0D</v>
      </c>
      <c r="C15" s="93" t="s">
        <v>48</v>
      </c>
      <c r="D15" s="93" t="str">
        <f t="shared" si="2"/>
        <v>AM</v>
      </c>
      <c r="E15" s="93" t="str">
        <f t="shared" si="2"/>
        <v>12L</v>
      </c>
      <c r="F15" s="112" t="str">
        <f t="shared" si="3"/>
        <v>Annual</v>
      </c>
      <c r="G15" s="112" t="s">
        <v>138</v>
      </c>
      <c r="H15" s="112" t="str">
        <f t="shared" si="0"/>
        <v>Actual/360</v>
      </c>
      <c r="I15" s="109">
        <v>0</v>
      </c>
      <c r="J15" s="110" t="str">
        <f>'1Y_LiborSwapForBasisCalc'!$J9</f>
        <v>USDAM3L7Y_S12L3L_Quote</v>
      </c>
      <c r="K15" s="110" t="str">
        <f t="shared" si="4"/>
        <v>USD_YC1YRH_AM12LBASIS7Y</v>
      </c>
      <c r="L15" s="111" t="str">
        <f>_xll.qlSwapRateHelper2(K15,$J15,$C15,Calendar,$F15,$G15,$H15,$L$4,$I15,B15,DiscountingCurve,Permanent,,ObjectOverwrite)</f>
        <v>USD_YC1YRH_AM12LBASIS7Y#0001</v>
      </c>
      <c r="M15" s="103" t="str">
        <f>_xll.ohRangeRetrieveError(L15)</f>
        <v/>
      </c>
      <c r="N15" s="100"/>
      <c r="P15" s="116"/>
      <c r="Q15" s="116"/>
      <c r="R15" s="116"/>
    </row>
    <row r="16" spans="1:18" x14ac:dyDescent="0.2">
      <c r="A16" s="46"/>
      <c r="B16" s="93" t="str">
        <f t="shared" si="1"/>
        <v>0D</v>
      </c>
      <c r="C16" s="93" t="s">
        <v>49</v>
      </c>
      <c r="D16" s="93" t="str">
        <f t="shared" si="2"/>
        <v>AM</v>
      </c>
      <c r="E16" s="93" t="str">
        <f t="shared" si="2"/>
        <v>12L</v>
      </c>
      <c r="F16" s="112" t="str">
        <f t="shared" si="3"/>
        <v>Annual</v>
      </c>
      <c r="G16" s="112" t="s">
        <v>138</v>
      </c>
      <c r="H16" s="112" t="str">
        <f t="shared" si="0"/>
        <v>Actual/360</v>
      </c>
      <c r="I16" s="109">
        <v>0</v>
      </c>
      <c r="J16" s="110" t="str">
        <f>'1Y_LiborSwapForBasisCalc'!$J10</f>
        <v>USDAM3L8Y_S12L3L_Quote</v>
      </c>
      <c r="K16" s="110" t="str">
        <f t="shared" si="4"/>
        <v>USD_YC1YRH_AM12LBASIS8Y</v>
      </c>
      <c r="L16" s="111" t="str">
        <f>_xll.qlSwapRateHelper2(K16,$J16,$C16,Calendar,$F16,$G16,$H16,$L$4,$I16,B16,DiscountingCurve,Permanent,,ObjectOverwrite)</f>
        <v>USD_YC1YRH_AM12LBASIS8Y#0001</v>
      </c>
      <c r="M16" s="103" t="str">
        <f>_xll.ohRangeRetrieveError(L16)</f>
        <v/>
      </c>
      <c r="N16" s="100"/>
    </row>
    <row r="17" spans="1:14" x14ac:dyDescent="0.2">
      <c r="A17" s="46"/>
      <c r="B17" s="93" t="str">
        <f t="shared" si="1"/>
        <v>0D</v>
      </c>
      <c r="C17" s="93" t="s">
        <v>50</v>
      </c>
      <c r="D17" s="93" t="str">
        <f t="shared" si="2"/>
        <v>AM</v>
      </c>
      <c r="E17" s="93" t="str">
        <f t="shared" si="2"/>
        <v>12L</v>
      </c>
      <c r="F17" s="112" t="str">
        <f t="shared" si="3"/>
        <v>Annual</v>
      </c>
      <c r="G17" s="112" t="s">
        <v>138</v>
      </c>
      <c r="H17" s="112" t="str">
        <f t="shared" si="0"/>
        <v>Actual/360</v>
      </c>
      <c r="I17" s="109">
        <v>0</v>
      </c>
      <c r="J17" s="110" t="str">
        <f>'1Y_LiborSwapForBasisCalc'!$J11</f>
        <v>USDAM3L9Y_S12L3L_Quote</v>
      </c>
      <c r="K17" s="110" t="str">
        <f t="shared" si="4"/>
        <v>USD_YC1YRH_AM12LBASIS9Y</v>
      </c>
      <c r="L17" s="111" t="str">
        <f>_xll.qlSwapRateHelper2(K17,$J17,$C17,Calendar,$F17,$G17,$H17,$L$4,$I17,B17,DiscountingCurve,Permanent,,ObjectOverwrite)</f>
        <v>USD_YC1YRH_AM12LBASIS9Y#0001</v>
      </c>
      <c r="M17" s="103" t="str">
        <f>_xll.ohRangeRetrieveError(L17)</f>
        <v/>
      </c>
      <c r="N17" s="100"/>
    </row>
    <row r="18" spans="1:14" x14ac:dyDescent="0.2">
      <c r="A18" s="46"/>
      <c r="B18" s="93" t="str">
        <f t="shared" si="1"/>
        <v>0D</v>
      </c>
      <c r="C18" s="93" t="s">
        <v>51</v>
      </c>
      <c r="D18" s="93" t="str">
        <f t="shared" si="2"/>
        <v>AM</v>
      </c>
      <c r="E18" s="93" t="str">
        <f t="shared" si="2"/>
        <v>12L</v>
      </c>
      <c r="F18" s="112" t="str">
        <f t="shared" si="3"/>
        <v>Annual</v>
      </c>
      <c r="G18" s="112" t="s">
        <v>138</v>
      </c>
      <c r="H18" s="112" t="str">
        <f t="shared" si="0"/>
        <v>Actual/360</v>
      </c>
      <c r="I18" s="109">
        <v>0</v>
      </c>
      <c r="J18" s="110" t="str">
        <f>'1Y_LiborSwapForBasisCalc'!$J12</f>
        <v>USDAM3L10Y_S12L3L_Quote</v>
      </c>
      <c r="K18" s="110" t="str">
        <f t="shared" si="4"/>
        <v>USD_YC1YRH_AM12LBASIS10Y</v>
      </c>
      <c r="L18" s="111" t="str">
        <f>_xll.qlSwapRateHelper2(K18,$J18,$C18,Calendar,$F18,$G18,$H18,$L$4,$I18,B18,DiscountingCurve,Permanent,,ObjectOverwrite)</f>
        <v>USD_YC1YRH_AM12LBASIS10Y#0001</v>
      </c>
      <c r="M18" s="103" t="str">
        <f>_xll.ohRangeRetrieveError(L18)</f>
        <v/>
      </c>
      <c r="N18" s="100"/>
    </row>
    <row r="19" spans="1:14" x14ac:dyDescent="0.2">
      <c r="A19" s="46"/>
      <c r="B19" s="93" t="str">
        <f t="shared" si="1"/>
        <v>0D</v>
      </c>
      <c r="C19" s="93" t="s">
        <v>59</v>
      </c>
      <c r="D19" s="93" t="str">
        <f t="shared" si="2"/>
        <v>AM</v>
      </c>
      <c r="E19" s="93" t="str">
        <f t="shared" si="2"/>
        <v>12L</v>
      </c>
      <c r="F19" s="112" t="str">
        <f t="shared" si="3"/>
        <v>Annual</v>
      </c>
      <c r="G19" s="112" t="s">
        <v>138</v>
      </c>
      <c r="H19" s="112" t="str">
        <f t="shared" si="0"/>
        <v>Actual/360</v>
      </c>
      <c r="I19" s="109">
        <v>0</v>
      </c>
      <c r="J19" s="110" t="str">
        <f>'1Y_LiborSwapForBasisCalc'!$J13</f>
        <v>USDAM3L11Y_S12L3L_Quote</v>
      </c>
      <c r="K19" s="110" t="str">
        <f t="shared" si="4"/>
        <v>USD_YC1YRH_AM12LBASIS11Y</v>
      </c>
      <c r="L19" s="111" t="str">
        <f>_xll.qlSwapRateHelper2(K19,$J19,$C19,Calendar,$F19,$G19,$H19,$L$4,$I19,B19,DiscountingCurve,Permanent,,ObjectOverwrite)</f>
        <v>USD_YC1YRH_AM12LBASIS11Y#0001</v>
      </c>
      <c r="M19" s="103" t="str">
        <f>_xll.ohRangeRetrieveError(L19)</f>
        <v/>
      </c>
      <c r="N19" s="100"/>
    </row>
    <row r="20" spans="1:14" x14ac:dyDescent="0.2">
      <c r="A20" s="46"/>
      <c r="B20" s="93" t="str">
        <f t="shared" si="1"/>
        <v>0D</v>
      </c>
      <c r="C20" s="93" t="s">
        <v>60</v>
      </c>
      <c r="D20" s="93" t="str">
        <f t="shared" si="2"/>
        <v>AM</v>
      </c>
      <c r="E20" s="93" t="str">
        <f t="shared" si="2"/>
        <v>12L</v>
      </c>
      <c r="F20" s="112" t="str">
        <f t="shared" si="3"/>
        <v>Annual</v>
      </c>
      <c r="G20" s="112" t="s">
        <v>138</v>
      </c>
      <c r="H20" s="112" t="str">
        <f t="shared" si="0"/>
        <v>Actual/360</v>
      </c>
      <c r="I20" s="109">
        <v>0</v>
      </c>
      <c r="J20" s="110" t="str">
        <f>'1Y_LiborSwapForBasisCalc'!$J14</f>
        <v>USDAM3L12Y_S12L3L_Quote</v>
      </c>
      <c r="K20" s="110" t="str">
        <f t="shared" si="4"/>
        <v>USD_YC1YRH_AM12LBASIS12Y</v>
      </c>
      <c r="L20" s="111" t="str">
        <f>_xll.qlSwapRateHelper2(K20,$J20,$C20,Calendar,$F20,$G20,$H20,$L$4,$I20,B20,DiscountingCurve,Permanent,,ObjectOverwrite)</f>
        <v>USD_YC1YRH_AM12LBASIS12Y#0001</v>
      </c>
      <c r="M20" s="103" t="str">
        <f>_xll.ohRangeRetrieveError(L20)</f>
        <v/>
      </c>
      <c r="N20" s="100"/>
    </row>
    <row r="21" spans="1:14" x14ac:dyDescent="0.2">
      <c r="A21" s="46"/>
      <c r="B21" s="93" t="str">
        <f t="shared" si="1"/>
        <v>0D</v>
      </c>
      <c r="C21" s="93" t="s">
        <v>61</v>
      </c>
      <c r="D21" s="93" t="str">
        <f t="shared" si="2"/>
        <v>AM</v>
      </c>
      <c r="E21" s="93" t="str">
        <f t="shared" si="2"/>
        <v>12L</v>
      </c>
      <c r="F21" s="112" t="str">
        <f t="shared" si="3"/>
        <v>Annual</v>
      </c>
      <c r="G21" s="112" t="s">
        <v>138</v>
      </c>
      <c r="H21" s="112" t="str">
        <f t="shared" si="0"/>
        <v>Actual/360</v>
      </c>
      <c r="I21" s="109">
        <v>0</v>
      </c>
      <c r="J21" s="110" t="str">
        <f>'1Y_LiborSwapForBasisCalc'!$J15</f>
        <v>USDAM3L13Y_S12L3L_Quote</v>
      </c>
      <c r="K21" s="110" t="str">
        <f t="shared" si="4"/>
        <v>USD_YC1YRH_AM12LBASIS13Y</v>
      </c>
      <c r="L21" s="111" t="str">
        <f>_xll.qlSwapRateHelper2(K21,$J21,$C21,Calendar,$F21,$G21,$H21,$L$4,$I21,B21,DiscountingCurve,Permanent,,ObjectOverwrite)</f>
        <v>USD_YC1YRH_AM12LBASIS13Y#0001</v>
      </c>
      <c r="M21" s="103" t="str">
        <f>_xll.ohRangeRetrieveError(L21)</f>
        <v/>
      </c>
      <c r="N21" s="100"/>
    </row>
    <row r="22" spans="1:14" x14ac:dyDescent="0.2">
      <c r="A22" s="46"/>
      <c r="B22" s="93" t="str">
        <f t="shared" si="1"/>
        <v>0D</v>
      </c>
      <c r="C22" s="93" t="s">
        <v>62</v>
      </c>
      <c r="D22" s="93" t="str">
        <f t="shared" si="2"/>
        <v>AM</v>
      </c>
      <c r="E22" s="93" t="str">
        <f t="shared" si="2"/>
        <v>12L</v>
      </c>
      <c r="F22" s="112" t="str">
        <f t="shared" si="3"/>
        <v>Annual</v>
      </c>
      <c r="G22" s="112" t="s">
        <v>138</v>
      </c>
      <c r="H22" s="112" t="str">
        <f t="shared" si="0"/>
        <v>Actual/360</v>
      </c>
      <c r="I22" s="109">
        <v>0</v>
      </c>
      <c r="J22" s="110" t="str">
        <f>'1Y_LiborSwapForBasisCalc'!$J16</f>
        <v>USDAM3L14Y_S12L3L_Quote</v>
      </c>
      <c r="K22" s="110" t="str">
        <f t="shared" si="4"/>
        <v>USD_YC1YRH_AM12LBASIS14Y</v>
      </c>
      <c r="L22" s="111" t="str">
        <f>_xll.qlSwapRateHelper2(K22,$J22,$C22,Calendar,$F22,$G22,$H22,$L$4,$I22,B22,DiscountingCurve,Permanent,,ObjectOverwrite)</f>
        <v>USD_YC1YRH_AM12LBASIS14Y#0001</v>
      </c>
      <c r="M22" s="103" t="str">
        <f>_xll.ohRangeRetrieveError(L22)</f>
        <v/>
      </c>
      <c r="N22" s="100"/>
    </row>
    <row r="23" spans="1:14" x14ac:dyDescent="0.2">
      <c r="A23" s="46"/>
      <c r="B23" s="93" t="str">
        <f t="shared" si="1"/>
        <v>0D</v>
      </c>
      <c r="C23" s="93" t="s">
        <v>52</v>
      </c>
      <c r="D23" s="93" t="str">
        <f t="shared" ref="D23:E38" si="5">D22</f>
        <v>AM</v>
      </c>
      <c r="E23" s="93" t="str">
        <f t="shared" si="5"/>
        <v>12L</v>
      </c>
      <c r="F23" s="112" t="str">
        <f t="shared" si="3"/>
        <v>Annual</v>
      </c>
      <c r="G23" s="112" t="s">
        <v>138</v>
      </c>
      <c r="H23" s="112" t="str">
        <f t="shared" si="0"/>
        <v>Actual/360</v>
      </c>
      <c r="I23" s="109">
        <v>0</v>
      </c>
      <c r="J23" s="110" t="str">
        <f>'1Y_LiborSwapForBasisCalc'!$J17</f>
        <v>USDAM3L15Y_S12L3L_Quote</v>
      </c>
      <c r="K23" s="110" t="str">
        <f t="shared" si="4"/>
        <v>USD_YC1YRH_AM12LBASIS15Y</v>
      </c>
      <c r="L23" s="111" t="str">
        <f>_xll.qlSwapRateHelper2(K23,$J23,$C23,Calendar,$F23,$G23,$H23,$L$4,$I23,B23,DiscountingCurve,Permanent,,ObjectOverwrite)</f>
        <v>USD_YC1YRH_AM12LBASIS15Y#0001</v>
      </c>
      <c r="M23" s="103" t="str">
        <f>_xll.ohRangeRetrieveError(L23)</f>
        <v/>
      </c>
      <c r="N23" s="100"/>
    </row>
    <row r="24" spans="1:14" x14ac:dyDescent="0.2">
      <c r="A24" s="46"/>
      <c r="B24" s="93" t="str">
        <f t="shared" si="1"/>
        <v>0D</v>
      </c>
      <c r="C24" s="93" t="s">
        <v>63</v>
      </c>
      <c r="D24" s="93" t="str">
        <f t="shared" si="5"/>
        <v>AM</v>
      </c>
      <c r="E24" s="93" t="str">
        <f t="shared" si="5"/>
        <v>12L</v>
      </c>
      <c r="F24" s="112" t="str">
        <f t="shared" si="3"/>
        <v>Annual</v>
      </c>
      <c r="G24" s="112" t="s">
        <v>138</v>
      </c>
      <c r="H24" s="112" t="str">
        <f t="shared" si="0"/>
        <v>Actual/360</v>
      </c>
      <c r="I24" s="109">
        <v>0</v>
      </c>
      <c r="J24" s="110" t="str">
        <f>'1Y_LiborSwapForBasisCalc'!$J18</f>
        <v>USDAM3L16Y_S12L3L_Quote</v>
      </c>
      <c r="K24" s="110" t="str">
        <f t="shared" si="4"/>
        <v>USD_YC1YRH_AM12LBASIS16Y</v>
      </c>
      <c r="L24" s="111" t="str">
        <f>_xll.qlSwapRateHelper2(K24,$J24,$C24,Calendar,$F24,$G24,$H24,$L$4,$I24,B24,DiscountingCurve,Permanent,,ObjectOverwrite)</f>
        <v>USD_YC1YRH_AM12LBASIS16Y#0001</v>
      </c>
      <c r="M24" s="103" t="str">
        <f>_xll.ohRangeRetrieveError(L24)</f>
        <v/>
      </c>
      <c r="N24" s="100"/>
    </row>
    <row r="25" spans="1:14" x14ac:dyDescent="0.2">
      <c r="A25" s="46"/>
      <c r="B25" s="93" t="str">
        <f t="shared" si="1"/>
        <v>0D</v>
      </c>
      <c r="C25" s="93" t="s">
        <v>64</v>
      </c>
      <c r="D25" s="93" t="str">
        <f t="shared" si="5"/>
        <v>AM</v>
      </c>
      <c r="E25" s="93" t="str">
        <f t="shared" si="5"/>
        <v>12L</v>
      </c>
      <c r="F25" s="112" t="str">
        <f t="shared" si="3"/>
        <v>Annual</v>
      </c>
      <c r="G25" s="112" t="s">
        <v>138</v>
      </c>
      <c r="H25" s="112" t="str">
        <f t="shared" si="0"/>
        <v>Actual/360</v>
      </c>
      <c r="I25" s="109">
        <v>0</v>
      </c>
      <c r="J25" s="110" t="str">
        <f>'1Y_LiborSwapForBasisCalc'!$J19</f>
        <v>USDAM3L17Y_S12L3L_Quote</v>
      </c>
      <c r="K25" s="110" t="str">
        <f t="shared" si="4"/>
        <v>USD_YC1YRH_AM12LBASIS17Y</v>
      </c>
      <c r="L25" s="111" t="str">
        <f>_xll.qlSwapRateHelper2(K25,$J25,$C25,Calendar,$F25,$G25,$H25,$L$4,$I25,B25,DiscountingCurve,Permanent,,ObjectOverwrite)</f>
        <v>USD_YC1YRH_AM12LBASIS17Y#0001</v>
      </c>
      <c r="M25" s="103" t="str">
        <f>_xll.ohRangeRetrieveError(L25)</f>
        <v/>
      </c>
      <c r="N25" s="100"/>
    </row>
    <row r="26" spans="1:14" x14ac:dyDescent="0.2">
      <c r="A26" s="46"/>
      <c r="B26" s="93" t="str">
        <f t="shared" si="1"/>
        <v>0D</v>
      </c>
      <c r="C26" s="93" t="s">
        <v>65</v>
      </c>
      <c r="D26" s="93" t="str">
        <f t="shared" si="5"/>
        <v>AM</v>
      </c>
      <c r="E26" s="93" t="str">
        <f t="shared" si="5"/>
        <v>12L</v>
      </c>
      <c r="F26" s="112" t="str">
        <f t="shared" si="3"/>
        <v>Annual</v>
      </c>
      <c r="G26" s="112" t="s">
        <v>138</v>
      </c>
      <c r="H26" s="112" t="str">
        <f t="shared" si="0"/>
        <v>Actual/360</v>
      </c>
      <c r="I26" s="109">
        <v>0</v>
      </c>
      <c r="J26" s="110" t="str">
        <f>'1Y_LiborSwapForBasisCalc'!$J20</f>
        <v>USDAM3L18Y_S12L3L_Quote</v>
      </c>
      <c r="K26" s="110" t="str">
        <f t="shared" si="4"/>
        <v>USD_YC1YRH_AM12LBASIS18Y</v>
      </c>
      <c r="L26" s="111" t="str">
        <f>_xll.qlSwapRateHelper2(K26,$J26,$C26,Calendar,$F26,$G26,$H26,$L$4,$I26,B26,DiscountingCurve,Permanent,,ObjectOverwrite)</f>
        <v>USD_YC1YRH_AM12LBASIS18Y#0001</v>
      </c>
      <c r="M26" s="103" t="str">
        <f>_xll.ohRangeRetrieveError(L26)</f>
        <v/>
      </c>
      <c r="N26" s="100"/>
    </row>
    <row r="27" spans="1:14" x14ac:dyDescent="0.2">
      <c r="A27" s="46"/>
      <c r="B27" s="93" t="str">
        <f t="shared" si="1"/>
        <v>0D</v>
      </c>
      <c r="C27" s="93" t="s">
        <v>66</v>
      </c>
      <c r="D27" s="93" t="str">
        <f t="shared" si="5"/>
        <v>AM</v>
      </c>
      <c r="E27" s="93" t="str">
        <f t="shared" si="5"/>
        <v>12L</v>
      </c>
      <c r="F27" s="112" t="str">
        <f t="shared" si="3"/>
        <v>Annual</v>
      </c>
      <c r="G27" s="112" t="s">
        <v>138</v>
      </c>
      <c r="H27" s="112" t="str">
        <f t="shared" si="0"/>
        <v>Actual/360</v>
      </c>
      <c r="I27" s="109">
        <v>0</v>
      </c>
      <c r="J27" s="110" t="str">
        <f>'1Y_LiborSwapForBasisCalc'!$J21</f>
        <v>USDAM3L19Y_S12L3L_Quote</v>
      </c>
      <c r="K27" s="110" t="str">
        <f t="shared" si="4"/>
        <v>USD_YC1YRH_AM12LBASIS19Y</v>
      </c>
      <c r="L27" s="111" t="str">
        <f>_xll.qlSwapRateHelper2(K27,$J27,$C27,Calendar,$F27,$G27,$H27,$L$4,$I27,B27,DiscountingCurve,Permanent,,ObjectOverwrite)</f>
        <v>USD_YC1YRH_AM12LBASIS19Y#0001</v>
      </c>
      <c r="M27" s="103" t="str">
        <f>_xll.ohRangeRetrieveError(L27)</f>
        <v/>
      </c>
      <c r="N27" s="100"/>
    </row>
    <row r="28" spans="1:14" x14ac:dyDescent="0.2">
      <c r="A28" s="46"/>
      <c r="B28" s="93" t="str">
        <f t="shared" si="1"/>
        <v>0D</v>
      </c>
      <c r="C28" s="93" t="s">
        <v>53</v>
      </c>
      <c r="D28" s="93" t="str">
        <f t="shared" si="5"/>
        <v>AM</v>
      </c>
      <c r="E28" s="93" t="str">
        <f t="shared" si="5"/>
        <v>12L</v>
      </c>
      <c r="F28" s="112" t="str">
        <f t="shared" si="3"/>
        <v>Annual</v>
      </c>
      <c r="G28" s="112" t="s">
        <v>138</v>
      </c>
      <c r="H28" s="112" t="str">
        <f t="shared" si="0"/>
        <v>Actual/360</v>
      </c>
      <c r="I28" s="109">
        <v>0</v>
      </c>
      <c r="J28" s="110" t="str">
        <f>'1Y_LiborSwapForBasisCalc'!$J22</f>
        <v>USDAM3L20Y_S12L3L_Quote</v>
      </c>
      <c r="K28" s="110" t="str">
        <f t="shared" si="4"/>
        <v>USD_YC1YRH_AM12LBASIS20Y</v>
      </c>
      <c r="L28" s="111" t="str">
        <f>_xll.qlSwapRateHelper2(K28,$J28,$C28,Calendar,$F28,$G28,$H28,$L$4,$I28,B28,DiscountingCurve,Permanent,,ObjectOverwrite)</f>
        <v>USD_YC1YRH_AM12LBASIS20Y#0001</v>
      </c>
      <c r="M28" s="103" t="str">
        <f>_xll.ohRangeRetrieveError(L28)</f>
        <v/>
      </c>
      <c r="N28" s="100"/>
    </row>
    <row r="29" spans="1:14" x14ac:dyDescent="0.2">
      <c r="A29" s="46"/>
      <c r="B29" s="93" t="str">
        <f t="shared" si="1"/>
        <v>0D</v>
      </c>
      <c r="C29" s="93" t="s">
        <v>67</v>
      </c>
      <c r="D29" s="93" t="str">
        <f t="shared" si="5"/>
        <v>AM</v>
      </c>
      <c r="E29" s="93" t="str">
        <f t="shared" si="5"/>
        <v>12L</v>
      </c>
      <c r="F29" s="112" t="str">
        <f t="shared" si="3"/>
        <v>Annual</v>
      </c>
      <c r="G29" s="112" t="s">
        <v>138</v>
      </c>
      <c r="H29" s="112" t="str">
        <f t="shared" si="0"/>
        <v>Actual/360</v>
      </c>
      <c r="I29" s="109">
        <v>0</v>
      </c>
      <c r="J29" s="110" t="str">
        <f>'1Y_LiborSwapForBasisCalc'!$J23</f>
        <v>USDAM3L21Y_S12L3L_Quote</v>
      </c>
      <c r="K29" s="110" t="str">
        <f t="shared" si="4"/>
        <v>USD_YC1YRH_AM12LBASIS21Y</v>
      </c>
      <c r="L29" s="111" t="str">
        <f>_xll.qlSwapRateHelper2(K29,$J29,$C29,Calendar,$F29,$G29,$H29,$L$4,$I29,B29,DiscountingCurve,Permanent,,ObjectOverwrite)</f>
        <v>USD_YC1YRH_AM12LBASIS21Y#0001</v>
      </c>
      <c r="M29" s="103" t="str">
        <f>_xll.ohRangeRetrieveError(L29)</f>
        <v/>
      </c>
      <c r="N29" s="100"/>
    </row>
    <row r="30" spans="1:14" x14ac:dyDescent="0.2">
      <c r="A30" s="46"/>
      <c r="B30" s="93" t="str">
        <f t="shared" si="1"/>
        <v>0D</v>
      </c>
      <c r="C30" s="93" t="s">
        <v>68</v>
      </c>
      <c r="D30" s="93" t="str">
        <f t="shared" si="5"/>
        <v>AM</v>
      </c>
      <c r="E30" s="93" t="str">
        <f t="shared" si="5"/>
        <v>12L</v>
      </c>
      <c r="F30" s="112" t="str">
        <f t="shared" si="3"/>
        <v>Annual</v>
      </c>
      <c r="G30" s="112" t="s">
        <v>138</v>
      </c>
      <c r="H30" s="112" t="str">
        <f t="shared" si="0"/>
        <v>Actual/360</v>
      </c>
      <c r="I30" s="109">
        <v>0</v>
      </c>
      <c r="J30" s="110" t="str">
        <f>'1Y_LiborSwapForBasisCalc'!$J24</f>
        <v>USDAM3L22Y_S12L3L_Quote</v>
      </c>
      <c r="K30" s="110" t="str">
        <f t="shared" si="4"/>
        <v>USD_YC1YRH_AM12LBASIS22Y</v>
      </c>
      <c r="L30" s="111" t="str">
        <f>_xll.qlSwapRateHelper2(K30,$J30,$C30,Calendar,$F30,$G30,$H30,$L$4,$I30,B30,DiscountingCurve,Permanent,,ObjectOverwrite)</f>
        <v>USD_YC1YRH_AM12LBASIS22Y#0001</v>
      </c>
      <c r="M30" s="103" t="str">
        <f>_xll.ohRangeRetrieveError(L30)</f>
        <v/>
      </c>
      <c r="N30" s="100"/>
    </row>
    <row r="31" spans="1:14" x14ac:dyDescent="0.2">
      <c r="A31" s="46"/>
      <c r="B31" s="93" t="str">
        <f t="shared" si="1"/>
        <v>0D</v>
      </c>
      <c r="C31" s="93" t="s">
        <v>69</v>
      </c>
      <c r="D31" s="93" t="str">
        <f t="shared" si="5"/>
        <v>AM</v>
      </c>
      <c r="E31" s="93" t="str">
        <f t="shared" si="5"/>
        <v>12L</v>
      </c>
      <c r="F31" s="112" t="str">
        <f t="shared" si="3"/>
        <v>Annual</v>
      </c>
      <c r="G31" s="112" t="s">
        <v>138</v>
      </c>
      <c r="H31" s="112" t="str">
        <f t="shared" si="0"/>
        <v>Actual/360</v>
      </c>
      <c r="I31" s="109">
        <v>0</v>
      </c>
      <c r="J31" s="110" t="str">
        <f>'1Y_LiborSwapForBasisCalc'!$J25</f>
        <v>USDAM3L23Y_S12L3L_Quote</v>
      </c>
      <c r="K31" s="110" t="str">
        <f t="shared" si="4"/>
        <v>USD_YC1YRH_AM12LBASIS23Y</v>
      </c>
      <c r="L31" s="111" t="str">
        <f>_xll.qlSwapRateHelper2(K31,$J31,$C31,Calendar,$F31,$G31,$H31,$L$4,$I31,B31,DiscountingCurve,Permanent,,ObjectOverwrite)</f>
        <v>USD_YC1YRH_AM12LBASIS23Y#0001</v>
      </c>
      <c r="M31" s="103" t="str">
        <f>_xll.ohRangeRetrieveError(L31)</f>
        <v/>
      </c>
      <c r="N31" s="100"/>
    </row>
    <row r="32" spans="1:14" x14ac:dyDescent="0.2">
      <c r="A32" s="46"/>
      <c r="B32" s="93" t="str">
        <f t="shared" si="1"/>
        <v>0D</v>
      </c>
      <c r="C32" s="93" t="s">
        <v>70</v>
      </c>
      <c r="D32" s="93" t="str">
        <f t="shared" si="5"/>
        <v>AM</v>
      </c>
      <c r="E32" s="93" t="str">
        <f t="shared" si="5"/>
        <v>12L</v>
      </c>
      <c r="F32" s="112" t="str">
        <f t="shared" si="3"/>
        <v>Annual</v>
      </c>
      <c r="G32" s="112" t="s">
        <v>138</v>
      </c>
      <c r="H32" s="112" t="str">
        <f t="shared" si="0"/>
        <v>Actual/360</v>
      </c>
      <c r="I32" s="109">
        <v>0</v>
      </c>
      <c r="J32" s="110" t="str">
        <f>'1Y_LiborSwapForBasisCalc'!$J26</f>
        <v>USDAM3L24Y_S12L3L_Quote</v>
      </c>
      <c r="K32" s="110" t="str">
        <f t="shared" si="4"/>
        <v>USD_YC1YRH_AM12LBASIS24Y</v>
      </c>
      <c r="L32" s="111" t="str">
        <f>_xll.qlSwapRateHelper2(K32,$J32,$C32,Calendar,$F32,$G32,$H32,$L$4,$I32,B32,DiscountingCurve,Permanent,,ObjectOverwrite)</f>
        <v>USD_YC1YRH_AM12LBASIS24Y#0001</v>
      </c>
      <c r="M32" s="103" t="str">
        <f>_xll.ohRangeRetrieveError(L32)</f>
        <v/>
      </c>
      <c r="N32" s="100"/>
    </row>
    <row r="33" spans="1:14" x14ac:dyDescent="0.2">
      <c r="A33" s="46"/>
      <c r="B33" s="93" t="str">
        <f t="shared" si="1"/>
        <v>0D</v>
      </c>
      <c r="C33" s="93" t="s">
        <v>71</v>
      </c>
      <c r="D33" s="93" t="str">
        <f t="shared" si="5"/>
        <v>AM</v>
      </c>
      <c r="E33" s="93" t="str">
        <f t="shared" si="5"/>
        <v>12L</v>
      </c>
      <c r="F33" s="112" t="str">
        <f t="shared" si="3"/>
        <v>Annual</v>
      </c>
      <c r="G33" s="112" t="s">
        <v>138</v>
      </c>
      <c r="H33" s="112" t="str">
        <f t="shared" si="0"/>
        <v>Actual/360</v>
      </c>
      <c r="I33" s="109">
        <v>0</v>
      </c>
      <c r="J33" s="110" t="str">
        <f>'1Y_LiborSwapForBasisCalc'!$J27</f>
        <v>USDAM3L25Y_S12L3L_Quote</v>
      </c>
      <c r="K33" s="110" t="str">
        <f t="shared" si="4"/>
        <v>USD_YC1YRH_AM12LBASIS25Y</v>
      </c>
      <c r="L33" s="111" t="str">
        <f>_xll.qlSwapRateHelper2(K33,$J33,$C33,Calendar,$F33,$G33,$H33,$L$4,$I33,B33,DiscountingCurve,Permanent,,ObjectOverwrite)</f>
        <v>USD_YC1YRH_AM12LBASIS25Y#0001</v>
      </c>
      <c r="M33" s="103" t="str">
        <f>_xll.ohRangeRetrieveError(L33)</f>
        <v/>
      </c>
      <c r="N33" s="100"/>
    </row>
    <row r="34" spans="1:14" x14ac:dyDescent="0.2">
      <c r="A34" s="46"/>
      <c r="B34" s="93" t="str">
        <f t="shared" si="1"/>
        <v>0D</v>
      </c>
      <c r="C34" s="93" t="s">
        <v>72</v>
      </c>
      <c r="D34" s="93" t="str">
        <f t="shared" si="5"/>
        <v>AM</v>
      </c>
      <c r="E34" s="93" t="str">
        <f t="shared" si="5"/>
        <v>12L</v>
      </c>
      <c r="F34" s="112" t="str">
        <f t="shared" si="3"/>
        <v>Annual</v>
      </c>
      <c r="G34" s="112" t="s">
        <v>138</v>
      </c>
      <c r="H34" s="112" t="str">
        <f t="shared" si="0"/>
        <v>Actual/360</v>
      </c>
      <c r="I34" s="109">
        <v>0</v>
      </c>
      <c r="J34" s="110" t="str">
        <f>'1Y_LiborSwapForBasisCalc'!$J28</f>
        <v>USDAM3L26Y_S12L3L_Quote</v>
      </c>
      <c r="K34" s="110" t="str">
        <f t="shared" si="4"/>
        <v>USD_YC1YRH_AM12LBASIS26Y</v>
      </c>
      <c r="L34" s="111" t="str">
        <f>_xll.qlSwapRateHelper2(K34,$J34,$C34,Calendar,$F34,$G34,$H34,$L$4,$I34,B34,DiscountingCurve,Permanent,,ObjectOverwrite)</f>
        <v>USD_YC1YRH_AM12LBASIS26Y#0001</v>
      </c>
      <c r="M34" s="103" t="str">
        <f>_xll.ohRangeRetrieveError(L34)</f>
        <v/>
      </c>
      <c r="N34" s="100"/>
    </row>
    <row r="35" spans="1:14" x14ac:dyDescent="0.2">
      <c r="A35" s="46"/>
      <c r="B35" s="93" t="str">
        <f t="shared" si="1"/>
        <v>0D</v>
      </c>
      <c r="C35" s="93" t="s">
        <v>73</v>
      </c>
      <c r="D35" s="93" t="str">
        <f t="shared" si="5"/>
        <v>AM</v>
      </c>
      <c r="E35" s="93" t="str">
        <f t="shared" si="5"/>
        <v>12L</v>
      </c>
      <c r="F35" s="112" t="str">
        <f t="shared" si="3"/>
        <v>Annual</v>
      </c>
      <c r="G35" s="112" t="s">
        <v>138</v>
      </c>
      <c r="H35" s="112" t="str">
        <f t="shared" si="0"/>
        <v>Actual/360</v>
      </c>
      <c r="I35" s="109">
        <v>0</v>
      </c>
      <c r="J35" s="110" t="str">
        <f>'1Y_LiborSwapForBasisCalc'!$J29</f>
        <v>USDAM3L27Y_S12L3L_Quote</v>
      </c>
      <c r="K35" s="110" t="str">
        <f t="shared" si="4"/>
        <v>USD_YC1YRH_AM12LBASIS27Y</v>
      </c>
      <c r="L35" s="111" t="str">
        <f>_xll.qlSwapRateHelper2(K35,$J35,$C35,Calendar,$F35,$G35,$H35,$L$4,$I35,B35,DiscountingCurve,Permanent,,ObjectOverwrite)</f>
        <v>USD_YC1YRH_AM12LBASIS27Y#0001</v>
      </c>
      <c r="M35" s="103" t="str">
        <f>_xll.ohRangeRetrieveError(L35)</f>
        <v/>
      </c>
      <c r="N35" s="100"/>
    </row>
    <row r="36" spans="1:14" x14ac:dyDescent="0.2">
      <c r="A36" s="46"/>
      <c r="B36" s="93" t="str">
        <f t="shared" si="1"/>
        <v>0D</v>
      </c>
      <c r="C36" s="93" t="s">
        <v>74</v>
      </c>
      <c r="D36" s="93" t="str">
        <f t="shared" si="5"/>
        <v>AM</v>
      </c>
      <c r="E36" s="93" t="str">
        <f t="shared" si="5"/>
        <v>12L</v>
      </c>
      <c r="F36" s="112" t="str">
        <f t="shared" si="3"/>
        <v>Annual</v>
      </c>
      <c r="G36" s="112" t="s">
        <v>138</v>
      </c>
      <c r="H36" s="112" t="str">
        <f t="shared" si="0"/>
        <v>Actual/360</v>
      </c>
      <c r="I36" s="109">
        <v>0</v>
      </c>
      <c r="J36" s="110" t="str">
        <f>'1Y_LiborSwapForBasisCalc'!$J30</f>
        <v>USDAM3L28Y_S12L3L_Quote</v>
      </c>
      <c r="K36" s="110" t="str">
        <f t="shared" si="4"/>
        <v>USD_YC1YRH_AM12LBASIS28Y</v>
      </c>
      <c r="L36" s="111" t="str">
        <f>_xll.qlSwapRateHelper2(K36,$J36,$C36,Calendar,$F36,$G36,$H36,$L$4,$I36,B36,DiscountingCurve,Permanent,,ObjectOverwrite)</f>
        <v>USD_YC1YRH_AM12LBASIS28Y#0001</v>
      </c>
      <c r="M36" s="103" t="str">
        <f>_xll.ohRangeRetrieveError(L36)</f>
        <v/>
      </c>
      <c r="N36" s="100"/>
    </row>
    <row r="37" spans="1:14" x14ac:dyDescent="0.2">
      <c r="A37" s="46"/>
      <c r="B37" s="93" t="str">
        <f t="shared" si="1"/>
        <v>0D</v>
      </c>
      <c r="C37" s="93" t="s">
        <v>75</v>
      </c>
      <c r="D37" s="93" t="str">
        <f t="shared" si="5"/>
        <v>AM</v>
      </c>
      <c r="E37" s="93" t="str">
        <f t="shared" si="5"/>
        <v>12L</v>
      </c>
      <c r="F37" s="112" t="str">
        <f t="shared" si="3"/>
        <v>Annual</v>
      </c>
      <c r="G37" s="112" t="s">
        <v>138</v>
      </c>
      <c r="H37" s="112" t="str">
        <f t="shared" si="0"/>
        <v>Actual/360</v>
      </c>
      <c r="I37" s="109">
        <v>0</v>
      </c>
      <c r="J37" s="110" t="str">
        <f>'1Y_LiborSwapForBasisCalc'!$J31</f>
        <v>USDAM3L29Y_S12L3L_Quote</v>
      </c>
      <c r="K37" s="110" t="str">
        <f t="shared" si="4"/>
        <v>USD_YC1YRH_AM12LBASIS29Y</v>
      </c>
      <c r="L37" s="111" t="str">
        <f>_xll.qlSwapRateHelper2(K37,$J37,$C37,Calendar,$F37,$G37,$H37,$L$4,$I37,B37,DiscountingCurve,Permanent,,ObjectOverwrite)</f>
        <v>USD_YC1YRH_AM12LBASIS29Y#0001</v>
      </c>
      <c r="M37" s="103" t="str">
        <f>_xll.ohRangeRetrieveError(L37)</f>
        <v/>
      </c>
      <c r="N37" s="100"/>
    </row>
    <row r="38" spans="1:14" x14ac:dyDescent="0.2">
      <c r="A38" s="46"/>
      <c r="B38" s="93" t="str">
        <f t="shared" si="1"/>
        <v>0D</v>
      </c>
      <c r="C38" s="93" t="s">
        <v>54</v>
      </c>
      <c r="D38" s="93" t="str">
        <f t="shared" si="5"/>
        <v>AM</v>
      </c>
      <c r="E38" s="93" t="str">
        <f t="shared" si="5"/>
        <v>12L</v>
      </c>
      <c r="F38" s="112" t="str">
        <f t="shared" si="3"/>
        <v>Annual</v>
      </c>
      <c r="G38" s="112" t="s">
        <v>138</v>
      </c>
      <c r="H38" s="112" t="str">
        <f t="shared" si="0"/>
        <v>Actual/360</v>
      </c>
      <c r="I38" s="109">
        <v>0</v>
      </c>
      <c r="J38" s="110" t="str">
        <f>'1Y_LiborSwapForBasisCalc'!$J32</f>
        <v>USDAM3L30Y_S12L3L_Quote</v>
      </c>
      <c r="K38" s="110" t="str">
        <f t="shared" si="4"/>
        <v>USD_YC1YRH_AM12LBASIS30Y</v>
      </c>
      <c r="L38" s="111" t="str">
        <f>_xll.qlSwapRateHelper2(K38,$J38,$C38,Calendar,$F38,$G38,$H38,$L$4,$I38,B38,DiscountingCurve,Permanent,,ObjectOverwrite)</f>
        <v>USD_YC1YRH_AM12LBASIS30Y#0001</v>
      </c>
      <c r="M38" s="103" t="str">
        <f>_xll.ohRangeRetrieveError(L38)</f>
        <v/>
      </c>
      <c r="N38" s="100"/>
    </row>
    <row r="39" spans="1:14" x14ac:dyDescent="0.2">
      <c r="A39" s="46"/>
      <c r="B39" s="93" t="str">
        <f t="shared" si="1"/>
        <v>0D</v>
      </c>
      <c r="C39" s="93" t="s">
        <v>76</v>
      </c>
      <c r="D39" s="93" t="str">
        <f t="shared" ref="D39:E42" si="6">D38</f>
        <v>AM</v>
      </c>
      <c r="E39" s="93" t="str">
        <f t="shared" si="6"/>
        <v>12L</v>
      </c>
      <c r="F39" s="112" t="str">
        <f t="shared" si="3"/>
        <v>Annual</v>
      </c>
      <c r="G39" s="112" t="s">
        <v>138</v>
      </c>
      <c r="H39" s="112" t="str">
        <f t="shared" si="0"/>
        <v>Actual/360</v>
      </c>
      <c r="I39" s="109">
        <v>0</v>
      </c>
      <c r="J39" s="110" t="str">
        <f>'1Y_LiborSwapForBasisCalc'!$J33</f>
        <v>USDAM3L35Y_S12L3L_Quote</v>
      </c>
      <c r="K39" s="110" t="str">
        <f t="shared" si="4"/>
        <v>USD_YC1YRH_AM12LBASIS35Y</v>
      </c>
      <c r="L39" s="111" t="str">
        <f>_xll.qlSwapRateHelper2(K39,$J39,$C39,Calendar,$F39,$G39,$H39,$L$4,$I39,B39,DiscountingCurve,Permanent,,ObjectOverwrite)</f>
        <v>USD_YC1YRH_AM12LBASIS35Y#0001</v>
      </c>
      <c r="M39" s="103" t="str">
        <f>_xll.ohRangeRetrieveError(L39)</f>
        <v/>
      </c>
      <c r="N39" s="100"/>
    </row>
    <row r="40" spans="1:14" x14ac:dyDescent="0.2">
      <c r="A40" s="46"/>
      <c r="B40" s="93" t="str">
        <f t="shared" si="1"/>
        <v>0D</v>
      </c>
      <c r="C40" s="93" t="s">
        <v>77</v>
      </c>
      <c r="D40" s="93" t="str">
        <f t="shared" si="6"/>
        <v>AM</v>
      </c>
      <c r="E40" s="93" t="str">
        <f t="shared" si="6"/>
        <v>12L</v>
      </c>
      <c r="F40" s="112" t="str">
        <f t="shared" si="3"/>
        <v>Annual</v>
      </c>
      <c r="G40" s="112" t="s">
        <v>138</v>
      </c>
      <c r="H40" s="112" t="str">
        <f t="shared" si="0"/>
        <v>Actual/360</v>
      </c>
      <c r="I40" s="109">
        <v>0</v>
      </c>
      <c r="J40" s="110" t="str">
        <f>'1Y_LiborSwapForBasisCalc'!$J34</f>
        <v>USDAM3L40Y_S12L3L_Quote</v>
      </c>
      <c r="K40" s="110" t="str">
        <f t="shared" si="4"/>
        <v>USD_YC1YRH_AM12LBASIS40Y</v>
      </c>
      <c r="L40" s="111" t="str">
        <f>_xll.qlSwapRateHelper2(K40,$J40,$C40,Calendar,$F40,$G40,$H40,$L$4,$I40,B40,DiscountingCurve,Permanent,,ObjectOverwrite)</f>
        <v>USD_YC1YRH_AM12LBASIS40Y#0001</v>
      </c>
      <c r="M40" s="103" t="str">
        <f>_xll.ohRangeRetrieveError(L40)</f>
        <v/>
      </c>
      <c r="N40" s="100"/>
    </row>
    <row r="41" spans="1:14" x14ac:dyDescent="0.2">
      <c r="A41" s="46"/>
      <c r="B41" s="93" t="str">
        <f t="shared" si="1"/>
        <v>0D</v>
      </c>
      <c r="C41" s="93" t="s">
        <v>78</v>
      </c>
      <c r="D41" s="93" t="str">
        <f t="shared" si="6"/>
        <v>AM</v>
      </c>
      <c r="E41" s="93" t="str">
        <f t="shared" si="6"/>
        <v>12L</v>
      </c>
      <c r="F41" s="112" t="str">
        <f t="shared" si="3"/>
        <v>Annual</v>
      </c>
      <c r="G41" s="112" t="s">
        <v>138</v>
      </c>
      <c r="H41" s="112" t="str">
        <f t="shared" si="0"/>
        <v>Actual/360</v>
      </c>
      <c r="I41" s="109">
        <v>0</v>
      </c>
      <c r="J41" s="110" t="str">
        <f>'1Y_LiborSwapForBasisCalc'!$J35</f>
        <v>USDAM3L50Y_S12L3L_Quote</v>
      </c>
      <c r="K41" s="110" t="str">
        <f t="shared" si="4"/>
        <v>USD_YC1YRH_AM12LBASIS50Y</v>
      </c>
      <c r="L41" s="111" t="str">
        <f>_xll.qlSwapRateHelper2(K41,$J41,$C41,Calendar,$F41,$G41,$H41,$L$4,$I41,B41,DiscountingCurve,Permanent,,ObjectOverwrite)</f>
        <v>USD_YC1YRH_AM12LBASIS50Y#0001</v>
      </c>
      <c r="M41" s="103" t="str">
        <f>_xll.ohRangeRetrieveError(L41)</f>
        <v/>
      </c>
      <c r="N41" s="100"/>
    </row>
    <row r="42" spans="1:14" x14ac:dyDescent="0.2">
      <c r="A42" s="46"/>
      <c r="B42" s="93" t="str">
        <f t="shared" si="1"/>
        <v>0D</v>
      </c>
      <c r="C42" s="93" t="s">
        <v>79</v>
      </c>
      <c r="D42" s="93" t="str">
        <f t="shared" si="6"/>
        <v>AM</v>
      </c>
      <c r="E42" s="93" t="str">
        <f t="shared" si="6"/>
        <v>12L</v>
      </c>
      <c r="F42" s="112" t="str">
        <f t="shared" si="3"/>
        <v>Annual</v>
      </c>
      <c r="G42" s="112" t="s">
        <v>138</v>
      </c>
      <c r="H42" s="112" t="str">
        <f t="shared" si="0"/>
        <v>Actual/360</v>
      </c>
      <c r="I42" s="109">
        <v>0</v>
      </c>
      <c r="J42" s="110" t="str">
        <f>'1Y_LiborSwapForBasisCalc'!$J36</f>
        <v>USDAM3L60Y_S12L3L_Quote</v>
      </c>
      <c r="K42" s="110" t="str">
        <f t="shared" si="4"/>
        <v>USD_YC1YRH_AM12LBASIS60Y</v>
      </c>
      <c r="L42" s="111" t="str">
        <f>_xll.qlSwapRateHelper2(K42,$J42,$C42,Calendar,$F42,$G42,$H42,$L$4,$I42,B42,DiscountingCurve,Permanent,,ObjectOverwrite)</f>
        <v>USD_YC1YRH_AM12LBASIS60Y#0001</v>
      </c>
      <c r="M42" s="103" t="str">
        <f>_xll.ohRangeRetrieveError(L42)</f>
        <v/>
      </c>
      <c r="N42" s="100"/>
    </row>
    <row r="43" spans="1:14" ht="12" thickBot="1" x14ac:dyDescent="0.25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97"/>
      <c r="M43" s="97"/>
      <c r="N43" s="121"/>
    </row>
  </sheetData>
  <dataValidations count="1">
    <dataValidation type="list" allowBlank="1" showInputMessage="1" showErrorMessage="1" sqref="G6:G42 JC6:JC42 SY6:SY42 ACU6:ACU42 AMQ6:AMQ42 AWM6:AWM42 BGI6:BGI42 BQE6:BQE42 CAA6:CAA42 CJW6:CJW42 CTS6:CTS42 DDO6:DDO42 DNK6:DNK42 DXG6:DXG42 EHC6:EHC42 EQY6:EQY42 FAU6:FAU42 FKQ6:FKQ42 FUM6:FUM42 GEI6:GEI42 GOE6:GOE42 GYA6:GYA42 HHW6:HHW42 HRS6:HRS42 IBO6:IBO42 ILK6:ILK42 IVG6:IVG42 JFC6:JFC42 JOY6:JOY42 JYU6:JYU42 KIQ6:KIQ42 KSM6:KSM42 LCI6:LCI42 LME6:LME42 LWA6:LWA42 MFW6:MFW42 MPS6:MPS42 MZO6:MZO42 NJK6:NJK42 NTG6:NTG42 ODC6:ODC42 OMY6:OMY42 OWU6:OWU42 PGQ6:PGQ42 PQM6:PQM42 QAI6:QAI42 QKE6:QKE42 QUA6:QUA42 RDW6:RDW42 RNS6:RNS42 RXO6:RXO42 SHK6:SHK42 SRG6:SRG42 TBC6:TBC42 TKY6:TKY42 TUU6:TUU42 UEQ6:UEQ42 UOM6:UOM42 UYI6:UYI42 VIE6:VIE42 VSA6:VSA42 WBW6:WBW42 WLS6:WLS42 WVO6:WVO42 G65542:G65578 JC65542:JC65578 SY65542:SY65578 ACU65542:ACU65578 AMQ65542:AMQ65578 AWM65542:AWM65578 BGI65542:BGI65578 BQE65542:BQE65578 CAA65542:CAA65578 CJW65542:CJW65578 CTS65542:CTS65578 DDO65542:DDO65578 DNK65542:DNK65578 DXG65542:DXG65578 EHC65542:EHC65578 EQY65542:EQY65578 FAU65542:FAU65578 FKQ65542:FKQ65578 FUM65542:FUM65578 GEI65542:GEI65578 GOE65542:GOE65578 GYA65542:GYA65578 HHW65542:HHW65578 HRS65542:HRS65578 IBO65542:IBO65578 ILK65542:ILK65578 IVG65542:IVG65578 JFC65542:JFC65578 JOY65542:JOY65578 JYU65542:JYU65578 KIQ65542:KIQ65578 KSM65542:KSM65578 LCI65542:LCI65578 LME65542:LME65578 LWA65542:LWA65578 MFW65542:MFW65578 MPS65542:MPS65578 MZO65542:MZO65578 NJK65542:NJK65578 NTG65542:NTG65578 ODC65542:ODC65578 OMY65542:OMY65578 OWU65542:OWU65578 PGQ65542:PGQ65578 PQM65542:PQM65578 QAI65542:QAI65578 QKE65542:QKE65578 QUA65542:QUA65578 RDW65542:RDW65578 RNS65542:RNS65578 RXO65542:RXO65578 SHK65542:SHK65578 SRG65542:SRG65578 TBC65542:TBC65578 TKY65542:TKY65578 TUU65542:TUU65578 UEQ65542:UEQ65578 UOM65542:UOM65578 UYI65542:UYI65578 VIE65542:VIE65578 VSA65542:VSA65578 WBW65542:WBW65578 WLS65542:WLS65578 WVO65542:WVO65578 G131078:G131114 JC131078:JC131114 SY131078:SY131114 ACU131078:ACU131114 AMQ131078:AMQ131114 AWM131078:AWM131114 BGI131078:BGI131114 BQE131078:BQE131114 CAA131078:CAA131114 CJW131078:CJW131114 CTS131078:CTS131114 DDO131078:DDO131114 DNK131078:DNK131114 DXG131078:DXG131114 EHC131078:EHC131114 EQY131078:EQY131114 FAU131078:FAU131114 FKQ131078:FKQ131114 FUM131078:FUM131114 GEI131078:GEI131114 GOE131078:GOE131114 GYA131078:GYA131114 HHW131078:HHW131114 HRS131078:HRS131114 IBO131078:IBO131114 ILK131078:ILK131114 IVG131078:IVG131114 JFC131078:JFC131114 JOY131078:JOY131114 JYU131078:JYU131114 KIQ131078:KIQ131114 KSM131078:KSM131114 LCI131078:LCI131114 LME131078:LME131114 LWA131078:LWA131114 MFW131078:MFW131114 MPS131078:MPS131114 MZO131078:MZO131114 NJK131078:NJK131114 NTG131078:NTG131114 ODC131078:ODC131114 OMY131078:OMY131114 OWU131078:OWU131114 PGQ131078:PGQ131114 PQM131078:PQM131114 QAI131078:QAI131114 QKE131078:QKE131114 QUA131078:QUA131114 RDW131078:RDW131114 RNS131078:RNS131114 RXO131078:RXO131114 SHK131078:SHK131114 SRG131078:SRG131114 TBC131078:TBC131114 TKY131078:TKY131114 TUU131078:TUU131114 UEQ131078:UEQ131114 UOM131078:UOM131114 UYI131078:UYI131114 VIE131078:VIE131114 VSA131078:VSA131114 WBW131078:WBW131114 WLS131078:WLS131114 WVO131078:WVO131114 G196614:G196650 JC196614:JC196650 SY196614:SY196650 ACU196614:ACU196650 AMQ196614:AMQ196650 AWM196614:AWM196650 BGI196614:BGI196650 BQE196614:BQE196650 CAA196614:CAA196650 CJW196614:CJW196650 CTS196614:CTS196650 DDO196614:DDO196650 DNK196614:DNK196650 DXG196614:DXG196650 EHC196614:EHC196650 EQY196614:EQY196650 FAU196614:FAU196650 FKQ196614:FKQ196650 FUM196614:FUM196650 GEI196614:GEI196650 GOE196614:GOE196650 GYA196614:GYA196650 HHW196614:HHW196650 HRS196614:HRS196650 IBO196614:IBO196650 ILK196614:ILK196650 IVG196614:IVG196650 JFC196614:JFC196650 JOY196614:JOY196650 JYU196614:JYU196650 KIQ196614:KIQ196650 KSM196614:KSM196650 LCI196614:LCI196650 LME196614:LME196650 LWA196614:LWA196650 MFW196614:MFW196650 MPS196614:MPS196650 MZO196614:MZO196650 NJK196614:NJK196650 NTG196614:NTG196650 ODC196614:ODC196650 OMY196614:OMY196650 OWU196614:OWU196650 PGQ196614:PGQ196650 PQM196614:PQM196650 QAI196614:QAI196650 QKE196614:QKE196650 QUA196614:QUA196650 RDW196614:RDW196650 RNS196614:RNS196650 RXO196614:RXO196650 SHK196614:SHK196650 SRG196614:SRG196650 TBC196614:TBC196650 TKY196614:TKY196650 TUU196614:TUU196650 UEQ196614:UEQ196650 UOM196614:UOM196650 UYI196614:UYI196650 VIE196614:VIE196650 VSA196614:VSA196650 WBW196614:WBW196650 WLS196614:WLS196650 WVO196614:WVO196650 G262150:G262186 JC262150:JC262186 SY262150:SY262186 ACU262150:ACU262186 AMQ262150:AMQ262186 AWM262150:AWM262186 BGI262150:BGI262186 BQE262150:BQE262186 CAA262150:CAA262186 CJW262150:CJW262186 CTS262150:CTS262186 DDO262150:DDO262186 DNK262150:DNK262186 DXG262150:DXG262186 EHC262150:EHC262186 EQY262150:EQY262186 FAU262150:FAU262186 FKQ262150:FKQ262186 FUM262150:FUM262186 GEI262150:GEI262186 GOE262150:GOE262186 GYA262150:GYA262186 HHW262150:HHW262186 HRS262150:HRS262186 IBO262150:IBO262186 ILK262150:ILK262186 IVG262150:IVG262186 JFC262150:JFC262186 JOY262150:JOY262186 JYU262150:JYU262186 KIQ262150:KIQ262186 KSM262150:KSM262186 LCI262150:LCI262186 LME262150:LME262186 LWA262150:LWA262186 MFW262150:MFW262186 MPS262150:MPS262186 MZO262150:MZO262186 NJK262150:NJK262186 NTG262150:NTG262186 ODC262150:ODC262186 OMY262150:OMY262186 OWU262150:OWU262186 PGQ262150:PGQ262186 PQM262150:PQM262186 QAI262150:QAI262186 QKE262150:QKE262186 QUA262150:QUA262186 RDW262150:RDW262186 RNS262150:RNS262186 RXO262150:RXO262186 SHK262150:SHK262186 SRG262150:SRG262186 TBC262150:TBC262186 TKY262150:TKY262186 TUU262150:TUU262186 UEQ262150:UEQ262186 UOM262150:UOM262186 UYI262150:UYI262186 VIE262150:VIE262186 VSA262150:VSA262186 WBW262150:WBW262186 WLS262150:WLS262186 WVO262150:WVO262186 G327686:G327722 JC327686:JC327722 SY327686:SY327722 ACU327686:ACU327722 AMQ327686:AMQ327722 AWM327686:AWM327722 BGI327686:BGI327722 BQE327686:BQE327722 CAA327686:CAA327722 CJW327686:CJW327722 CTS327686:CTS327722 DDO327686:DDO327722 DNK327686:DNK327722 DXG327686:DXG327722 EHC327686:EHC327722 EQY327686:EQY327722 FAU327686:FAU327722 FKQ327686:FKQ327722 FUM327686:FUM327722 GEI327686:GEI327722 GOE327686:GOE327722 GYA327686:GYA327722 HHW327686:HHW327722 HRS327686:HRS327722 IBO327686:IBO327722 ILK327686:ILK327722 IVG327686:IVG327722 JFC327686:JFC327722 JOY327686:JOY327722 JYU327686:JYU327722 KIQ327686:KIQ327722 KSM327686:KSM327722 LCI327686:LCI327722 LME327686:LME327722 LWA327686:LWA327722 MFW327686:MFW327722 MPS327686:MPS327722 MZO327686:MZO327722 NJK327686:NJK327722 NTG327686:NTG327722 ODC327686:ODC327722 OMY327686:OMY327722 OWU327686:OWU327722 PGQ327686:PGQ327722 PQM327686:PQM327722 QAI327686:QAI327722 QKE327686:QKE327722 QUA327686:QUA327722 RDW327686:RDW327722 RNS327686:RNS327722 RXO327686:RXO327722 SHK327686:SHK327722 SRG327686:SRG327722 TBC327686:TBC327722 TKY327686:TKY327722 TUU327686:TUU327722 UEQ327686:UEQ327722 UOM327686:UOM327722 UYI327686:UYI327722 VIE327686:VIE327722 VSA327686:VSA327722 WBW327686:WBW327722 WLS327686:WLS327722 WVO327686:WVO327722 G393222:G393258 JC393222:JC393258 SY393222:SY393258 ACU393222:ACU393258 AMQ393222:AMQ393258 AWM393222:AWM393258 BGI393222:BGI393258 BQE393222:BQE393258 CAA393222:CAA393258 CJW393222:CJW393258 CTS393222:CTS393258 DDO393222:DDO393258 DNK393222:DNK393258 DXG393222:DXG393258 EHC393222:EHC393258 EQY393222:EQY393258 FAU393222:FAU393258 FKQ393222:FKQ393258 FUM393222:FUM393258 GEI393222:GEI393258 GOE393222:GOE393258 GYA393222:GYA393258 HHW393222:HHW393258 HRS393222:HRS393258 IBO393222:IBO393258 ILK393222:ILK393258 IVG393222:IVG393258 JFC393222:JFC393258 JOY393222:JOY393258 JYU393222:JYU393258 KIQ393222:KIQ393258 KSM393222:KSM393258 LCI393222:LCI393258 LME393222:LME393258 LWA393222:LWA393258 MFW393222:MFW393258 MPS393222:MPS393258 MZO393222:MZO393258 NJK393222:NJK393258 NTG393222:NTG393258 ODC393222:ODC393258 OMY393222:OMY393258 OWU393222:OWU393258 PGQ393222:PGQ393258 PQM393222:PQM393258 QAI393222:QAI393258 QKE393222:QKE393258 QUA393222:QUA393258 RDW393222:RDW393258 RNS393222:RNS393258 RXO393222:RXO393258 SHK393222:SHK393258 SRG393222:SRG393258 TBC393222:TBC393258 TKY393222:TKY393258 TUU393222:TUU393258 UEQ393222:UEQ393258 UOM393222:UOM393258 UYI393222:UYI393258 VIE393222:VIE393258 VSA393222:VSA393258 WBW393222:WBW393258 WLS393222:WLS393258 WVO393222:WVO393258 G458758:G458794 JC458758:JC458794 SY458758:SY458794 ACU458758:ACU458794 AMQ458758:AMQ458794 AWM458758:AWM458794 BGI458758:BGI458794 BQE458758:BQE458794 CAA458758:CAA458794 CJW458758:CJW458794 CTS458758:CTS458794 DDO458758:DDO458794 DNK458758:DNK458794 DXG458758:DXG458794 EHC458758:EHC458794 EQY458758:EQY458794 FAU458758:FAU458794 FKQ458758:FKQ458794 FUM458758:FUM458794 GEI458758:GEI458794 GOE458758:GOE458794 GYA458758:GYA458794 HHW458758:HHW458794 HRS458758:HRS458794 IBO458758:IBO458794 ILK458758:ILK458794 IVG458758:IVG458794 JFC458758:JFC458794 JOY458758:JOY458794 JYU458758:JYU458794 KIQ458758:KIQ458794 KSM458758:KSM458794 LCI458758:LCI458794 LME458758:LME458794 LWA458758:LWA458794 MFW458758:MFW458794 MPS458758:MPS458794 MZO458758:MZO458794 NJK458758:NJK458794 NTG458758:NTG458794 ODC458758:ODC458794 OMY458758:OMY458794 OWU458758:OWU458794 PGQ458758:PGQ458794 PQM458758:PQM458794 QAI458758:QAI458794 QKE458758:QKE458794 QUA458758:QUA458794 RDW458758:RDW458794 RNS458758:RNS458794 RXO458758:RXO458794 SHK458758:SHK458794 SRG458758:SRG458794 TBC458758:TBC458794 TKY458758:TKY458794 TUU458758:TUU458794 UEQ458758:UEQ458794 UOM458758:UOM458794 UYI458758:UYI458794 VIE458758:VIE458794 VSA458758:VSA458794 WBW458758:WBW458794 WLS458758:WLS458794 WVO458758:WVO458794 G524294:G524330 JC524294:JC524330 SY524294:SY524330 ACU524294:ACU524330 AMQ524294:AMQ524330 AWM524294:AWM524330 BGI524294:BGI524330 BQE524294:BQE524330 CAA524294:CAA524330 CJW524294:CJW524330 CTS524294:CTS524330 DDO524294:DDO524330 DNK524294:DNK524330 DXG524294:DXG524330 EHC524294:EHC524330 EQY524294:EQY524330 FAU524294:FAU524330 FKQ524294:FKQ524330 FUM524294:FUM524330 GEI524294:GEI524330 GOE524294:GOE524330 GYA524294:GYA524330 HHW524294:HHW524330 HRS524294:HRS524330 IBO524294:IBO524330 ILK524294:ILK524330 IVG524294:IVG524330 JFC524294:JFC524330 JOY524294:JOY524330 JYU524294:JYU524330 KIQ524294:KIQ524330 KSM524294:KSM524330 LCI524294:LCI524330 LME524294:LME524330 LWA524294:LWA524330 MFW524294:MFW524330 MPS524294:MPS524330 MZO524294:MZO524330 NJK524294:NJK524330 NTG524294:NTG524330 ODC524294:ODC524330 OMY524294:OMY524330 OWU524294:OWU524330 PGQ524294:PGQ524330 PQM524294:PQM524330 QAI524294:QAI524330 QKE524294:QKE524330 QUA524294:QUA524330 RDW524294:RDW524330 RNS524294:RNS524330 RXO524294:RXO524330 SHK524294:SHK524330 SRG524294:SRG524330 TBC524294:TBC524330 TKY524294:TKY524330 TUU524294:TUU524330 UEQ524294:UEQ524330 UOM524294:UOM524330 UYI524294:UYI524330 VIE524294:VIE524330 VSA524294:VSA524330 WBW524294:WBW524330 WLS524294:WLS524330 WVO524294:WVO524330 G589830:G589866 JC589830:JC589866 SY589830:SY589866 ACU589830:ACU589866 AMQ589830:AMQ589866 AWM589830:AWM589866 BGI589830:BGI589866 BQE589830:BQE589866 CAA589830:CAA589866 CJW589830:CJW589866 CTS589830:CTS589866 DDO589830:DDO589866 DNK589830:DNK589866 DXG589830:DXG589866 EHC589830:EHC589866 EQY589830:EQY589866 FAU589830:FAU589866 FKQ589830:FKQ589866 FUM589830:FUM589866 GEI589830:GEI589866 GOE589830:GOE589866 GYA589830:GYA589866 HHW589830:HHW589866 HRS589830:HRS589866 IBO589830:IBO589866 ILK589830:ILK589866 IVG589830:IVG589866 JFC589830:JFC589866 JOY589830:JOY589866 JYU589830:JYU589866 KIQ589830:KIQ589866 KSM589830:KSM589866 LCI589830:LCI589866 LME589830:LME589866 LWA589830:LWA589866 MFW589830:MFW589866 MPS589830:MPS589866 MZO589830:MZO589866 NJK589830:NJK589866 NTG589830:NTG589866 ODC589830:ODC589866 OMY589830:OMY589866 OWU589830:OWU589866 PGQ589830:PGQ589866 PQM589830:PQM589866 QAI589830:QAI589866 QKE589830:QKE589866 QUA589830:QUA589866 RDW589830:RDW589866 RNS589830:RNS589866 RXO589830:RXO589866 SHK589830:SHK589866 SRG589830:SRG589866 TBC589830:TBC589866 TKY589830:TKY589866 TUU589830:TUU589866 UEQ589830:UEQ589866 UOM589830:UOM589866 UYI589830:UYI589866 VIE589830:VIE589866 VSA589830:VSA589866 WBW589830:WBW589866 WLS589830:WLS589866 WVO589830:WVO589866 G655366:G655402 JC655366:JC655402 SY655366:SY655402 ACU655366:ACU655402 AMQ655366:AMQ655402 AWM655366:AWM655402 BGI655366:BGI655402 BQE655366:BQE655402 CAA655366:CAA655402 CJW655366:CJW655402 CTS655366:CTS655402 DDO655366:DDO655402 DNK655366:DNK655402 DXG655366:DXG655402 EHC655366:EHC655402 EQY655366:EQY655402 FAU655366:FAU655402 FKQ655366:FKQ655402 FUM655366:FUM655402 GEI655366:GEI655402 GOE655366:GOE655402 GYA655366:GYA655402 HHW655366:HHW655402 HRS655366:HRS655402 IBO655366:IBO655402 ILK655366:ILK655402 IVG655366:IVG655402 JFC655366:JFC655402 JOY655366:JOY655402 JYU655366:JYU655402 KIQ655366:KIQ655402 KSM655366:KSM655402 LCI655366:LCI655402 LME655366:LME655402 LWA655366:LWA655402 MFW655366:MFW655402 MPS655366:MPS655402 MZO655366:MZO655402 NJK655366:NJK655402 NTG655366:NTG655402 ODC655366:ODC655402 OMY655366:OMY655402 OWU655366:OWU655402 PGQ655366:PGQ655402 PQM655366:PQM655402 QAI655366:QAI655402 QKE655366:QKE655402 QUA655366:QUA655402 RDW655366:RDW655402 RNS655366:RNS655402 RXO655366:RXO655402 SHK655366:SHK655402 SRG655366:SRG655402 TBC655366:TBC655402 TKY655366:TKY655402 TUU655366:TUU655402 UEQ655366:UEQ655402 UOM655366:UOM655402 UYI655366:UYI655402 VIE655366:VIE655402 VSA655366:VSA655402 WBW655366:WBW655402 WLS655366:WLS655402 WVO655366:WVO655402 G720902:G720938 JC720902:JC720938 SY720902:SY720938 ACU720902:ACU720938 AMQ720902:AMQ720938 AWM720902:AWM720938 BGI720902:BGI720938 BQE720902:BQE720938 CAA720902:CAA720938 CJW720902:CJW720938 CTS720902:CTS720938 DDO720902:DDO720938 DNK720902:DNK720938 DXG720902:DXG720938 EHC720902:EHC720938 EQY720902:EQY720938 FAU720902:FAU720938 FKQ720902:FKQ720938 FUM720902:FUM720938 GEI720902:GEI720938 GOE720902:GOE720938 GYA720902:GYA720938 HHW720902:HHW720938 HRS720902:HRS720938 IBO720902:IBO720938 ILK720902:ILK720938 IVG720902:IVG720938 JFC720902:JFC720938 JOY720902:JOY720938 JYU720902:JYU720938 KIQ720902:KIQ720938 KSM720902:KSM720938 LCI720902:LCI720938 LME720902:LME720938 LWA720902:LWA720938 MFW720902:MFW720938 MPS720902:MPS720938 MZO720902:MZO720938 NJK720902:NJK720938 NTG720902:NTG720938 ODC720902:ODC720938 OMY720902:OMY720938 OWU720902:OWU720938 PGQ720902:PGQ720938 PQM720902:PQM720938 QAI720902:QAI720938 QKE720902:QKE720938 QUA720902:QUA720938 RDW720902:RDW720938 RNS720902:RNS720938 RXO720902:RXO720938 SHK720902:SHK720938 SRG720902:SRG720938 TBC720902:TBC720938 TKY720902:TKY720938 TUU720902:TUU720938 UEQ720902:UEQ720938 UOM720902:UOM720938 UYI720902:UYI720938 VIE720902:VIE720938 VSA720902:VSA720938 WBW720902:WBW720938 WLS720902:WLS720938 WVO720902:WVO720938 G786438:G786474 JC786438:JC786474 SY786438:SY786474 ACU786438:ACU786474 AMQ786438:AMQ786474 AWM786438:AWM786474 BGI786438:BGI786474 BQE786438:BQE786474 CAA786438:CAA786474 CJW786438:CJW786474 CTS786438:CTS786474 DDO786438:DDO786474 DNK786438:DNK786474 DXG786438:DXG786474 EHC786438:EHC786474 EQY786438:EQY786474 FAU786438:FAU786474 FKQ786438:FKQ786474 FUM786438:FUM786474 GEI786438:GEI786474 GOE786438:GOE786474 GYA786438:GYA786474 HHW786438:HHW786474 HRS786438:HRS786474 IBO786438:IBO786474 ILK786438:ILK786474 IVG786438:IVG786474 JFC786438:JFC786474 JOY786438:JOY786474 JYU786438:JYU786474 KIQ786438:KIQ786474 KSM786438:KSM786474 LCI786438:LCI786474 LME786438:LME786474 LWA786438:LWA786474 MFW786438:MFW786474 MPS786438:MPS786474 MZO786438:MZO786474 NJK786438:NJK786474 NTG786438:NTG786474 ODC786438:ODC786474 OMY786438:OMY786474 OWU786438:OWU786474 PGQ786438:PGQ786474 PQM786438:PQM786474 QAI786438:QAI786474 QKE786438:QKE786474 QUA786438:QUA786474 RDW786438:RDW786474 RNS786438:RNS786474 RXO786438:RXO786474 SHK786438:SHK786474 SRG786438:SRG786474 TBC786438:TBC786474 TKY786438:TKY786474 TUU786438:TUU786474 UEQ786438:UEQ786474 UOM786438:UOM786474 UYI786438:UYI786474 VIE786438:VIE786474 VSA786438:VSA786474 WBW786438:WBW786474 WLS786438:WLS786474 WVO786438:WVO786474 G851974:G852010 JC851974:JC852010 SY851974:SY852010 ACU851974:ACU852010 AMQ851974:AMQ852010 AWM851974:AWM852010 BGI851974:BGI852010 BQE851974:BQE852010 CAA851974:CAA852010 CJW851974:CJW852010 CTS851974:CTS852010 DDO851974:DDO852010 DNK851974:DNK852010 DXG851974:DXG852010 EHC851974:EHC852010 EQY851974:EQY852010 FAU851974:FAU852010 FKQ851974:FKQ852010 FUM851974:FUM852010 GEI851974:GEI852010 GOE851974:GOE852010 GYA851974:GYA852010 HHW851974:HHW852010 HRS851974:HRS852010 IBO851974:IBO852010 ILK851974:ILK852010 IVG851974:IVG852010 JFC851974:JFC852010 JOY851974:JOY852010 JYU851974:JYU852010 KIQ851974:KIQ852010 KSM851974:KSM852010 LCI851974:LCI852010 LME851974:LME852010 LWA851974:LWA852010 MFW851974:MFW852010 MPS851974:MPS852010 MZO851974:MZO852010 NJK851974:NJK852010 NTG851974:NTG852010 ODC851974:ODC852010 OMY851974:OMY852010 OWU851974:OWU852010 PGQ851974:PGQ852010 PQM851974:PQM852010 QAI851974:QAI852010 QKE851974:QKE852010 QUA851974:QUA852010 RDW851974:RDW852010 RNS851974:RNS852010 RXO851974:RXO852010 SHK851974:SHK852010 SRG851974:SRG852010 TBC851974:TBC852010 TKY851974:TKY852010 TUU851974:TUU852010 UEQ851974:UEQ852010 UOM851974:UOM852010 UYI851974:UYI852010 VIE851974:VIE852010 VSA851974:VSA852010 WBW851974:WBW852010 WLS851974:WLS852010 WVO851974:WVO852010 G917510:G917546 JC917510:JC917546 SY917510:SY917546 ACU917510:ACU917546 AMQ917510:AMQ917546 AWM917510:AWM917546 BGI917510:BGI917546 BQE917510:BQE917546 CAA917510:CAA917546 CJW917510:CJW917546 CTS917510:CTS917546 DDO917510:DDO917546 DNK917510:DNK917546 DXG917510:DXG917546 EHC917510:EHC917546 EQY917510:EQY917546 FAU917510:FAU917546 FKQ917510:FKQ917546 FUM917510:FUM917546 GEI917510:GEI917546 GOE917510:GOE917546 GYA917510:GYA917546 HHW917510:HHW917546 HRS917510:HRS917546 IBO917510:IBO917546 ILK917510:ILK917546 IVG917510:IVG917546 JFC917510:JFC917546 JOY917510:JOY917546 JYU917510:JYU917546 KIQ917510:KIQ917546 KSM917510:KSM917546 LCI917510:LCI917546 LME917510:LME917546 LWA917510:LWA917546 MFW917510:MFW917546 MPS917510:MPS917546 MZO917510:MZO917546 NJK917510:NJK917546 NTG917510:NTG917546 ODC917510:ODC917546 OMY917510:OMY917546 OWU917510:OWU917546 PGQ917510:PGQ917546 PQM917510:PQM917546 QAI917510:QAI917546 QKE917510:QKE917546 QUA917510:QUA917546 RDW917510:RDW917546 RNS917510:RNS917546 RXO917510:RXO917546 SHK917510:SHK917546 SRG917510:SRG917546 TBC917510:TBC917546 TKY917510:TKY917546 TUU917510:TUU917546 UEQ917510:UEQ917546 UOM917510:UOM917546 UYI917510:UYI917546 VIE917510:VIE917546 VSA917510:VSA917546 WBW917510:WBW917546 WLS917510:WLS917546 WVO917510:WVO917546 G983046:G983082 JC983046:JC983082 SY983046:SY983082 ACU983046:ACU983082 AMQ983046:AMQ983082 AWM983046:AWM983082 BGI983046:BGI983082 BQE983046:BQE983082 CAA983046:CAA983082 CJW983046:CJW983082 CTS983046:CTS983082 DDO983046:DDO983082 DNK983046:DNK983082 DXG983046:DXG983082 EHC983046:EHC983082 EQY983046:EQY983082 FAU983046:FAU983082 FKQ983046:FKQ983082 FUM983046:FUM983082 GEI983046:GEI983082 GOE983046:GOE983082 GYA983046:GYA983082 HHW983046:HHW983082 HRS983046:HRS983082 IBO983046:IBO983082 ILK983046:ILK983082 IVG983046:IVG983082 JFC983046:JFC983082 JOY983046:JOY983082 JYU983046:JYU983082 KIQ983046:KIQ983082 KSM983046:KSM983082 LCI983046:LCI983082 LME983046:LME983082 LWA983046:LWA983082 MFW983046:MFW983082 MPS983046:MPS983082 MZO983046:MZO983082 NJK983046:NJK983082 NTG983046:NTG983082 ODC983046:ODC983082 OMY983046:OMY983082 OWU983046:OWU983082 PGQ983046:PGQ983082 PQM983046:PQM983082 QAI983046:QAI983082 QKE983046:QKE983082 QUA983046:QUA983082 RDW983046:RDW983082 RNS983046:RNS983082 RXO983046:RXO983082 SHK983046:SHK983082 SRG983046:SRG983082 TBC983046:TBC983082 TKY983046:TKY983082 TUU983046:TUU983082 UEQ983046:UEQ983082 UOM983046:UOM983082 UYI983046:UYI983082 VIE983046:VIE983082 VSA983046:VSA983082 WBW983046:WBW983082 WLS983046:WLS983082 WVO983046:WVO98308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36</vt:i4>
      </vt:variant>
    </vt:vector>
  </HeadingPairs>
  <TitlesOfParts>
    <vt:vector size="43" baseType="lpstr">
      <vt:lpstr>General Settings</vt:lpstr>
      <vt:lpstr>RateHelpers</vt:lpstr>
      <vt:lpstr>Selected</vt:lpstr>
      <vt:lpstr>1Y_Deposits</vt:lpstr>
      <vt:lpstr>1Y_FRAs</vt:lpstr>
      <vt:lpstr>1Y_LiborSwapForBasisCalc</vt:lpstr>
      <vt:lpstr>1Y_SwapsFromBasis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'1Y_SwapsFromBasis'!DiscountingCurve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Swap1YConventions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2014-05-06T14:38:32Z</dcterms:modified>
</cp:coreProperties>
</file>