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155" yWindow="-15" windowWidth="5085" windowHeight="8235" tabRatio="821"/>
  </bookViews>
  <sheets>
    <sheet name="General Settings" sheetId="6" r:id="rId1"/>
    <sheet name="RateHelpers" sheetId="4" r:id="rId2"/>
    <sheet name="Selected" sheetId="5" r:id="rId3"/>
    <sheet name="ON_Deposits" sheetId="9" r:id="rId4"/>
    <sheet name="ON_FRAs" sheetId="17" r:id="rId5"/>
    <sheet name="ON_Swaps" sheetId="30" r:id="rId6"/>
  </sheets>
  <definedNames>
    <definedName name="Accuracy">'General Settings'!$D$23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Settings'!$M$13</definedName>
    <definedName name="Discounting2">'General Settings'!$M$14</definedName>
    <definedName name="DiscountingCurve" localSheetId="5">ON_Swaps!$L$2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RateHelpers!$J$2:$J$125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_xlnm.Print_Area" localSheetId="2">Selected!$D$1:$I$50</definedName>
    <definedName name="QuoteSuffix">'General Settings'!$M$12</definedName>
    <definedName name="RateHelperPrefix">'General Settings'!$D$9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D18" i="6" l="1"/>
  <c r="E18" i="6"/>
  <c r="L4" i="30"/>
  <c r="C30" i="6" l="1"/>
  <c r="H62" i="30" l="1"/>
  <c r="H63" i="30"/>
  <c r="H64" i="30"/>
  <c r="H65" i="30"/>
  <c r="H66" i="30"/>
  <c r="H67" i="30"/>
  <c r="H68" i="30"/>
  <c r="H69" i="30"/>
  <c r="H70" i="30"/>
  <c r="H71" i="30"/>
  <c r="H72" i="30"/>
  <c r="H73" i="30"/>
  <c r="H74" i="30"/>
  <c r="H75" i="30"/>
  <c r="H76" i="30"/>
  <c r="H77" i="30"/>
  <c r="H78" i="30"/>
  <c r="H79" i="30"/>
  <c r="H80" i="30"/>
  <c r="H81" i="30"/>
  <c r="H82" i="30"/>
  <c r="H83" i="30"/>
  <c r="H84" i="30"/>
  <c r="H85" i="30"/>
  <c r="H86" i="30"/>
  <c r="H87" i="30"/>
  <c r="H88" i="30"/>
  <c r="H89" i="30"/>
  <c r="H90" i="30"/>
  <c r="H91" i="30"/>
  <c r="H92" i="30"/>
  <c r="H93" i="30"/>
  <c r="H94" i="30"/>
  <c r="H95" i="30"/>
  <c r="H61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2" i="30"/>
  <c r="H23" i="30"/>
  <c r="H24" i="30"/>
  <c r="H25" i="30"/>
  <c r="H26" i="30"/>
  <c r="H27" i="30"/>
  <c r="H28" i="30"/>
  <c r="H29" i="30"/>
  <c r="H30" i="30"/>
  <c r="H31" i="30"/>
  <c r="H32" i="30"/>
  <c r="H33" i="30"/>
  <c r="H34" i="30"/>
  <c r="H35" i="30"/>
  <c r="H36" i="30"/>
  <c r="H37" i="30"/>
  <c r="H38" i="30"/>
  <c r="H39" i="30"/>
  <c r="H40" i="30"/>
  <c r="H41" i="30"/>
  <c r="H42" i="30"/>
  <c r="H43" i="30"/>
  <c r="H44" i="30"/>
  <c r="H45" i="30"/>
  <c r="H46" i="30"/>
  <c r="H47" i="30"/>
  <c r="H48" i="30"/>
  <c r="H49" i="30"/>
  <c r="H50" i="30"/>
  <c r="H51" i="30"/>
  <c r="H52" i="30"/>
  <c r="H53" i="30"/>
  <c r="H54" i="30"/>
  <c r="H55" i="30"/>
  <c r="H56" i="30"/>
  <c r="H57" i="30"/>
  <c r="H58" i="30"/>
  <c r="H59" i="30"/>
  <c r="H6" i="30"/>
  <c r="M13" i="6" l="1"/>
  <c r="M14" i="6"/>
  <c r="K2" i="30" l="1"/>
  <c r="K3" i="30" s="1"/>
  <c r="L2" i="30"/>
  <c r="J6" i="30"/>
  <c r="E7" i="30"/>
  <c r="J7" i="30" s="1"/>
  <c r="E8" i="30"/>
  <c r="J8" i="30" s="1"/>
  <c r="E9" i="30"/>
  <c r="J9" i="30" s="1"/>
  <c r="E10" i="30"/>
  <c r="J10" i="30" s="1"/>
  <c r="E11" i="30"/>
  <c r="J11" i="30" s="1"/>
  <c r="E12" i="30"/>
  <c r="J12" i="30" s="1"/>
  <c r="E13" i="30"/>
  <c r="J13" i="30" s="1"/>
  <c r="E14" i="30"/>
  <c r="J14" i="30" s="1"/>
  <c r="E15" i="30"/>
  <c r="J15" i="30" s="1"/>
  <c r="E16" i="30"/>
  <c r="J16" i="30" s="1"/>
  <c r="E17" i="30"/>
  <c r="J17" i="30" s="1"/>
  <c r="E18" i="30"/>
  <c r="J18" i="30" s="1"/>
  <c r="E19" i="30"/>
  <c r="J19" i="30" s="1"/>
  <c r="E20" i="30"/>
  <c r="J20" i="30" s="1"/>
  <c r="E21" i="30"/>
  <c r="J21" i="30" s="1"/>
  <c r="E22" i="30"/>
  <c r="J22" i="30" s="1"/>
  <c r="E23" i="30"/>
  <c r="J23" i="30" s="1"/>
  <c r="E24" i="30"/>
  <c r="J24" i="30" s="1"/>
  <c r="E25" i="30"/>
  <c r="J25" i="30" s="1"/>
  <c r="E26" i="30"/>
  <c r="J26" i="30" s="1"/>
  <c r="E27" i="30"/>
  <c r="J27" i="30" s="1"/>
  <c r="E28" i="30"/>
  <c r="J28" i="30" s="1"/>
  <c r="E29" i="30"/>
  <c r="J29" i="30" s="1"/>
  <c r="E30" i="30"/>
  <c r="J30" i="30" s="1"/>
  <c r="E31" i="30"/>
  <c r="J31" i="30" s="1"/>
  <c r="E32" i="30"/>
  <c r="J32" i="30" s="1"/>
  <c r="E33" i="30"/>
  <c r="J33" i="30" s="1"/>
  <c r="E34" i="30"/>
  <c r="J34" i="30" s="1"/>
  <c r="E35" i="30"/>
  <c r="J35" i="30" s="1"/>
  <c r="E36" i="30"/>
  <c r="J36" i="30" s="1"/>
  <c r="E37" i="30"/>
  <c r="J37" i="30" s="1"/>
  <c r="E38" i="30"/>
  <c r="J38" i="30" s="1"/>
  <c r="E39" i="30"/>
  <c r="J39" i="30" s="1"/>
  <c r="E40" i="30"/>
  <c r="J40" i="30" s="1"/>
  <c r="E41" i="30"/>
  <c r="J41" i="30" s="1"/>
  <c r="E42" i="30"/>
  <c r="J42" i="30" s="1"/>
  <c r="E43" i="30"/>
  <c r="J43" i="30" s="1"/>
  <c r="E44" i="30"/>
  <c r="J44" i="30" s="1"/>
  <c r="E45" i="30"/>
  <c r="J45" i="30" s="1"/>
  <c r="E46" i="30"/>
  <c r="J46" i="30" s="1"/>
  <c r="E47" i="30"/>
  <c r="J47" i="30" s="1"/>
  <c r="E48" i="30"/>
  <c r="J48" i="30" s="1"/>
  <c r="E49" i="30"/>
  <c r="J49" i="30" s="1"/>
  <c r="E50" i="30"/>
  <c r="J50" i="30" s="1"/>
  <c r="E51" i="30"/>
  <c r="J51" i="30" s="1"/>
  <c r="E52" i="30"/>
  <c r="J52" i="30" s="1"/>
  <c r="E53" i="30"/>
  <c r="J53" i="30" s="1"/>
  <c r="E54" i="30"/>
  <c r="J54" i="30" s="1"/>
  <c r="E55" i="30"/>
  <c r="J55" i="30" s="1"/>
  <c r="E56" i="30"/>
  <c r="J56" i="30" s="1"/>
  <c r="E57" i="30"/>
  <c r="J57" i="30" s="1"/>
  <c r="E58" i="30"/>
  <c r="J58" i="30" s="1"/>
  <c r="E59" i="30"/>
  <c r="J59" i="30" s="1"/>
  <c r="E61" i="30"/>
  <c r="K50" i="30" l="1"/>
  <c r="K58" i="30"/>
  <c r="K51" i="30"/>
  <c r="K42" i="30"/>
  <c r="K36" i="30"/>
  <c r="K12" i="30"/>
  <c r="K33" i="30"/>
  <c r="K28" i="30"/>
  <c r="K20" i="30"/>
  <c r="K6" i="30"/>
  <c r="K55" i="30"/>
  <c r="K25" i="30"/>
  <c r="K17" i="30"/>
  <c r="K9" i="30"/>
  <c r="K49" i="30"/>
  <c r="K43" i="30"/>
  <c r="K38" i="30"/>
  <c r="K37" i="30"/>
  <c r="K29" i="30"/>
  <c r="K34" i="30"/>
  <c r="K26" i="30"/>
  <c r="K59" i="30"/>
  <c r="K18" i="30"/>
  <c r="K10" i="30"/>
  <c r="K47" i="30"/>
  <c r="K31" i="30"/>
  <c r="K23" i="30"/>
  <c r="K15" i="30"/>
  <c r="K7" i="30"/>
  <c r="K22" i="30"/>
  <c r="K14" i="30"/>
  <c r="K54" i="30"/>
  <c r="K46" i="30"/>
  <c r="K35" i="30"/>
  <c r="K27" i="30"/>
  <c r="K19" i="30"/>
  <c r="K11" i="30"/>
  <c r="K4" i="30"/>
  <c r="K30" i="30"/>
  <c r="K53" i="30"/>
  <c r="K45" i="30"/>
  <c r="K39" i="30"/>
  <c r="K32" i="30"/>
  <c r="K24" i="30"/>
  <c r="K16" i="30"/>
  <c r="K8" i="30"/>
  <c r="K21" i="30"/>
  <c r="K13" i="30"/>
  <c r="J61" i="30"/>
  <c r="K61" i="30"/>
  <c r="K41" i="30"/>
  <c r="K57" i="30"/>
  <c r="K56" i="30"/>
  <c r="K52" i="30"/>
  <c r="K48" i="30"/>
  <c r="K44" i="30"/>
  <c r="K40" i="30"/>
  <c r="L16" i="30"/>
  <c r="L58" i="30"/>
  <c r="L57" i="30"/>
  <c r="L38" i="30"/>
  <c r="L49" i="30"/>
  <c r="L43" i="30"/>
  <c r="L45" i="30"/>
  <c r="L56" i="30"/>
  <c r="L44" i="30"/>
  <c r="L34" i="30"/>
  <c r="L31" i="30"/>
  <c r="L59" i="30"/>
  <c r="L48" i="30"/>
  <c r="L18" i="30"/>
  <c r="L10" i="30"/>
  <c r="M59" i="30"/>
  <c r="L6" i="30"/>
  <c r="L50" i="30"/>
  <c r="L23" i="30"/>
  <c r="Q59" i="30"/>
  <c r="L54" i="30"/>
  <c r="Q6" i="30"/>
  <c r="L51" i="30"/>
  <c r="L52" i="30"/>
  <c r="L33" i="30"/>
  <c r="L35" i="30"/>
  <c r="L21" i="30"/>
  <c r="M34" i="30"/>
  <c r="L27" i="30"/>
  <c r="L8" i="30"/>
  <c r="L42" i="30"/>
  <c r="M21" i="30"/>
  <c r="L28" i="30"/>
  <c r="L17" i="30"/>
  <c r="Q17" i="30" s="1"/>
  <c r="Q8" i="30"/>
  <c r="L40" i="30"/>
  <c r="L22" i="30"/>
  <c r="L37" i="30"/>
  <c r="P27" i="30"/>
  <c r="P17" i="30"/>
  <c r="Q21" i="30"/>
  <c r="L12" i="30"/>
  <c r="P12" i="30" s="1"/>
  <c r="L32" i="30"/>
  <c r="L24" i="30"/>
  <c r="P59" i="30"/>
  <c r="L55" i="30"/>
  <c r="L9" i="30"/>
  <c r="L53" i="30"/>
  <c r="L36" i="30"/>
  <c r="M31" i="30"/>
  <c r="L29" i="30"/>
  <c r="L13" i="30"/>
  <c r="P34" i="30"/>
  <c r="Q18" i="30"/>
  <c r="B61" i="30"/>
  <c r="L15" i="30"/>
  <c r="Q13" i="30"/>
  <c r="L19" i="30"/>
  <c r="M18" i="30"/>
  <c r="L14" i="30"/>
  <c r="L30" i="30"/>
  <c r="L20" i="30"/>
  <c r="L46" i="30"/>
  <c r="M13" i="30"/>
  <c r="Q27" i="30"/>
  <c r="L25" i="30"/>
  <c r="L26" i="30"/>
  <c r="L41" i="30"/>
  <c r="M4" i="30"/>
  <c r="L11" i="30"/>
  <c r="L47" i="30"/>
  <c r="L39" i="30"/>
  <c r="L7" i="30"/>
  <c r="P6" i="30"/>
  <c r="M8" i="30"/>
  <c r="Q9" i="30"/>
  <c r="P9" i="30"/>
  <c r="M29" i="30"/>
  <c r="Q29" i="30"/>
  <c r="M14" i="30"/>
  <c r="Q14" i="30"/>
  <c r="M11" i="30"/>
  <c r="Q11" i="30"/>
  <c r="E81" i="4" l="1"/>
  <c r="E45" i="4"/>
  <c r="E79" i="4"/>
  <c r="E37" i="4"/>
  <c r="E77" i="4"/>
  <c r="E70" i="4"/>
  <c r="E65" i="4"/>
  <c r="E48" i="4"/>
  <c r="E76" i="4"/>
  <c r="E66" i="4"/>
  <c r="E55" i="4"/>
  <c r="E47" i="4"/>
  <c r="E78" i="4"/>
  <c r="E53" i="4"/>
  <c r="E46" i="4"/>
  <c r="E41" i="4"/>
  <c r="E71" i="4"/>
  <c r="E82" i="4"/>
  <c r="E42" i="4"/>
  <c r="E67" i="4"/>
  <c r="E64" i="4"/>
  <c r="E51" i="4"/>
  <c r="E36" i="4"/>
  <c r="E69" i="4"/>
  <c r="E57" i="4"/>
  <c r="E63" i="4"/>
  <c r="E86" i="4"/>
  <c r="E88" i="4"/>
  <c r="E85" i="4"/>
  <c r="E87" i="4"/>
  <c r="E59" i="4"/>
  <c r="E49" i="4"/>
  <c r="E74" i="4"/>
  <c r="E72" i="4"/>
  <c r="E50" i="4"/>
  <c r="E52" i="4"/>
  <c r="E54" i="4"/>
  <c r="E68" i="4"/>
  <c r="E61" i="4"/>
  <c r="E38" i="4"/>
  <c r="E58" i="4"/>
  <c r="E40" i="4"/>
  <c r="E80" i="4"/>
  <c r="E35" i="4"/>
  <c r="E39" i="4"/>
  <c r="E84" i="4"/>
  <c r="E83" i="4"/>
  <c r="E60" i="4"/>
  <c r="E56" i="4"/>
  <c r="E75" i="4"/>
  <c r="E43" i="4"/>
  <c r="E73" i="4"/>
  <c r="E44" i="4"/>
  <c r="E62" i="4"/>
  <c r="P13" i="30"/>
  <c r="P8" i="30"/>
  <c r="M44" i="30"/>
  <c r="M7" i="30"/>
  <c r="Q20" i="30"/>
  <c r="Q36" i="30"/>
  <c r="M46" i="30"/>
  <c r="M24" i="30"/>
  <c r="M52" i="30"/>
  <c r="M27" i="30"/>
  <c r="Q24" i="30"/>
  <c r="P14" i="30"/>
  <c r="P31" i="30"/>
  <c r="Q37" i="30"/>
  <c r="Q25" i="30"/>
  <c r="P24" i="30"/>
  <c r="M28" i="30"/>
  <c r="Q22" i="30"/>
  <c r="M55" i="30"/>
  <c r="P19" i="30"/>
  <c r="P21" i="30"/>
  <c r="M16" i="30"/>
  <c r="M51" i="30"/>
  <c r="M43" i="30"/>
  <c r="M42" i="30"/>
  <c r="P16" i="30"/>
  <c r="M53" i="30"/>
  <c r="M32" i="30"/>
  <c r="M39" i="30"/>
  <c r="P11" i="30"/>
  <c r="M15" i="30"/>
  <c r="Q28" i="30"/>
  <c r="Q19" i="30"/>
  <c r="Q35" i="30"/>
  <c r="M47" i="30"/>
  <c r="P15" i="30"/>
  <c r="M37" i="30"/>
  <c r="M54" i="30"/>
  <c r="P18" i="30"/>
  <c r="P22" i="30"/>
  <c r="M6" i="30"/>
  <c r="Q10" i="30"/>
  <c r="Q34" i="30"/>
  <c r="P29" i="30"/>
  <c r="Q26" i="30"/>
  <c r="M35" i="30"/>
  <c r="M20" i="30"/>
  <c r="M12" i="30"/>
  <c r="Q30" i="30"/>
  <c r="P35" i="30"/>
  <c r="M48" i="30"/>
  <c r="M22" i="30"/>
  <c r="M25" i="30"/>
  <c r="P28" i="30"/>
  <c r="E62" i="30"/>
  <c r="P37" i="30"/>
  <c r="P25" i="30"/>
  <c r="M41" i="30"/>
  <c r="P36" i="30"/>
  <c r="M57" i="30"/>
  <c r="M10" i="30"/>
  <c r="P33" i="30"/>
  <c r="M33" i="30"/>
  <c r="Q12" i="30"/>
  <c r="P20" i="30"/>
  <c r="Q32" i="30"/>
  <c r="P26" i="30"/>
  <c r="Q16" i="30"/>
  <c r="Q7" i="30"/>
  <c r="M56" i="30"/>
  <c r="M45" i="30"/>
  <c r="M40" i="30"/>
  <c r="M9" i="30"/>
  <c r="M58" i="30"/>
  <c r="M26" i="30"/>
  <c r="M50" i="30"/>
  <c r="Q33" i="30"/>
  <c r="P30" i="30"/>
  <c r="M30" i="30"/>
  <c r="M38" i="30"/>
  <c r="M19" i="30"/>
  <c r="M49" i="30"/>
  <c r="P23" i="30"/>
  <c r="Q23" i="30"/>
  <c r="P10" i="30"/>
  <c r="P7" i="30"/>
  <c r="Q31" i="30"/>
  <c r="Q15" i="30"/>
  <c r="M36" i="30"/>
  <c r="M23" i="30"/>
  <c r="M17" i="30"/>
  <c r="P32" i="30"/>
  <c r="J62" i="30" l="1"/>
  <c r="K62" i="30"/>
  <c r="B62" i="30"/>
  <c r="E63" i="30"/>
  <c r="L61" i="30"/>
  <c r="P61" i="30" s="1"/>
  <c r="M61" i="30"/>
  <c r="K63" i="30" l="1"/>
  <c r="J63" i="30"/>
  <c r="Q61" i="30"/>
  <c r="B63" i="30"/>
  <c r="E64" i="30"/>
  <c r="L62" i="30"/>
  <c r="M62" i="30"/>
  <c r="Q62" i="30"/>
  <c r="J64" i="30" l="1"/>
  <c r="K64" i="30"/>
  <c r="B64" i="30"/>
  <c r="L63" i="30" s="1"/>
  <c r="P63" i="30" s="1"/>
  <c r="Q63" i="30"/>
  <c r="E65" i="30"/>
  <c r="B65" i="30" s="1"/>
  <c r="E66" i="30" s="1"/>
  <c r="L64" i="30"/>
  <c r="P62" i="30"/>
  <c r="M63" i="30"/>
  <c r="M64" i="30"/>
  <c r="P64" i="30"/>
  <c r="Q64" i="30"/>
  <c r="K65" i="30" l="1"/>
  <c r="J65" i="30"/>
  <c r="J66" i="30"/>
  <c r="K66" i="30"/>
  <c r="B66" i="30"/>
  <c r="L65" i="30"/>
  <c r="E67" i="30"/>
  <c r="Q65" i="30"/>
  <c r="P65" i="30"/>
  <c r="B67" i="30"/>
  <c r="M65" i="30"/>
  <c r="J67" i="30" l="1"/>
  <c r="K67" i="30"/>
  <c r="L66" i="30"/>
  <c r="E68" i="30"/>
  <c r="B68" i="30" s="1"/>
  <c r="Q66" i="30"/>
  <c r="E69" i="30"/>
  <c r="M66" i="30"/>
  <c r="K68" i="30" l="1"/>
  <c r="J68" i="30"/>
  <c r="K69" i="30"/>
  <c r="J69" i="30"/>
  <c r="P66" i="30"/>
  <c r="L67" i="30"/>
  <c r="P67" i="30"/>
  <c r="B69" i="30"/>
  <c r="L69" i="30"/>
  <c r="M67" i="30"/>
  <c r="M69" i="30"/>
  <c r="E70" i="30"/>
  <c r="L68" i="30"/>
  <c r="P69" i="30"/>
  <c r="M68" i="30"/>
  <c r="Q68" i="30"/>
  <c r="K70" i="30" l="1"/>
  <c r="J70" i="30"/>
  <c r="P68" i="30"/>
  <c r="L70" i="30"/>
  <c r="Q69" i="30"/>
  <c r="Q67" i="30"/>
  <c r="P70" i="30"/>
  <c r="Q70" i="30"/>
  <c r="B70" i="30"/>
  <c r="E71" i="30" s="1"/>
  <c r="M70" i="30"/>
  <c r="J71" i="30" l="1"/>
  <c r="K71" i="30"/>
  <c r="B71" i="30"/>
  <c r="E72" i="30" s="1"/>
  <c r="L71" i="30"/>
  <c r="P71" i="30" s="1"/>
  <c r="M71" i="30"/>
  <c r="J72" i="30" l="1"/>
  <c r="K72" i="30"/>
  <c r="B72" i="30"/>
  <c r="E73" i="30"/>
  <c r="B73" i="30"/>
  <c r="L72" i="30"/>
  <c r="Q72" i="30" s="1"/>
  <c r="P72" i="30"/>
  <c r="Q71" i="30"/>
  <c r="M72" i="30"/>
  <c r="K73" i="30" l="1"/>
  <c r="J73" i="30"/>
  <c r="L73" i="30"/>
  <c r="E74" i="30"/>
  <c r="P73" i="30"/>
  <c r="Q73" i="30"/>
  <c r="M73" i="30"/>
  <c r="J74" i="30" l="1"/>
  <c r="K74" i="30"/>
  <c r="B74" i="30"/>
  <c r="E75" i="30"/>
  <c r="B75" i="30"/>
  <c r="L74" i="30"/>
  <c r="M74" i="30"/>
  <c r="Q74" i="30"/>
  <c r="P74" i="30"/>
  <c r="K75" i="30" l="1"/>
  <c r="J75" i="30"/>
  <c r="L75" i="30"/>
  <c r="P75" i="30"/>
  <c r="E76" i="30"/>
  <c r="B76" i="30" s="1"/>
  <c r="Q75" i="30"/>
  <c r="M75" i="30"/>
  <c r="K76" i="30" l="1"/>
  <c r="J76" i="30"/>
  <c r="E77" i="30"/>
  <c r="L76" i="30"/>
  <c r="Q76" i="30" s="1"/>
  <c r="P76" i="30"/>
  <c r="M76" i="30"/>
  <c r="B77" i="30"/>
  <c r="E78" i="30" s="1"/>
  <c r="B78" i="30" s="1"/>
  <c r="K77" i="30" l="1"/>
  <c r="J77" i="30"/>
  <c r="J78" i="30"/>
  <c r="K78" i="30"/>
  <c r="P96" i="30"/>
  <c r="Q96" i="30"/>
  <c r="L78" i="30"/>
  <c r="L77" i="30"/>
  <c r="E79" i="30"/>
  <c r="Q78" i="30"/>
  <c r="P78" i="30"/>
  <c r="B79" i="30"/>
  <c r="M78" i="30"/>
  <c r="M77" i="30"/>
  <c r="P77" i="30"/>
  <c r="Q77" i="30"/>
  <c r="J79" i="30" l="1"/>
  <c r="K79" i="30"/>
  <c r="G1" i="17"/>
  <c r="G4" i="17" s="1"/>
  <c r="F3" i="17"/>
  <c r="F4" i="17"/>
  <c r="H4" i="17"/>
  <c r="E80" i="30"/>
  <c r="L79" i="30"/>
  <c r="Q79" i="30" s="1"/>
  <c r="P79" i="30"/>
  <c r="M79" i="30"/>
  <c r="B80" i="30"/>
  <c r="K80" i="30" l="1"/>
  <c r="J80" i="30"/>
  <c r="E4" i="4"/>
  <c r="G2" i="17"/>
  <c r="G3" i="17"/>
  <c r="H2" i="17"/>
  <c r="L3" i="30"/>
  <c r="H3" i="17"/>
  <c r="I4" i="17"/>
  <c r="E81" i="30"/>
  <c r="L80" i="30"/>
  <c r="Q80" i="30"/>
  <c r="B81" i="30"/>
  <c r="M80" i="30"/>
  <c r="P80" i="30"/>
  <c r="K81" i="30" l="1"/>
  <c r="J81" i="30"/>
  <c r="E3" i="4"/>
  <c r="E1" i="9"/>
  <c r="E2" i="9" s="1"/>
  <c r="D3" i="9"/>
  <c r="I3" i="17"/>
  <c r="L81" i="30"/>
  <c r="E82" i="30"/>
  <c r="M3" i="30"/>
  <c r="I2" i="17"/>
  <c r="M81" i="30"/>
  <c r="Q81" i="30"/>
  <c r="P81" i="30"/>
  <c r="B82" i="30"/>
  <c r="K82" i="30" l="1"/>
  <c r="J82" i="30"/>
  <c r="E3" i="9"/>
  <c r="F2" i="9"/>
  <c r="E83" i="30"/>
  <c r="L82" i="30"/>
  <c r="F3" i="9"/>
  <c r="P82" i="30"/>
  <c r="M82" i="30"/>
  <c r="Q82" i="30"/>
  <c r="J83" i="30" l="1"/>
  <c r="K83" i="30"/>
  <c r="E2" i="4"/>
  <c r="D9" i="6"/>
  <c r="D16" i="6"/>
  <c r="D22" i="6"/>
  <c r="E22" i="6"/>
  <c r="B1" i="6"/>
  <c r="G3" i="9"/>
  <c r="B83" i="30"/>
  <c r="E84" i="30" s="1"/>
  <c r="G2" i="9"/>
  <c r="D21" i="6"/>
  <c r="L83" i="30"/>
  <c r="M83" i="30"/>
  <c r="P83" i="30"/>
  <c r="J84" i="30" l="1"/>
  <c r="K84" i="30"/>
  <c r="E21" i="6"/>
  <c r="E5" i="4"/>
  <c r="E6" i="4"/>
  <c r="E7" i="4"/>
  <c r="E8" i="4"/>
  <c r="E9" i="4"/>
  <c r="E10" i="4"/>
  <c r="E11" i="4"/>
  <c r="E12" i="4"/>
  <c r="E13" i="4"/>
  <c r="E14" i="4"/>
  <c r="E15" i="4"/>
  <c r="E28" i="4"/>
  <c r="E29" i="4"/>
  <c r="E30" i="4"/>
  <c r="E31" i="4"/>
  <c r="E32" i="4"/>
  <c r="E33" i="4"/>
  <c r="E34" i="4"/>
  <c r="B35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C81" i="4"/>
  <c r="C82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Q83" i="30"/>
  <c r="K40" i="4"/>
  <c r="K83" i="4"/>
  <c r="F42" i="4"/>
  <c r="F12" i="4"/>
  <c r="K38" i="4"/>
  <c r="G34" i="4"/>
  <c r="K81" i="4"/>
  <c r="L4" i="4"/>
  <c r="F3" i="4"/>
  <c r="G39" i="4"/>
  <c r="F10" i="4"/>
  <c r="F9" i="4"/>
  <c r="F32" i="4"/>
  <c r="L2" i="4"/>
  <c r="F5" i="4"/>
  <c r="L47" i="4"/>
  <c r="G32" i="4"/>
  <c r="L36" i="4"/>
  <c r="L46" i="4"/>
  <c r="F11" i="4"/>
  <c r="K32" i="4"/>
  <c r="K14" i="4"/>
  <c r="F14" i="4"/>
  <c r="G47" i="4"/>
  <c r="F83" i="4"/>
  <c r="K9" i="4"/>
  <c r="L45" i="4"/>
  <c r="F48" i="4"/>
  <c r="L5" i="4"/>
  <c r="B84" i="30"/>
  <c r="E85" i="30" s="1"/>
  <c r="K43" i="4"/>
  <c r="K6" i="4"/>
  <c r="A16" i="4"/>
  <c r="G81" i="4"/>
  <c r="K28" i="4"/>
  <c r="L41" i="4"/>
  <c r="K49" i="4"/>
  <c r="G33" i="4"/>
  <c r="K42" i="4"/>
  <c r="L8" i="4"/>
  <c r="F29" i="4"/>
  <c r="F36" i="4"/>
  <c r="K29" i="4"/>
  <c r="F49" i="4"/>
  <c r="G40" i="4"/>
  <c r="K3" i="4"/>
  <c r="K31" i="4"/>
  <c r="G44" i="4"/>
  <c r="G28" i="4"/>
  <c r="G48" i="4"/>
  <c r="G43" i="4"/>
  <c r="K48" i="4"/>
  <c r="F81" i="4"/>
  <c r="K10" i="4"/>
  <c r="L32" i="4"/>
  <c r="F13" i="4"/>
  <c r="L15" i="4"/>
  <c r="F31" i="4"/>
  <c r="F30" i="4"/>
  <c r="L10" i="4"/>
  <c r="K46" i="4"/>
  <c r="L42" i="4"/>
  <c r="G36" i="4"/>
  <c r="K5" i="4"/>
  <c r="F39" i="4"/>
  <c r="L39" i="4"/>
  <c r="L11" i="4"/>
  <c r="F82" i="4"/>
  <c r="L43" i="4"/>
  <c r="K8" i="4"/>
  <c r="K12" i="4"/>
  <c r="L33" i="4"/>
  <c r="L3" i="4"/>
  <c r="L37" i="4"/>
  <c r="G38" i="4"/>
  <c r="L12" i="4"/>
  <c r="F6" i="4"/>
  <c r="L14" i="4"/>
  <c r="F2" i="4"/>
  <c r="L9" i="4"/>
  <c r="L82" i="4"/>
  <c r="L40" i="4"/>
  <c r="K15" i="4"/>
  <c r="G49" i="4"/>
  <c r="F4" i="4"/>
  <c r="K13" i="4"/>
  <c r="G42" i="4"/>
  <c r="L30" i="4"/>
  <c r="L84" i="30"/>
  <c r="F8" i="4"/>
  <c r="F40" i="4"/>
  <c r="K33" i="4"/>
  <c r="G83" i="4"/>
  <c r="F41" i="4"/>
  <c r="L34" i="4"/>
  <c r="L49" i="4"/>
  <c r="F38" i="4"/>
  <c r="K2" i="4"/>
  <c r="K45" i="4"/>
  <c r="G41" i="4"/>
  <c r="K82" i="4"/>
  <c r="L38" i="4"/>
  <c r="G82" i="4"/>
  <c r="K7" i="4"/>
  <c r="K4" i="4"/>
  <c r="L29" i="4"/>
  <c r="F45" i="4"/>
  <c r="F37" i="4"/>
  <c r="F47" i="4"/>
  <c r="K34" i="4"/>
  <c r="K41" i="4"/>
  <c r="K30" i="4"/>
  <c r="L31" i="4"/>
  <c r="L81" i="4"/>
  <c r="G29" i="4"/>
  <c r="F15" i="4"/>
  <c r="K47" i="4"/>
  <c r="L13" i="4"/>
  <c r="F44" i="4"/>
  <c r="L28" i="4"/>
  <c r="L44" i="4"/>
  <c r="G31" i="4"/>
  <c r="F28" i="4"/>
  <c r="K37" i="4"/>
  <c r="G45" i="4"/>
  <c r="F46" i="4"/>
  <c r="L83" i="4"/>
  <c r="G37" i="4"/>
  <c r="K39" i="4"/>
  <c r="G46" i="4"/>
  <c r="L7" i="4"/>
  <c r="L48" i="4"/>
  <c r="F33" i="4"/>
  <c r="F34" i="4"/>
  <c r="F43" i="4"/>
  <c r="K11" i="4"/>
  <c r="G30" i="4"/>
  <c r="K36" i="4"/>
  <c r="L6" i="4"/>
  <c r="K44" i="4"/>
  <c r="F7" i="4"/>
  <c r="M84" i="30"/>
  <c r="Q84" i="30"/>
  <c r="P84" i="30"/>
  <c r="J85" i="30" l="1"/>
  <c r="K85" i="30"/>
  <c r="E118" i="4"/>
  <c r="E110" i="4"/>
  <c r="E102" i="4"/>
  <c r="E115" i="4"/>
  <c r="E122" i="4"/>
  <c r="E125" i="4"/>
  <c r="E99" i="4"/>
  <c r="E124" i="4"/>
  <c r="E94" i="4"/>
  <c r="E121" i="4"/>
  <c r="E113" i="4"/>
  <c r="E105" i="4"/>
  <c r="E97" i="4"/>
  <c r="E89" i="4"/>
  <c r="H83" i="4"/>
  <c r="E90" i="4"/>
  <c r="E100" i="4"/>
  <c r="E116" i="4"/>
  <c r="E98" i="4"/>
  <c r="E123" i="4"/>
  <c r="E114" i="4"/>
  <c r="E106" i="4"/>
  <c r="E107" i="4"/>
  <c r="E91" i="4"/>
  <c r="E108" i="4"/>
  <c r="E92" i="4"/>
  <c r="E117" i="4"/>
  <c r="E109" i="4"/>
  <c r="E101" i="4"/>
  <c r="E93" i="4"/>
  <c r="E119" i="4"/>
  <c r="E111" i="4"/>
  <c r="E103" i="4"/>
  <c r="E95" i="4"/>
  <c r="E120" i="4"/>
  <c r="E112" i="4"/>
  <c r="E104" i="4"/>
  <c r="E96" i="4"/>
  <c r="B85" i="30"/>
  <c r="E86" i="30" s="1"/>
  <c r="F67" i="4"/>
  <c r="L92" i="4"/>
  <c r="F51" i="4"/>
  <c r="G78" i="4"/>
  <c r="K100" i="4"/>
  <c r="F95" i="4"/>
  <c r="K66" i="4"/>
  <c r="G104" i="4"/>
  <c r="G71" i="4"/>
  <c r="F112" i="4"/>
  <c r="G61" i="4"/>
  <c r="L111" i="4"/>
  <c r="L115" i="4"/>
  <c r="G67" i="4"/>
  <c r="F96" i="4"/>
  <c r="G108" i="4"/>
  <c r="L65" i="4"/>
  <c r="L96" i="4"/>
  <c r="L72" i="4"/>
  <c r="K113" i="4"/>
  <c r="K122" i="4"/>
  <c r="K54" i="4"/>
  <c r="K75" i="4"/>
  <c r="L89" i="4"/>
  <c r="L121" i="4"/>
  <c r="K94" i="4"/>
  <c r="F61" i="4"/>
  <c r="K85" i="4"/>
  <c r="F70" i="4"/>
  <c r="L118" i="4"/>
  <c r="F104" i="4"/>
  <c r="F74" i="4"/>
  <c r="K60" i="4"/>
  <c r="G88" i="4"/>
  <c r="K65" i="4"/>
  <c r="L61" i="4"/>
  <c r="L57" i="4"/>
  <c r="K118" i="4"/>
  <c r="G89" i="4"/>
  <c r="F79" i="4"/>
  <c r="K105" i="4"/>
  <c r="F58" i="4"/>
  <c r="G106" i="4"/>
  <c r="G65" i="4"/>
  <c r="L77" i="4"/>
  <c r="L59" i="4"/>
  <c r="L60" i="4"/>
  <c r="G123" i="4"/>
  <c r="L120" i="4"/>
  <c r="G95" i="4"/>
  <c r="G91" i="4"/>
  <c r="K64" i="4"/>
  <c r="G124" i="4"/>
  <c r="G107" i="4"/>
  <c r="G63" i="4"/>
  <c r="K59" i="4"/>
  <c r="L122" i="4"/>
  <c r="K56" i="4"/>
  <c r="L56" i="4"/>
  <c r="G122" i="4"/>
  <c r="L123" i="4"/>
  <c r="K53" i="4"/>
  <c r="F75" i="4"/>
  <c r="F85" i="4"/>
  <c r="G118" i="4"/>
  <c r="G90" i="4"/>
  <c r="F102" i="4"/>
  <c r="L63" i="4"/>
  <c r="D16" i="4"/>
  <c r="G85" i="4"/>
  <c r="F97" i="4"/>
  <c r="K69" i="4"/>
  <c r="K61" i="4"/>
  <c r="F100" i="4"/>
  <c r="G98" i="4"/>
  <c r="L58" i="4"/>
  <c r="F68" i="4"/>
  <c r="L35" i="4"/>
  <c r="L50" i="4"/>
  <c r="L79" i="4"/>
  <c r="L99" i="4"/>
  <c r="F118" i="4"/>
  <c r="L86" i="4"/>
  <c r="L52" i="4"/>
  <c r="F107" i="4"/>
  <c r="L85" i="4"/>
  <c r="G120" i="4"/>
  <c r="K73" i="4"/>
  <c r="G72" i="4"/>
  <c r="L108" i="4"/>
  <c r="K93" i="4"/>
  <c r="L124" i="4"/>
  <c r="F59" i="4"/>
  <c r="K114" i="4"/>
  <c r="K78" i="4"/>
  <c r="K51" i="4"/>
  <c r="L110" i="4"/>
  <c r="G113" i="4"/>
  <c r="G87" i="4"/>
  <c r="K74" i="4"/>
  <c r="F77" i="4"/>
  <c r="L80" i="4"/>
  <c r="L91" i="4"/>
  <c r="L69" i="4"/>
  <c r="F120" i="4"/>
  <c r="F89" i="4"/>
  <c r="L75" i="4"/>
  <c r="F88" i="4"/>
  <c r="G79" i="4"/>
  <c r="G52" i="4"/>
  <c r="L85" i="30"/>
  <c r="G114" i="4"/>
  <c r="L64" i="4"/>
  <c r="K111" i="4"/>
  <c r="F64" i="4"/>
  <c r="K90" i="4"/>
  <c r="F62" i="4"/>
  <c r="F93" i="4"/>
  <c r="K76" i="4"/>
  <c r="F90" i="4"/>
  <c r="L55" i="4"/>
  <c r="K89" i="4"/>
  <c r="G93" i="4"/>
  <c r="F84" i="4"/>
  <c r="F124" i="4"/>
  <c r="G96" i="4"/>
  <c r="L53" i="4"/>
  <c r="L71" i="4"/>
  <c r="F99" i="4"/>
  <c r="F108" i="4"/>
  <c r="K107" i="4"/>
  <c r="K97" i="4"/>
  <c r="F113" i="4"/>
  <c r="L70" i="4"/>
  <c r="G110" i="4"/>
  <c r="F122" i="4"/>
  <c r="K50" i="4"/>
  <c r="F98" i="4"/>
  <c r="F66" i="4"/>
  <c r="L68" i="4"/>
  <c r="L74" i="4"/>
  <c r="K55" i="4"/>
  <c r="G57" i="4"/>
  <c r="F50" i="4"/>
  <c r="L66" i="4"/>
  <c r="F119" i="4"/>
  <c r="G116" i="4"/>
  <c r="L107" i="4"/>
  <c r="F92" i="4"/>
  <c r="K84" i="4"/>
  <c r="F123" i="4"/>
  <c r="F55" i="4"/>
  <c r="L67" i="4"/>
  <c r="G59" i="4"/>
  <c r="F103" i="4"/>
  <c r="F101" i="4"/>
  <c r="K79" i="4"/>
  <c r="K58" i="4"/>
  <c r="G64" i="4"/>
  <c r="F105" i="4"/>
  <c r="F72" i="4"/>
  <c r="G92" i="4"/>
  <c r="G60" i="4"/>
  <c r="F110" i="4"/>
  <c r="G84" i="4"/>
  <c r="K104" i="4"/>
  <c r="F115" i="4"/>
  <c r="K62" i="4"/>
  <c r="K77" i="4"/>
  <c r="G109" i="4"/>
  <c r="K91" i="4"/>
  <c r="L90" i="4"/>
  <c r="K125" i="4"/>
  <c r="G111" i="4"/>
  <c r="L84" i="4"/>
  <c r="G55" i="4"/>
  <c r="F65" i="4"/>
  <c r="K86" i="4"/>
  <c r="F63" i="4"/>
  <c r="F56" i="4"/>
  <c r="G125" i="4"/>
  <c r="K102" i="4"/>
  <c r="K80" i="4"/>
  <c r="K57" i="4"/>
  <c r="G103" i="4"/>
  <c r="K71" i="4"/>
  <c r="K98" i="4"/>
  <c r="K123" i="4"/>
  <c r="L78" i="4"/>
  <c r="G58" i="4"/>
  <c r="G77" i="4"/>
  <c r="F116" i="4"/>
  <c r="F57" i="4"/>
  <c r="G112" i="4"/>
  <c r="K124" i="4"/>
  <c r="K96" i="4"/>
  <c r="F94" i="4"/>
  <c r="L102" i="4"/>
  <c r="G97" i="4"/>
  <c r="F73" i="4"/>
  <c r="K115" i="4"/>
  <c r="L88" i="4"/>
  <c r="L106" i="4"/>
  <c r="K119" i="4"/>
  <c r="L51" i="4"/>
  <c r="G73" i="4"/>
  <c r="K87" i="4"/>
  <c r="G50" i="4"/>
  <c r="G56" i="4"/>
  <c r="G94" i="4"/>
  <c r="K67" i="4"/>
  <c r="F78" i="4"/>
  <c r="G66" i="4"/>
  <c r="K72" i="4"/>
  <c r="K68" i="4"/>
  <c r="G35" i="4"/>
  <c r="K121" i="4"/>
  <c r="K108" i="4"/>
  <c r="G86" i="4"/>
  <c r="G115" i="4"/>
  <c r="L93" i="4"/>
  <c r="L104" i="4"/>
  <c r="L114" i="4"/>
  <c r="K106" i="4"/>
  <c r="G99" i="4"/>
  <c r="L94" i="4"/>
  <c r="G121" i="4"/>
  <c r="G74" i="4"/>
  <c r="G102" i="4"/>
  <c r="F109" i="4"/>
  <c r="F106" i="4"/>
  <c r="F125" i="4"/>
  <c r="G80" i="4"/>
  <c r="L117" i="4"/>
  <c r="L125" i="4"/>
  <c r="G119" i="4"/>
  <c r="L103" i="4"/>
  <c r="F86" i="4"/>
  <c r="L119" i="4"/>
  <c r="G75" i="4"/>
  <c r="A17" i="4"/>
  <c r="F117" i="4"/>
  <c r="K35" i="4"/>
  <c r="G76" i="4"/>
  <c r="K92" i="4"/>
  <c r="L73" i="4"/>
  <c r="G101" i="4"/>
  <c r="F53" i="4"/>
  <c r="G68" i="4"/>
  <c r="F52" i="4"/>
  <c r="K117" i="4"/>
  <c r="L116" i="4"/>
  <c r="K109" i="4"/>
  <c r="F60" i="4"/>
  <c r="L98" i="4"/>
  <c r="K95" i="4"/>
  <c r="L105" i="4"/>
  <c r="L95" i="4"/>
  <c r="F91" i="4"/>
  <c r="K101" i="4"/>
  <c r="L62" i="4"/>
  <c r="F71" i="4"/>
  <c r="K103" i="4"/>
  <c r="G70" i="4"/>
  <c r="L113" i="4"/>
  <c r="G69" i="4"/>
  <c r="L101" i="4"/>
  <c r="L97" i="4"/>
  <c r="L76" i="4"/>
  <c r="G117" i="4"/>
  <c r="F54" i="4"/>
  <c r="K99" i="4"/>
  <c r="K116" i="4"/>
  <c r="K70" i="4"/>
  <c r="G51" i="4"/>
  <c r="F35" i="4"/>
  <c r="G105" i="4"/>
  <c r="K120" i="4"/>
  <c r="K88" i="4"/>
  <c r="G54" i="4"/>
  <c r="K52" i="4"/>
  <c r="F111" i="4"/>
  <c r="K63" i="4"/>
  <c r="F121" i="4"/>
  <c r="L100" i="4"/>
  <c r="K110" i="4"/>
  <c r="L109" i="4"/>
  <c r="G53" i="4"/>
  <c r="F76" i="4"/>
  <c r="F114" i="4"/>
  <c r="F69" i="4"/>
  <c r="G100" i="4"/>
  <c r="G62" i="4"/>
  <c r="L112" i="4"/>
  <c r="F87" i="4"/>
  <c r="F80" i="4"/>
  <c r="L54" i="4"/>
  <c r="K112" i="4"/>
  <c r="L87" i="4"/>
  <c r="B86" i="30"/>
  <c r="E87" i="30" s="1"/>
  <c r="M85" i="30"/>
  <c r="P85" i="30"/>
  <c r="Q85" i="30"/>
  <c r="B87" i="30"/>
  <c r="E88" i="30" s="1"/>
  <c r="B88" i="30" s="1"/>
  <c r="J87" i="30" l="1"/>
  <c r="K87" i="30"/>
  <c r="J86" i="30"/>
  <c r="K86" i="30"/>
  <c r="J88" i="30"/>
  <c r="K88" i="30"/>
  <c r="H91" i="4"/>
  <c r="H121" i="4"/>
  <c r="H108" i="4"/>
  <c r="H98" i="4"/>
  <c r="H104" i="4"/>
  <c r="H120" i="4"/>
  <c r="H93" i="4"/>
  <c r="H101" i="4"/>
  <c r="H119" i="4"/>
  <c r="H97" i="4"/>
  <c r="H124" i="4"/>
  <c r="H89" i="4"/>
  <c r="H92" i="4"/>
  <c r="H100" i="4"/>
  <c r="H122" i="4"/>
  <c r="H105" i="4"/>
  <c r="H103" i="4"/>
  <c r="H90" i="4"/>
  <c r="H125" i="4"/>
  <c r="H111" i="4"/>
  <c r="H96" i="4"/>
  <c r="H113" i="4"/>
  <c r="H102" i="4"/>
  <c r="H112" i="4"/>
  <c r="H110" i="4"/>
  <c r="H99" i="4"/>
  <c r="H107" i="4"/>
  <c r="H95" i="4"/>
  <c r="H115" i="4"/>
  <c r="H114" i="4"/>
  <c r="H116" i="4"/>
  <c r="H123" i="4"/>
  <c r="H117" i="4"/>
  <c r="H109" i="4"/>
  <c r="H106" i="4"/>
  <c r="E16" i="4"/>
  <c r="H118" i="4"/>
  <c r="H94" i="4"/>
  <c r="L16" i="4"/>
  <c r="L87" i="30"/>
  <c r="A18" i="4"/>
  <c r="L88" i="30"/>
  <c r="F16" i="4"/>
  <c r="P88" i="30"/>
  <c r="Q88" i="30"/>
  <c r="L86" i="30"/>
  <c r="G16" i="4"/>
  <c r="E89" i="30"/>
  <c r="B89" i="30" s="1"/>
  <c r="D17" i="4"/>
  <c r="K16" i="4"/>
  <c r="M88" i="30"/>
  <c r="M87" i="30"/>
  <c r="P87" i="30"/>
  <c r="Q87" i="30"/>
  <c r="M86" i="30"/>
  <c r="Q86" i="30"/>
  <c r="P86" i="30"/>
  <c r="J89" i="30" l="1"/>
  <c r="K89" i="30"/>
  <c r="E17" i="4"/>
  <c r="E90" i="30"/>
  <c r="A19" i="4"/>
  <c r="D19" i="4"/>
  <c r="L89" i="30"/>
  <c r="P89" i="30"/>
  <c r="Q89" i="30"/>
  <c r="D18" i="4"/>
  <c r="L17" i="4"/>
  <c r="F17" i="4"/>
  <c r="K17" i="4"/>
  <c r="G17" i="4"/>
  <c r="M89" i="30"/>
  <c r="B90" i="30"/>
  <c r="E91" i="30" s="1"/>
  <c r="B91" i="30" s="1"/>
  <c r="J90" i="30" l="1"/>
  <c r="K90" i="30"/>
  <c r="K91" i="30"/>
  <c r="J91" i="30"/>
  <c r="E18" i="4"/>
  <c r="E19" i="4"/>
  <c r="E92" i="30"/>
  <c r="K18" i="4"/>
  <c r="L90" i="30"/>
  <c r="F19" i="4"/>
  <c r="G18" i="4"/>
  <c r="L18" i="4"/>
  <c r="A20" i="4"/>
  <c r="L19" i="4"/>
  <c r="K19" i="4"/>
  <c r="G19" i="4"/>
  <c r="L91" i="30"/>
  <c r="F18" i="4"/>
  <c r="M91" i="30"/>
  <c r="B92" i="30"/>
  <c r="M90" i="30"/>
  <c r="Q90" i="30"/>
  <c r="P90" i="30"/>
  <c r="P91" i="30"/>
  <c r="Q91" i="30"/>
  <c r="J92" i="30" l="1"/>
  <c r="K92" i="30"/>
  <c r="D20" i="4"/>
  <c r="A21" i="4"/>
  <c r="L92" i="30"/>
  <c r="A22" i="4"/>
  <c r="A23" i="4"/>
  <c r="E93" i="30"/>
  <c r="M92" i="30"/>
  <c r="P92" i="30"/>
  <c r="Q92" i="30"/>
  <c r="B93" i="30"/>
  <c r="K93" i="30" l="1"/>
  <c r="J93" i="30"/>
  <c r="E20" i="4"/>
  <c r="D21" i="4"/>
  <c r="L20" i="4"/>
  <c r="G20" i="4"/>
  <c r="A24" i="4"/>
  <c r="E94" i="30"/>
  <c r="L93" i="30"/>
  <c r="D23" i="4"/>
  <c r="F20" i="4"/>
  <c r="K20" i="4"/>
  <c r="D22" i="4"/>
  <c r="B94" i="30"/>
  <c r="E95" i="30" s="1"/>
  <c r="M93" i="30"/>
  <c r="Q93" i="30"/>
  <c r="P93" i="30"/>
  <c r="B95" i="30"/>
  <c r="K95" i="30" l="1"/>
  <c r="J95" i="30"/>
  <c r="K94" i="30"/>
  <c r="J94" i="30"/>
  <c r="E21" i="4"/>
  <c r="E22" i="4"/>
  <c r="E23" i="4"/>
  <c r="L94" i="30"/>
  <c r="L22" i="4"/>
  <c r="K22" i="4"/>
  <c r="A25" i="4"/>
  <c r="D24" i="4"/>
  <c r="F21" i="4"/>
  <c r="G21" i="4"/>
  <c r="K21" i="4"/>
  <c r="L21" i="4"/>
  <c r="G23" i="4"/>
  <c r="F23" i="4"/>
  <c r="K23" i="4"/>
  <c r="D25" i="4"/>
  <c r="L95" i="30"/>
  <c r="F22" i="4"/>
  <c r="L23" i="4"/>
  <c r="G22" i="4"/>
  <c r="M94" i="30"/>
  <c r="Q94" i="30"/>
  <c r="P94" i="30"/>
  <c r="M95" i="30"/>
  <c r="Q95" i="30"/>
  <c r="P95" i="30"/>
  <c r="E25" i="4" l="1"/>
  <c r="E24" i="4"/>
  <c r="L25" i="4"/>
  <c r="G25" i="4"/>
  <c r="K25" i="4"/>
  <c r="K24" i="4"/>
  <c r="F24" i="4"/>
  <c r="G24" i="4"/>
  <c r="A26" i="4"/>
  <c r="F25" i="4"/>
  <c r="L24" i="4"/>
  <c r="A27" i="4"/>
  <c r="D27" i="4" s="1"/>
  <c r="D26" i="4"/>
  <c r="E26" i="4" l="1"/>
  <c r="E27" i="4"/>
  <c r="L26" i="4"/>
  <c r="K26" i="4"/>
  <c r="G26" i="4"/>
  <c r="F26" i="4"/>
  <c r="F27" i="4"/>
  <c r="K27" i="4"/>
  <c r="N16" i="4" s="1"/>
  <c r="G27" i="4"/>
  <c r="L27" i="4"/>
  <c r="N17" i="4" s="1"/>
  <c r="H88" i="4" l="1"/>
  <c r="H81" i="4"/>
  <c r="H35" i="4"/>
  <c r="H39" i="4"/>
  <c r="H58" i="4"/>
  <c r="H74" i="4"/>
  <c r="H79" i="4"/>
  <c r="H85" i="4"/>
  <c r="H43" i="4"/>
  <c r="H51" i="4"/>
  <c r="H40" i="4"/>
  <c r="H76" i="4"/>
  <c r="H47" i="4"/>
  <c r="H41" i="4"/>
  <c r="H60" i="4"/>
  <c r="H38" i="4"/>
  <c r="H36" i="4"/>
  <c r="H77" i="4"/>
  <c r="H73" i="4"/>
  <c r="H55" i="4"/>
  <c r="H57" i="4"/>
  <c r="H52" i="4"/>
  <c r="H87" i="4"/>
  <c r="H44" i="4"/>
  <c r="H78" i="4"/>
  <c r="H50" i="4"/>
  <c r="H53" i="4"/>
  <c r="H42" i="4"/>
  <c r="H54" i="4"/>
  <c r="H45" i="4"/>
  <c r="H80" i="4"/>
  <c r="H37" i="4"/>
  <c r="H61" i="4"/>
  <c r="H86" i="4"/>
  <c r="H46" i="4"/>
  <c r="H48" i="4"/>
  <c r="H59" i="4"/>
  <c r="H75" i="4"/>
  <c r="H49" i="4"/>
  <c r="H56" i="4"/>
  <c r="D2" i="5" a="1"/>
  <c r="D104" i="5" l="1"/>
  <c r="D67" i="5"/>
  <c r="D48" i="5"/>
  <c r="D119" i="5"/>
  <c r="D35" i="5"/>
  <c r="D9" i="5"/>
  <c r="D38" i="5"/>
  <c r="D53" i="5"/>
  <c r="D122" i="5"/>
  <c r="D24" i="5"/>
  <c r="D50" i="5"/>
  <c r="D81" i="5"/>
  <c r="D77" i="5"/>
  <c r="D73" i="5"/>
  <c r="D96" i="5"/>
  <c r="D80" i="5"/>
  <c r="D123" i="5"/>
  <c r="D126" i="5"/>
  <c r="D40" i="5"/>
  <c r="D13" i="5"/>
  <c r="D60" i="5"/>
  <c r="D21" i="5"/>
  <c r="D7" i="5"/>
  <c r="D113" i="5"/>
  <c r="D29" i="5"/>
  <c r="D105" i="5"/>
  <c r="D2" i="5"/>
  <c r="D56" i="5"/>
  <c r="D5" i="5"/>
  <c r="D49" i="5"/>
  <c r="D116" i="5"/>
  <c r="D125" i="5"/>
  <c r="D93" i="5"/>
  <c r="D92" i="5"/>
  <c r="D66" i="5"/>
  <c r="D98" i="5"/>
  <c r="D75" i="5"/>
  <c r="D72" i="5"/>
  <c r="D97" i="5"/>
  <c r="D63" i="5"/>
  <c r="D61" i="5"/>
  <c r="D111" i="5"/>
  <c r="D19" i="5"/>
  <c r="D52" i="5"/>
  <c r="D45" i="5"/>
  <c r="D42" i="5"/>
  <c r="D32" i="5"/>
  <c r="D87" i="5"/>
  <c r="D59" i="5"/>
  <c r="D46" i="5"/>
  <c r="D76" i="5"/>
  <c r="D117" i="5"/>
  <c r="D85" i="5"/>
  <c r="D26" i="5"/>
  <c r="D109" i="5"/>
  <c r="D62" i="5"/>
  <c r="D15" i="5"/>
  <c r="D64" i="5"/>
  <c r="D14" i="5"/>
  <c r="D90" i="5"/>
  <c r="D78" i="5"/>
  <c r="D100" i="5"/>
  <c r="D17" i="5"/>
  <c r="D28" i="5"/>
  <c r="D79" i="5"/>
  <c r="D16" i="5"/>
  <c r="D6" i="5"/>
  <c r="D37" i="5"/>
  <c r="D102" i="5"/>
  <c r="D51" i="5"/>
  <c r="D108" i="5"/>
  <c r="D33" i="5"/>
  <c r="D44" i="5"/>
  <c r="D47" i="5"/>
  <c r="D57" i="5"/>
  <c r="D18" i="5"/>
  <c r="D27" i="5"/>
  <c r="D30" i="5"/>
  <c r="D89" i="5"/>
  <c r="D69" i="5"/>
  <c r="D65" i="5"/>
  <c r="D23" i="5"/>
  <c r="D118" i="5"/>
  <c r="D106" i="5"/>
  <c r="D82" i="5"/>
  <c r="D20" i="5"/>
  <c r="D107" i="5"/>
  <c r="D22" i="5"/>
  <c r="D8" i="5"/>
  <c r="D112" i="5"/>
  <c r="D99" i="5"/>
  <c r="D94" i="5"/>
  <c r="D68" i="5"/>
  <c r="D91" i="5"/>
  <c r="D70" i="5"/>
  <c r="D3" i="5"/>
  <c r="D41" i="5"/>
  <c r="D39" i="5"/>
  <c r="D43" i="5"/>
  <c r="D4" i="5"/>
  <c r="D110" i="5"/>
  <c r="D71" i="5"/>
  <c r="D84" i="5"/>
  <c r="D55" i="5"/>
  <c r="D74" i="5"/>
  <c r="D101" i="5"/>
  <c r="D103" i="5"/>
  <c r="D12" i="5"/>
  <c r="D121" i="5"/>
  <c r="D120" i="5"/>
  <c r="D58" i="5"/>
  <c r="D86" i="5"/>
  <c r="D124" i="5"/>
  <c r="D88" i="5"/>
  <c r="D31" i="5"/>
  <c r="D36" i="5"/>
  <c r="D11" i="5"/>
  <c r="D115" i="5"/>
  <c r="D95" i="5"/>
  <c r="D114" i="5"/>
  <c r="D54" i="5"/>
  <c r="D10" i="5"/>
  <c r="D25" i="5"/>
  <c r="D83" i="5"/>
  <c r="D34" i="5"/>
  <c r="H104" i="5"/>
  <c r="F104" i="5"/>
  <c r="G104" i="5"/>
  <c r="E104" i="5"/>
  <c r="G123" i="5"/>
  <c r="E123" i="5"/>
  <c r="H123" i="5"/>
  <c r="F123" i="5"/>
  <c r="G93" i="5"/>
  <c r="F93" i="5"/>
  <c r="H93" i="5"/>
  <c r="E93" i="5"/>
  <c r="E59" i="5"/>
  <c r="F59" i="5"/>
  <c r="H59" i="5"/>
  <c r="G59" i="5"/>
  <c r="H79" i="5"/>
  <c r="F79" i="5"/>
  <c r="E79" i="5"/>
  <c r="G79" i="5"/>
  <c r="G65" i="5"/>
  <c r="E65" i="5"/>
  <c r="H65" i="5"/>
  <c r="F65" i="5"/>
  <c r="F41" i="5"/>
  <c r="G41" i="5"/>
  <c r="H41" i="5"/>
  <c r="E41" i="5"/>
  <c r="H124" i="5"/>
  <c r="G124" i="5"/>
  <c r="E124" i="5"/>
  <c r="F124" i="5"/>
  <c r="E111" i="5"/>
  <c r="G111" i="5"/>
  <c r="F111" i="5"/>
  <c r="H111" i="5"/>
  <c r="E81" i="5"/>
  <c r="F81" i="5"/>
  <c r="H81" i="5"/>
  <c r="G81" i="5"/>
  <c r="E12" i="5"/>
  <c r="G12" i="5"/>
  <c r="H12" i="5"/>
  <c r="F12" i="5"/>
  <c r="G27" i="5"/>
  <c r="H27" i="5"/>
  <c r="E27" i="5"/>
  <c r="F27" i="5"/>
  <c r="G30" i="5"/>
  <c r="H30" i="5"/>
  <c r="E30" i="5"/>
  <c r="F30" i="5"/>
  <c r="H120" i="5"/>
  <c r="F120" i="5"/>
  <c r="G120" i="5"/>
  <c r="E120" i="5"/>
  <c r="G96" i="5"/>
  <c r="E96" i="5"/>
  <c r="F96" i="5"/>
  <c r="H96" i="5"/>
  <c r="E67" i="5"/>
  <c r="F67" i="5"/>
  <c r="G67" i="5"/>
  <c r="H67" i="5"/>
  <c r="F126" i="5"/>
  <c r="E126" i="5"/>
  <c r="H126" i="5"/>
  <c r="G126" i="5"/>
  <c r="E92" i="5"/>
  <c r="H92" i="5"/>
  <c r="G92" i="5"/>
  <c r="F92" i="5"/>
  <c r="H46" i="5"/>
  <c r="E46" i="5"/>
  <c r="G46" i="5"/>
  <c r="F46" i="5"/>
  <c r="E16" i="5"/>
  <c r="F16" i="5"/>
  <c r="H16" i="5"/>
  <c r="G16" i="5"/>
  <c r="E23" i="5"/>
  <c r="F23" i="5"/>
  <c r="G23" i="5"/>
  <c r="H23" i="5"/>
  <c r="H39" i="5"/>
  <c r="G39" i="5"/>
  <c r="E39" i="5"/>
  <c r="F39" i="5"/>
  <c r="F88" i="5"/>
  <c r="G88" i="5"/>
  <c r="E88" i="5"/>
  <c r="H88" i="5"/>
  <c r="G24" i="5"/>
  <c r="E24" i="5"/>
  <c r="H24" i="5"/>
  <c r="F24" i="5"/>
  <c r="F52" i="5"/>
  <c r="H52" i="5"/>
  <c r="G52" i="5"/>
  <c r="E52" i="5"/>
  <c r="E78" i="5"/>
  <c r="F78" i="5"/>
  <c r="H78" i="5"/>
  <c r="G78" i="5"/>
  <c r="F121" i="5"/>
  <c r="H121" i="5"/>
  <c r="E121" i="5"/>
  <c r="G121" i="5"/>
  <c r="E100" i="5"/>
  <c r="F100" i="5"/>
  <c r="G100" i="5"/>
  <c r="H100" i="5"/>
  <c r="A7" i="5"/>
  <c r="E70" i="5"/>
  <c r="F70" i="5"/>
  <c r="H70" i="5"/>
  <c r="G70" i="5"/>
  <c r="H80" i="5"/>
  <c r="G80" i="5"/>
  <c r="E80" i="5"/>
  <c r="F80" i="5"/>
  <c r="H48" i="5"/>
  <c r="F48" i="5"/>
  <c r="E48" i="5"/>
  <c r="G48" i="5"/>
  <c r="G40" i="5"/>
  <c r="F40" i="5"/>
  <c r="H40" i="5"/>
  <c r="E40" i="5"/>
  <c r="E66" i="5"/>
  <c r="H66" i="5"/>
  <c r="F66" i="5"/>
  <c r="G66" i="5"/>
  <c r="G76" i="5"/>
  <c r="F76" i="5"/>
  <c r="E76" i="5"/>
  <c r="H76" i="5"/>
  <c r="H6" i="5"/>
  <c r="G6" i="5"/>
  <c r="E6" i="5"/>
  <c r="F6" i="5"/>
  <c r="E118" i="5"/>
  <c r="H118" i="5"/>
  <c r="F118" i="5"/>
  <c r="G118" i="5"/>
  <c r="G43" i="5"/>
  <c r="H43" i="5"/>
  <c r="F43" i="5"/>
  <c r="E43" i="5"/>
  <c r="H31" i="5"/>
  <c r="E31" i="5"/>
  <c r="G31" i="5"/>
  <c r="F31" i="5"/>
  <c r="F119" i="5"/>
  <c r="E119" i="5"/>
  <c r="G119" i="5"/>
  <c r="H119" i="5"/>
  <c r="F13" i="5"/>
  <c r="H13" i="5"/>
  <c r="G13" i="5"/>
  <c r="E13" i="5"/>
  <c r="F98" i="5"/>
  <c r="G98" i="5"/>
  <c r="E98" i="5"/>
  <c r="H98" i="5"/>
  <c r="H37" i="5"/>
  <c r="F37" i="5"/>
  <c r="G37" i="5"/>
  <c r="E37" i="5"/>
  <c r="F106" i="5"/>
  <c r="E106" i="5"/>
  <c r="H106" i="5"/>
  <c r="G106" i="5"/>
  <c r="F4" i="5"/>
  <c r="E4" i="5"/>
  <c r="G4" i="5"/>
  <c r="H4" i="5"/>
  <c r="E36" i="5"/>
  <c r="G36" i="5"/>
  <c r="F36" i="5"/>
  <c r="H36" i="5"/>
  <c r="E60" i="5"/>
  <c r="F60" i="5"/>
  <c r="H60" i="5"/>
  <c r="G60" i="5"/>
  <c r="E85" i="5"/>
  <c r="H85" i="5"/>
  <c r="F85" i="5"/>
  <c r="G85" i="5"/>
  <c r="E11" i="5"/>
  <c r="H11" i="5"/>
  <c r="G11" i="5"/>
  <c r="F11" i="5"/>
  <c r="H63" i="5"/>
  <c r="E63" i="5"/>
  <c r="F63" i="5"/>
  <c r="G63" i="5"/>
  <c r="H15" i="5"/>
  <c r="E15" i="5"/>
  <c r="G15" i="5"/>
  <c r="F15" i="5"/>
  <c r="F54" i="5"/>
  <c r="H54" i="5"/>
  <c r="E54" i="5"/>
  <c r="G54" i="5"/>
  <c r="H47" i="5"/>
  <c r="G47" i="5"/>
  <c r="F47" i="5"/>
  <c r="E47" i="5"/>
  <c r="H10" i="5"/>
  <c r="G10" i="5"/>
  <c r="E10" i="5"/>
  <c r="F10" i="5"/>
  <c r="G19" i="5"/>
  <c r="H19" i="5"/>
  <c r="E19" i="5"/>
  <c r="F19" i="5"/>
  <c r="H90" i="5"/>
  <c r="E90" i="5"/>
  <c r="G90" i="5"/>
  <c r="F90" i="5"/>
  <c r="F68" i="5"/>
  <c r="H68" i="5"/>
  <c r="G68" i="5"/>
  <c r="E68" i="5"/>
  <c r="G34" i="5"/>
  <c r="E34" i="5"/>
  <c r="F34" i="5"/>
  <c r="H34" i="5"/>
  <c r="E73" i="5"/>
  <c r="G73" i="5"/>
  <c r="F73" i="5"/>
  <c r="H73" i="5"/>
  <c r="G17" i="5"/>
  <c r="E17" i="5"/>
  <c r="F17" i="5"/>
  <c r="H17" i="5"/>
  <c r="E3" i="5"/>
  <c r="G3" i="5"/>
  <c r="H3" i="5"/>
  <c r="F3" i="5"/>
  <c r="G117" i="5"/>
  <c r="E117" i="5"/>
  <c r="F117" i="5"/>
  <c r="H117" i="5"/>
  <c r="G7" i="5"/>
  <c r="F7" i="5"/>
  <c r="H7" i="5"/>
  <c r="E7" i="5"/>
  <c r="E107" i="5"/>
  <c r="G107" i="5"/>
  <c r="F107" i="5"/>
  <c r="H107" i="5"/>
  <c r="G22" i="5"/>
  <c r="F22" i="5"/>
  <c r="E22" i="5"/>
  <c r="H22" i="5"/>
  <c r="F114" i="5"/>
  <c r="G114" i="5"/>
  <c r="H114" i="5"/>
  <c r="E114" i="5"/>
  <c r="G61" i="5"/>
  <c r="E61" i="5"/>
  <c r="F61" i="5"/>
  <c r="H61" i="5"/>
  <c r="G74" i="5"/>
  <c r="E74" i="5"/>
  <c r="F74" i="5"/>
  <c r="H74" i="5"/>
  <c r="G112" i="5"/>
  <c r="H112" i="5"/>
  <c r="F112" i="5"/>
  <c r="E112" i="5"/>
  <c r="F50" i="5"/>
  <c r="E50" i="5"/>
  <c r="H50" i="5"/>
  <c r="G50" i="5"/>
  <c r="F99" i="5"/>
  <c r="H99" i="5"/>
  <c r="E99" i="5"/>
  <c r="G99" i="5"/>
  <c r="F45" i="5"/>
  <c r="G45" i="5"/>
  <c r="H45" i="5"/>
  <c r="E45" i="5"/>
  <c r="H32" i="5"/>
  <c r="F32" i="5"/>
  <c r="G32" i="5"/>
  <c r="E32" i="5"/>
  <c r="H35" i="5"/>
  <c r="G35" i="5"/>
  <c r="F35" i="5"/>
  <c r="E35" i="5"/>
  <c r="F75" i="5"/>
  <c r="G75" i="5"/>
  <c r="E75" i="5"/>
  <c r="H75" i="5"/>
  <c r="H102" i="5"/>
  <c r="G102" i="5"/>
  <c r="F102" i="5"/>
  <c r="E102" i="5"/>
  <c r="E82" i="5"/>
  <c r="H82" i="5"/>
  <c r="G82" i="5"/>
  <c r="F82" i="5"/>
  <c r="G110" i="5"/>
  <c r="F110" i="5"/>
  <c r="H110" i="5"/>
  <c r="E110" i="5"/>
  <c r="E38" i="5"/>
  <c r="H38" i="5"/>
  <c r="G38" i="5"/>
  <c r="F38" i="5"/>
  <c r="H95" i="5"/>
  <c r="F95" i="5"/>
  <c r="G95" i="5"/>
  <c r="E95" i="5"/>
  <c r="E55" i="5"/>
  <c r="H55" i="5"/>
  <c r="G55" i="5"/>
  <c r="F55" i="5"/>
  <c r="G122" i="5"/>
  <c r="H122" i="5"/>
  <c r="E122" i="5"/>
  <c r="F122" i="5"/>
  <c r="H2" i="5"/>
  <c r="B6" i="5"/>
  <c r="E2" i="5"/>
  <c r="G2" i="5"/>
  <c r="F2" i="5"/>
  <c r="F25" i="5"/>
  <c r="G25" i="5"/>
  <c r="H25" i="5"/>
  <c r="E25" i="5"/>
  <c r="G5" i="5"/>
  <c r="H5" i="5"/>
  <c r="F5" i="5"/>
  <c r="E5" i="5"/>
  <c r="G58" i="5"/>
  <c r="H58" i="5"/>
  <c r="F58" i="5"/>
  <c r="E58" i="5"/>
  <c r="F28" i="5"/>
  <c r="G28" i="5"/>
  <c r="H28" i="5"/>
  <c r="E28" i="5"/>
  <c r="G9" i="5"/>
  <c r="H9" i="5"/>
  <c r="F9" i="5"/>
  <c r="E9" i="5"/>
  <c r="H21" i="5"/>
  <c r="E21" i="5"/>
  <c r="G21" i="5"/>
  <c r="F21" i="5"/>
  <c r="H72" i="5"/>
  <c r="F72" i="5"/>
  <c r="G72" i="5"/>
  <c r="E72" i="5"/>
  <c r="H26" i="5"/>
  <c r="G26" i="5"/>
  <c r="E26" i="5"/>
  <c r="F26" i="5"/>
  <c r="E51" i="5"/>
  <c r="G51" i="5"/>
  <c r="F51" i="5"/>
  <c r="H51" i="5"/>
  <c r="G20" i="5"/>
  <c r="E20" i="5"/>
  <c r="H20" i="5"/>
  <c r="F20" i="5"/>
  <c r="F71" i="5"/>
  <c r="H71" i="5"/>
  <c r="G71" i="5"/>
  <c r="E71" i="5"/>
  <c r="F115" i="5"/>
  <c r="G115" i="5"/>
  <c r="H115" i="5"/>
  <c r="E115" i="5"/>
  <c r="F97" i="5"/>
  <c r="G97" i="5"/>
  <c r="H97" i="5"/>
  <c r="E97" i="5"/>
  <c r="F109" i="5"/>
  <c r="E109" i="5"/>
  <c r="H109" i="5"/>
  <c r="G109" i="5"/>
  <c r="H108" i="5"/>
  <c r="F108" i="5"/>
  <c r="E108" i="5"/>
  <c r="G108" i="5"/>
  <c r="E84" i="5"/>
  <c r="H84" i="5"/>
  <c r="G84" i="5"/>
  <c r="F84" i="5"/>
  <c r="H62" i="5"/>
  <c r="F62" i="5"/>
  <c r="E62" i="5"/>
  <c r="G62" i="5"/>
  <c r="F44" i="5"/>
  <c r="H44" i="5"/>
  <c r="E44" i="5"/>
  <c r="G44" i="5"/>
  <c r="H105" i="5"/>
  <c r="E105" i="5"/>
  <c r="G105" i="5"/>
  <c r="F105" i="5"/>
  <c r="G57" i="5"/>
  <c r="E57" i="5"/>
  <c r="H57" i="5"/>
  <c r="F57" i="5"/>
  <c r="H18" i="5"/>
  <c r="F18" i="5"/>
  <c r="G18" i="5"/>
  <c r="E18" i="5"/>
  <c r="G49" i="5"/>
  <c r="E49" i="5"/>
  <c r="F49" i="5"/>
  <c r="H49" i="5"/>
  <c r="F69" i="5"/>
  <c r="G69" i="5"/>
  <c r="E69" i="5"/>
  <c r="H69" i="5"/>
  <c r="F103" i="5"/>
  <c r="H103" i="5"/>
  <c r="E103" i="5"/>
  <c r="G103" i="5"/>
  <c r="G56" i="5"/>
  <c r="H56" i="5"/>
  <c r="E56" i="5"/>
  <c r="F56" i="5"/>
  <c r="H42" i="5"/>
  <c r="E42" i="5"/>
  <c r="F42" i="5"/>
  <c r="G42" i="5"/>
  <c r="H125" i="5"/>
  <c r="E125" i="5"/>
  <c r="G125" i="5"/>
  <c r="F125" i="5"/>
  <c r="F53" i="5"/>
  <c r="G53" i="5"/>
  <c r="E53" i="5"/>
  <c r="H53" i="5"/>
  <c r="G113" i="5"/>
  <c r="E113" i="5"/>
  <c r="F113" i="5"/>
  <c r="H113" i="5"/>
  <c r="H33" i="5"/>
  <c r="E33" i="5"/>
  <c r="F33" i="5"/>
  <c r="G33" i="5"/>
  <c r="F29" i="5"/>
  <c r="H29" i="5"/>
  <c r="E29" i="5"/>
  <c r="G29" i="5"/>
  <c r="G8" i="5"/>
  <c r="E8" i="5"/>
  <c r="F8" i="5"/>
  <c r="H8" i="5"/>
  <c r="H64" i="5"/>
  <c r="G64" i="5"/>
  <c r="F64" i="5"/>
  <c r="E64" i="5"/>
  <c r="H101" i="5"/>
  <c r="G101" i="5"/>
  <c r="E101" i="5"/>
  <c r="F101" i="5"/>
  <c r="E14" i="5"/>
  <c r="H14" i="5"/>
  <c r="G14" i="5"/>
  <c r="F14" i="5"/>
  <c r="H94" i="5"/>
  <c r="F94" i="5"/>
  <c r="G94" i="5"/>
  <c r="E94" i="5"/>
  <c r="H83" i="5"/>
  <c r="F83" i="5"/>
  <c r="E83" i="5"/>
  <c r="G83" i="5"/>
  <c r="F77" i="5"/>
  <c r="G77" i="5"/>
  <c r="H77" i="5"/>
  <c r="E77" i="5"/>
  <c r="E91" i="5"/>
  <c r="G91" i="5"/>
  <c r="F91" i="5"/>
  <c r="H91" i="5"/>
  <c r="F116" i="5"/>
  <c r="H116" i="5"/>
  <c r="E116" i="5"/>
  <c r="G116" i="5"/>
  <c r="E89" i="5"/>
  <c r="G89" i="5"/>
  <c r="H89" i="5"/>
  <c r="F89" i="5"/>
  <c r="H87" i="5"/>
  <c r="G87" i="5"/>
  <c r="E87" i="5"/>
  <c r="F87" i="5"/>
  <c r="E86" i="5"/>
  <c r="F86" i="5"/>
  <c r="G86" i="5"/>
  <c r="H86" i="5"/>
  <c r="C28" i="6" s="1"/>
  <c r="B7" i="5"/>
  <c r="D14" i="6"/>
  <c r="D31" i="6"/>
  <c r="I1" i="5" a="1"/>
  <c r="I11" i="5" l="1"/>
  <c r="I121" i="5"/>
  <c r="I85" i="5"/>
  <c r="I90" i="5"/>
  <c r="I24" i="5"/>
  <c r="I62" i="5"/>
  <c r="I1" i="5"/>
  <c r="I32" i="5"/>
  <c r="I101" i="5"/>
  <c r="I64" i="5"/>
  <c r="I35" i="5"/>
  <c r="I37" i="5"/>
  <c r="I19" i="5"/>
  <c r="I39" i="5"/>
  <c r="I46" i="5"/>
  <c r="I16" i="5"/>
  <c r="I96" i="5"/>
  <c r="I102" i="5"/>
  <c r="I119" i="5"/>
  <c r="I89" i="5"/>
  <c r="I55" i="5"/>
  <c r="I111" i="5"/>
  <c r="I95" i="5"/>
  <c r="I40" i="5"/>
  <c r="I53" i="5"/>
  <c r="I71" i="5"/>
  <c r="I58" i="5"/>
  <c r="I10" i="5"/>
  <c r="I12" i="5"/>
  <c r="I108" i="5"/>
  <c r="I124" i="5"/>
  <c r="I25" i="5"/>
  <c r="I88" i="5"/>
  <c r="I60" i="5"/>
  <c r="I93" i="5"/>
  <c r="I87" i="5"/>
  <c r="I34" i="5"/>
  <c r="I122" i="5"/>
  <c r="I20" i="5"/>
  <c r="I38" i="5"/>
  <c r="I73" i="5"/>
  <c r="I82" i="5"/>
  <c r="I8" i="5"/>
  <c r="I6" i="5"/>
  <c r="I81" i="5"/>
  <c r="I59" i="5"/>
  <c r="I23" i="5"/>
  <c r="I18" i="5"/>
  <c r="I106" i="5"/>
  <c r="I13" i="5"/>
  <c r="I36" i="5"/>
  <c r="I67" i="5"/>
  <c r="I115" i="5"/>
  <c r="I48" i="5"/>
  <c r="I43" i="5"/>
  <c r="I112" i="5"/>
  <c r="I14" i="5"/>
  <c r="I54" i="5"/>
  <c r="I117" i="5"/>
  <c r="I65" i="5"/>
  <c r="I86" i="5"/>
  <c r="I66" i="5"/>
  <c r="I50" i="5"/>
  <c r="I80" i="5"/>
  <c r="I116" i="5"/>
  <c r="I94" i="5"/>
  <c r="I125" i="5"/>
  <c r="I109" i="5"/>
  <c r="I29" i="5"/>
  <c r="I26" i="5"/>
  <c r="I118" i="5"/>
  <c r="I123" i="5"/>
  <c r="I126" i="5"/>
  <c r="I84" i="5"/>
  <c r="I92" i="5"/>
  <c r="I83" i="5"/>
  <c r="I7" i="5"/>
  <c r="I2" i="5"/>
  <c r="I57" i="5"/>
  <c r="I51" i="5"/>
  <c r="I31" i="5"/>
  <c r="I47" i="5"/>
  <c r="I15" i="5"/>
  <c r="I41" i="5"/>
  <c r="I113" i="5"/>
  <c r="I76" i="5"/>
  <c r="I56" i="5"/>
  <c r="I33" i="5"/>
  <c r="I110" i="5"/>
  <c r="I4" i="5"/>
  <c r="I114" i="5"/>
  <c r="I70" i="5"/>
  <c r="I100" i="5"/>
  <c r="I28" i="5"/>
  <c r="I9" i="5"/>
  <c r="I21" i="5"/>
  <c r="I99" i="5"/>
  <c r="I3" i="5"/>
  <c r="I22" i="5"/>
  <c r="I17" i="5"/>
  <c r="I52" i="5"/>
  <c r="I107" i="5"/>
  <c r="I44" i="5"/>
  <c r="I72" i="5"/>
  <c r="I98" i="5"/>
  <c r="I63" i="5"/>
  <c r="I5" i="5"/>
  <c r="I104" i="5"/>
  <c r="I79" i="5"/>
  <c r="I103" i="5"/>
  <c r="I97" i="5"/>
  <c r="I69" i="5"/>
  <c r="I68" i="5"/>
  <c r="I30" i="5"/>
  <c r="I77" i="5"/>
  <c r="I105" i="5"/>
  <c r="I42" i="5"/>
  <c r="I91" i="5"/>
  <c r="I74" i="5"/>
  <c r="I78" i="5"/>
  <c r="I75" i="5"/>
  <c r="I27" i="5"/>
  <c r="I120" i="5"/>
  <c r="I45" i="5"/>
  <c r="I61" i="5"/>
  <c r="I49" i="5"/>
  <c r="D28" i="6"/>
  <c r="D15" i="6"/>
  <c r="D27" i="6"/>
  <c r="D30" i="6"/>
  <c r="C27" i="6"/>
  <c r="D29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<sst xmlns="http://schemas.openxmlformats.org/spreadsheetml/2006/main" count="555" uniqueCount="176">
  <si>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</si>
  <si>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</si>
  <si>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</si>
  <si>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</si>
  <si>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</si>
  <si>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</si>
  <si>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</si>
  <si>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</si>
  <si>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</si>
  <si>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</si>
  <si>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</si>
  <si>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</si>
  <si>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</si>
  <si>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</si>
  <si>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</si>
  <si>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</si>
  <si>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</si>
  <si>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</si>
  <si>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</si>
  <si>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</si>
  <si>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</si>
  <si>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</si>
  <si>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</si>
  <si>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</si>
  <si>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</si>
  <si>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</si>
  <si>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</si>
  <si>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</si>
  <si>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</si>
  <si>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</si>
  <si>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</si>
  <si>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</si>
  <si>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</si>
  <si>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</si>
  <si>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</si>
  <si>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</si>
  <si>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</si>
  <si>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45Y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</si>
  <si>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</si>
  <si>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</si>
  <si>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</si>
  <si>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</si>
  <si>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</si>
  <si>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</si>
  <si>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</si>
  <si>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</si>
  <si>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</si>
  <si>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</si>
  <si>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</si>
  <si>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</si>
  <si>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</si>
  <si>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</si>
  <si>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</si>
  <si>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</si>
  <si>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</si>
  <si>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</si>
  <si>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</si>
  <si>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</si>
  <si>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</si>
  <si>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</si>
  <si>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</si>
  <si>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</si>
  <si>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</si>
  <si>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</si>
  <si>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</si>
  <si>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</si>
  <si>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</si>
  <si>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</si>
  <si>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</si>
  <si>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1S</t>
  </si>
  <si>
    <t>2S</t>
  </si>
  <si>
    <t>4S</t>
  </si>
  <si>
    <t>3S</t>
  </si>
  <si>
    <t>OIS</t>
  </si>
  <si>
    <t>ECB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</si>
  <si>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</si>
  <si>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</si>
  <si>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</si>
  <si>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</si>
  <si>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</si>
  <si>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</si>
  <si>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</si>
  <si>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</si>
  <si>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</si>
  <si>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</si>
  <si>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</si>
  <si>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</si>
  <si>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</si>
  <si>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</si>
  <si>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</si>
  <si>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</si>
  <si>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</si>
  <si>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</si>
  <si>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</si>
  <si>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</si>
  <si>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</si>
  <si>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</si>
  <si>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</si>
  <si>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</si>
  <si>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</si>
  <si>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</si>
  <si>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</si>
  <si>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</si>
  <si>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</si>
  <si>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</si>
  <si>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</si>
  <si>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</si>
  <si>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</si>
  <si>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</si>
  <si>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</si>
  <si>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</si>
  <si>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</si>
  <si>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</si>
  <si>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</si>
  <si>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</si>
  <si>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</si>
  <si>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</si>
  <si>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</si>
  <si>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</si>
  <si>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</si>
  <si>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</si>
  <si>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</si>
  <si>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</si>
  <si>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</si>
  <si>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</si>
  <si>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</si>
  <si>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/>
  </si>
  <si>
    <t>SwapFixedFreq</t>
  </si>
  <si>
    <t>JPY</t>
  </si>
  <si>
    <t>IborType</t>
  </si>
  <si>
    <t>GBP</t>
  </si>
  <si>
    <t>ON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</si>
  <si>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</si>
  <si>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</si>
  <si>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</si>
  <si>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</si>
  <si>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</si>
  <si>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</si>
  <si>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</si>
  <si>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</si>
  <si>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</si>
  <si>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SN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</si>
  <si>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</si>
  <si>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</si>
  <si>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</si>
  <si>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</si>
  <si>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</si>
  <si>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</si>
  <si>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</si>
  <si>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</si>
  <si>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</si>
  <si>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USD_YCRH_Deposits</t>
  </si>
  <si>
    <t>D</t>
  </si>
  <si>
    <t>2D</t>
  </si>
  <si>
    <t>TN</t>
  </si>
  <si>
    <t>1D</t>
  </si>
  <si>
    <t>USD_YCRH_FRAs</t>
  </si>
  <si>
    <t>Modified Following</t>
  </si>
  <si>
    <t>Spread</t>
  </si>
  <si>
    <t>Day Count Convention</t>
  </si>
  <si>
    <t>Business Day Convention</t>
  </si>
  <si>
    <t>Freq</t>
  </si>
  <si>
    <t>Fwd start</t>
  </si>
  <si>
    <t>Following</t>
  </si>
  <si>
    <t>Annual</t>
  </si>
  <si>
    <t>ECBOIS</t>
  </si>
  <si>
    <t>1W</t>
  </si>
  <si>
    <t>Length</t>
  </si>
  <si>
    <t>Discounting2</t>
  </si>
  <si>
    <t>Discounting</t>
  </si>
  <si>
    <t>USD_YCRH_Swaps</t>
  </si>
  <si>
    <t>MonotonicLogCubicNaturalSpline</t>
  </si>
  <si>
    <t>UnitedStates::Settlement</t>
  </si>
  <si>
    <t>JoinHolidays</t>
  </si>
  <si>
    <t>UsdFedFunds</t>
  </si>
  <si>
    <t>USDFedFunds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</si>
</sst>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ddd\,\ dd\-mmm\-yyyy"/>
    <numFmt numFmtId="168" formatCode="0.000000000"/>
    <numFmt numFmtId="169" formatCode="ddd\,\ dd\-mmm\-yyyy\,\ hh:mm:ss"/>
    <numFmt numFmtId="170" formatCode="ddd\,\ d\-mmm\-yy"/>
    <numFmt numFmtId="171" formatCode="ddd\,\ d\-mmm\-yyyy\,\ hh:mm:ss"/>
    <numFmt numFmtId="172" formatCode="[$-409]d\-mmm\-yy;@"/>
    <numFmt numFmtId="173" formatCode="mm/dd/yy;@"/>
    <numFmt numFmtId="174" formatCode="General_)"/>
    <numFmt numFmtId="175" formatCode="#,##0.0;#,##0.0"/>
    <numFmt numFmtId="176" formatCode="&quot;£&quot;#,##0;[Red]\-&quot;£&quot;#,##0"/>
    <numFmt numFmtId="177" formatCode="0.000000000000000"/>
  </numFmts>
  <fonts count="22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color indexed="10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i/>
      <sz val="8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4" fontId="13" fillId="0" borderId="0"/>
    <xf numFmtId="175" fontId="14" fillId="9" borderId="0">
      <alignment horizontal="center" vertical="center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8" fillId="0" borderId="0"/>
  </cellStyleXfs>
  <cellXfs count="19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left"/>
    </xf>
    <xf numFmtId="49" fontId="2" fillId="2" borderId="0" xfId="1" applyNumberFormat="1" applyFont="1" applyFill="1" applyBorder="1" applyAlignment="1">
      <alignment horizontal="left"/>
    </xf>
    <xf numFmtId="164" fontId="2" fillId="0" borderId="0" xfId="1" applyNumberFormat="1" applyFont="1"/>
    <xf numFmtId="166" fontId="2" fillId="0" borderId="0" xfId="1" applyNumberFormat="1" applyFont="1"/>
    <xf numFmtId="165" fontId="2" fillId="0" borderId="0" xfId="1" applyNumberFormat="1" applyFont="1"/>
    <xf numFmtId="0" fontId="2" fillId="2" borderId="7" xfId="1" applyNumberFormat="1" applyFont="1" applyFill="1" applyBorder="1" applyAlignment="1">
      <alignment horizontal="lef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4" borderId="9" xfId="1" applyFont="1" applyFill="1" applyBorder="1" applyAlignment="1">
      <alignment horizontal="center" vertical="center" wrapText="1"/>
    </xf>
    <xf numFmtId="167" fontId="2" fillId="2" borderId="13" xfId="1" applyNumberFormat="1" applyFont="1" applyFill="1" applyBorder="1" applyAlignment="1"/>
    <xf numFmtId="167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7" fontId="2" fillId="2" borderId="16" xfId="1" applyNumberFormat="1" applyFont="1" applyFill="1" applyBorder="1" applyAlignment="1"/>
    <xf numFmtId="167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0" fontId="6" fillId="5" borderId="18" xfId="1" applyFont="1" applyFill="1" applyBorder="1" applyAlignment="1">
      <alignment horizontal="left"/>
    </xf>
    <xf numFmtId="0" fontId="2" fillId="0" borderId="19" xfId="1" applyFont="1" applyBorder="1"/>
    <xf numFmtId="0" fontId="6" fillId="5" borderId="20" xfId="1" applyFont="1" applyFill="1" applyBorder="1" applyAlignment="1">
      <alignment horizontal="left"/>
    </xf>
    <xf numFmtId="0" fontId="3" fillId="6" borderId="21" xfId="1" applyFont="1" applyFill="1" applyBorder="1" applyAlignment="1">
      <alignment horizontal="right"/>
    </xf>
    <xf numFmtId="0" fontId="2" fillId="7" borderId="20" xfId="1" applyFont="1" applyFill="1" applyBorder="1" applyAlignment="1">
      <alignment horizontal="center"/>
    </xf>
    <xf numFmtId="3" fontId="2" fillId="7" borderId="20" xfId="1" applyNumberFormat="1" applyFont="1" applyFill="1" applyBorder="1" applyAlignment="1">
      <alignment horizontal="center"/>
    </xf>
    <xf numFmtId="3" fontId="2" fillId="7" borderId="22" xfId="1" applyNumberFormat="1" applyFont="1" applyFill="1" applyBorder="1" applyAlignment="1">
      <alignment horizontal="center"/>
    </xf>
    <xf numFmtId="0" fontId="3" fillId="6" borderId="23" xfId="1" applyFont="1" applyFill="1" applyBorder="1" applyAlignment="1">
      <alignment horizontal="right"/>
    </xf>
    <xf numFmtId="0" fontId="3" fillId="4" borderId="24" xfId="1" applyFont="1" applyFill="1" applyBorder="1" applyAlignment="1">
      <alignment horizontal="center" vertical="center" wrapText="1"/>
    </xf>
    <xf numFmtId="0" fontId="3" fillId="4" borderId="25" xfId="1" applyFont="1" applyFill="1" applyBorder="1" applyAlignment="1">
      <alignment horizontal="center" vertical="center" wrapText="1"/>
    </xf>
    <xf numFmtId="0" fontId="3" fillId="4" borderId="26" xfId="1" applyFont="1" applyFill="1" applyBorder="1" applyAlignment="1">
      <alignment horizontal="center" vertical="center" wrapText="1"/>
    </xf>
    <xf numFmtId="0" fontId="5" fillId="2" borderId="13" xfId="3" applyFont="1" applyFill="1" applyBorder="1"/>
    <xf numFmtId="0" fontId="5" fillId="2" borderId="14" xfId="3" applyFont="1" applyFill="1" applyBorder="1"/>
    <xf numFmtId="15" fontId="5" fillId="2" borderId="14" xfId="3" applyNumberFormat="1" applyFont="1" applyFill="1" applyBorder="1"/>
    <xf numFmtId="0" fontId="5" fillId="2" borderId="15" xfId="3" applyFont="1" applyFill="1" applyBorder="1"/>
    <xf numFmtId="0" fontId="5" fillId="2" borderId="16" xfId="3" applyFont="1" applyFill="1" applyBorder="1"/>
    <xf numFmtId="0" fontId="5" fillId="2" borderId="0" xfId="3" applyFont="1" applyFill="1" applyBorder="1"/>
    <xf numFmtId="167" fontId="5" fillId="2" borderId="29" xfId="1" applyNumberFormat="1" applyFont="1" applyFill="1" applyBorder="1" applyAlignment="1">
      <alignment horizontal="right"/>
    </xf>
    <xf numFmtId="0" fontId="5" fillId="2" borderId="17" xfId="3" applyFont="1" applyFill="1" applyBorder="1"/>
    <xf numFmtId="0" fontId="5" fillId="2" borderId="4" xfId="1" applyFont="1" applyFill="1" applyBorder="1" applyAlignment="1">
      <alignment horizontal="center"/>
    </xf>
    <xf numFmtId="164" fontId="5" fillId="2" borderId="30" xfId="1" applyNumberFormat="1" applyFont="1" applyFill="1" applyBorder="1" applyAlignment="1">
      <alignment horizontal="right"/>
    </xf>
    <xf numFmtId="168" fontId="5" fillId="2" borderId="6" xfId="1" applyNumberFormat="1" applyFont="1" applyFill="1" applyBorder="1" applyAlignment="1">
      <alignment horizontal="center"/>
    </xf>
    <xf numFmtId="164" fontId="5" fillId="2" borderId="31" xfId="1" applyNumberFormat="1" applyFont="1" applyFill="1" applyBorder="1" applyAlignment="1">
      <alignment horizontal="right"/>
    </xf>
    <xf numFmtId="169" fontId="5" fillId="2" borderId="0" xfId="3" applyNumberFormat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8" fillId="6" borderId="29" xfId="1" applyFont="1" applyFill="1" applyBorder="1" applyAlignment="1">
      <alignment horizontal="right"/>
    </xf>
    <xf numFmtId="0" fontId="5" fillId="7" borderId="4" xfId="1" applyFont="1" applyFill="1" applyBorder="1" applyAlignment="1">
      <alignment horizontal="center"/>
    </xf>
    <xf numFmtId="0" fontId="8" fillId="6" borderId="30" xfId="1" applyFont="1" applyFill="1" applyBorder="1" applyAlignment="1">
      <alignment horizontal="right"/>
    </xf>
    <xf numFmtId="11" fontId="5" fillId="7" borderId="4" xfId="1" applyNumberFormat="1" applyFont="1" applyFill="1" applyBorder="1" applyAlignment="1">
      <alignment horizontal="center"/>
    </xf>
    <xf numFmtId="165" fontId="5" fillId="2" borderId="1" xfId="3" applyNumberFormat="1" applyFont="1" applyFill="1" applyBorder="1" applyAlignment="1">
      <alignment horizontal="center"/>
    </xf>
    <xf numFmtId="165" fontId="5" fillId="7" borderId="5" xfId="1" applyNumberFormat="1" applyFont="1" applyFill="1" applyBorder="1" applyAlignment="1">
      <alignment horizontal="center"/>
    </xf>
    <xf numFmtId="164" fontId="5" fillId="2" borderId="4" xfId="3" applyNumberFormat="1" applyFont="1" applyFill="1" applyBorder="1" applyAlignment="1">
      <alignment horizontal="center"/>
    </xf>
    <xf numFmtId="164" fontId="5" fillId="7" borderId="5" xfId="1" applyNumberFormat="1" applyFont="1" applyFill="1" applyBorder="1" applyAlignment="1">
      <alignment horizontal="center"/>
    </xf>
    <xf numFmtId="0" fontId="5" fillId="2" borderId="6" xfId="3" applyFont="1" applyFill="1" applyBorder="1" applyAlignment="1">
      <alignment horizontal="center"/>
    </xf>
    <xf numFmtId="11" fontId="5" fillId="7" borderId="5" xfId="1" applyNumberFormat="1" applyFont="1" applyFill="1" applyBorder="1" applyAlignment="1">
      <alignment horizontal="center"/>
    </xf>
    <xf numFmtId="0" fontId="5" fillId="2" borderId="4" xfId="3" applyFont="1" applyFill="1" applyBorder="1" applyAlignment="1">
      <alignment horizontal="center"/>
    </xf>
    <xf numFmtId="3" fontId="5" fillId="7" borderId="4" xfId="1" applyNumberFormat="1" applyFont="1" applyFill="1" applyBorder="1" applyAlignment="1">
      <alignment horizontal="center"/>
    </xf>
    <xf numFmtId="170" fontId="5" fillId="7" borderId="6" xfId="1" applyNumberFormat="1" applyFont="1" applyFill="1" applyBorder="1" applyAlignment="1">
      <alignment horizontal="center"/>
    </xf>
    <xf numFmtId="0" fontId="8" fillId="6" borderId="31" xfId="1" applyFont="1" applyFill="1" applyBorder="1" applyAlignment="1">
      <alignment horizontal="right"/>
    </xf>
    <xf numFmtId="1" fontId="9" fillId="5" borderId="1" xfId="1" applyNumberFormat="1" applyFont="1" applyFill="1" applyBorder="1" applyAlignment="1">
      <alignment horizontal="left"/>
    </xf>
    <xf numFmtId="170" fontId="5" fillId="5" borderId="6" xfId="1" quotePrefix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6" borderId="29" xfId="1" applyFont="1" applyFill="1" applyBorder="1"/>
    <xf numFmtId="171" fontId="5" fillId="2" borderId="4" xfId="1" applyNumberFormat="1" applyFont="1" applyFill="1" applyBorder="1" applyAlignment="1">
      <alignment horizontal="center"/>
    </xf>
    <xf numFmtId="0" fontId="5" fillId="6" borderId="30" xfId="1" applyFont="1" applyFill="1" applyBorder="1"/>
    <xf numFmtId="0" fontId="5" fillId="6" borderId="30" xfId="3" applyFont="1" applyFill="1" applyBorder="1"/>
    <xf numFmtId="0" fontId="5" fillId="2" borderId="4" xfId="1" quotePrefix="1" applyFont="1" applyFill="1" applyBorder="1" applyAlignment="1">
      <alignment horizontal="center"/>
    </xf>
    <xf numFmtId="0" fontId="5" fillId="6" borderId="31" xfId="3" applyFont="1" applyFill="1" applyBorder="1"/>
    <xf numFmtId="0" fontId="8" fillId="2" borderId="0" xfId="3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7" xfId="1" applyFont="1" applyFill="1" applyBorder="1" applyAlignment="1">
      <alignment horizontal="center"/>
    </xf>
    <xf numFmtId="0" fontId="6" fillId="5" borderId="9" xfId="1" applyNumberFormat="1" applyFont="1" applyFill="1" applyBorder="1" applyAlignment="1" applyProtection="1">
      <alignment horizontal="left" vertical="center"/>
    </xf>
    <xf numFmtId="0" fontId="3" fillId="2" borderId="9" xfId="1" applyFont="1" applyFill="1" applyBorder="1" applyAlignment="1">
      <alignment horizontal="center" vertical="center" wrapText="1"/>
    </xf>
    <xf numFmtId="0" fontId="2" fillId="2" borderId="0" xfId="1" applyFont="1" applyFill="1" applyBorder="1"/>
    <xf numFmtId="0" fontId="2" fillId="2" borderId="17" xfId="1" applyFont="1" applyFill="1" applyBorder="1"/>
    <xf numFmtId="0" fontId="1" fillId="0" borderId="0" xfId="1"/>
    <xf numFmtId="0" fontId="5" fillId="2" borderId="13" xfId="1" applyFont="1" applyFill="1" applyBorder="1"/>
    <xf numFmtId="0" fontId="5" fillId="2" borderId="14" xfId="1" applyFont="1" applyFill="1" applyBorder="1"/>
    <xf numFmtId="0" fontId="5" fillId="2" borderId="15" xfId="1" applyFont="1" applyFill="1" applyBorder="1"/>
    <xf numFmtId="0" fontId="5" fillId="2" borderId="16" xfId="1" applyFont="1" applyFill="1" applyBorder="1"/>
    <xf numFmtId="172" fontId="15" fillId="5" borderId="10" xfId="1" applyNumberFormat="1" applyFont="1" applyFill="1" applyBorder="1" applyAlignment="1" applyProtection="1">
      <alignment horizontal="left"/>
    </xf>
    <xf numFmtId="0" fontId="5" fillId="2" borderId="10" xfId="1" applyNumberFormat="1" applyFont="1" applyFill="1" applyBorder="1" applyAlignment="1">
      <alignment horizontal="left"/>
    </xf>
    <xf numFmtId="173" fontId="5" fillId="2" borderId="9" xfId="1" applyNumberFormat="1" applyFont="1" applyFill="1" applyBorder="1" applyAlignment="1">
      <alignment horizontal="left"/>
    </xf>
    <xf numFmtId="173" fontId="5" fillId="3" borderId="9" xfId="1" applyNumberFormat="1" applyFont="1" applyFill="1" applyBorder="1" applyAlignment="1"/>
    <xf numFmtId="0" fontId="8" fillId="2" borderId="12" xfId="1" applyFont="1" applyFill="1" applyBorder="1" applyAlignment="1">
      <alignment horizontal="center"/>
    </xf>
    <xf numFmtId="0" fontId="5" fillId="2" borderId="17" xfId="1" applyFont="1" applyFill="1" applyBorder="1" applyAlignment="1">
      <alignment horizontal="center"/>
    </xf>
    <xf numFmtId="0" fontId="15" fillId="5" borderId="9" xfId="1" applyNumberFormat="1" applyFont="1" applyFill="1" applyBorder="1" applyAlignment="1" applyProtection="1">
      <alignment horizontal="left" vertical="center"/>
    </xf>
    <xf numFmtId="0" fontId="16" fillId="5" borderId="10" xfId="1" applyNumberFormat="1" applyFont="1" applyFill="1" applyBorder="1" applyAlignment="1" applyProtection="1">
      <alignment horizontal="center" vertical="center"/>
    </xf>
    <xf numFmtId="0" fontId="17" fillId="2" borderId="9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 wrapText="1"/>
    </xf>
    <xf numFmtId="0" fontId="18" fillId="0" borderId="0" xfId="1" applyFont="1"/>
    <xf numFmtId="0" fontId="18" fillId="0" borderId="0" xfId="1" applyFont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5" fillId="2" borderId="0" xfId="1" applyFont="1" applyFill="1" applyBorder="1"/>
    <xf numFmtId="0" fontId="5" fillId="2" borderId="17" xfId="1" applyFont="1" applyFill="1" applyBorder="1"/>
    <xf numFmtId="0" fontId="5" fillId="2" borderId="1" xfId="1" applyNumberFormat="1" applyFont="1" applyFill="1" applyBorder="1" applyAlignment="1">
      <alignment horizontal="left"/>
    </xf>
    <xf numFmtId="0" fontId="8" fillId="2" borderId="12" xfId="1" applyFont="1" applyFill="1" applyBorder="1" applyAlignment="1">
      <alignment horizontal="center" vertical="center" wrapText="1"/>
    </xf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9" fillId="2" borderId="16" xfId="1" applyFont="1" applyFill="1" applyBorder="1"/>
    <xf numFmtId="171" fontId="16" fillId="5" borderId="10" xfId="1" quotePrefix="1" applyNumberFormat="1" applyFont="1" applyFill="1" applyBorder="1" applyAlignment="1" applyProtection="1">
      <alignment horizontal="center"/>
    </xf>
    <xf numFmtId="0" fontId="20" fillId="6" borderId="9" xfId="1" applyFont="1" applyFill="1" applyBorder="1"/>
    <xf numFmtId="0" fontId="19" fillId="2" borderId="17" xfId="1" applyFont="1" applyFill="1" applyBorder="1"/>
    <xf numFmtId="171" fontId="16" fillId="5" borderId="10" xfId="1" applyNumberFormat="1" applyFont="1" applyFill="1" applyBorder="1" applyAlignment="1" applyProtection="1">
      <alignment horizontal="center"/>
    </xf>
    <xf numFmtId="0" fontId="19" fillId="2" borderId="0" xfId="1" applyFont="1" applyFill="1" applyBorder="1"/>
    <xf numFmtId="0" fontId="16" fillId="2" borderId="13" xfId="1" applyFont="1" applyFill="1" applyBorder="1"/>
    <xf numFmtId="0" fontId="16" fillId="2" borderId="14" xfId="1" applyFont="1" applyFill="1" applyBorder="1"/>
    <xf numFmtId="0" fontId="16" fillId="2" borderId="15" xfId="1" applyFont="1" applyFill="1" applyBorder="1"/>
    <xf numFmtId="15" fontId="16" fillId="2" borderId="16" xfId="1" applyNumberFormat="1" applyFont="1" applyFill="1" applyBorder="1"/>
    <xf numFmtId="0" fontId="16" fillId="6" borderId="9" xfId="1" applyNumberFormat="1" applyFont="1" applyFill="1" applyBorder="1"/>
    <xf numFmtId="0" fontId="16" fillId="2" borderId="17" xfId="1" applyFont="1" applyFill="1" applyBorder="1"/>
    <xf numFmtId="171" fontId="16" fillId="5" borderId="10" xfId="1" quotePrefix="1" applyNumberFormat="1" applyFont="1" applyFill="1" applyBorder="1" applyAlignment="1" applyProtection="1">
      <alignment horizontal="left"/>
    </xf>
    <xf numFmtId="0" fontId="16" fillId="2" borderId="16" xfId="1" applyFont="1" applyFill="1" applyBorder="1"/>
    <xf numFmtId="0" fontId="16" fillId="2" borderId="0" xfId="1" applyFont="1" applyFill="1" applyBorder="1"/>
    <xf numFmtId="0" fontId="18" fillId="0" borderId="0" xfId="1" applyFont="1" applyAlignment="1">
      <alignment horizontal="left"/>
    </xf>
    <xf numFmtId="0" fontId="5" fillId="0" borderId="0" xfId="1" applyFont="1"/>
    <xf numFmtId="0" fontId="5" fillId="2" borderId="14" xfId="1" applyFont="1" applyFill="1" applyBorder="1" applyAlignment="1">
      <alignment horizontal="left"/>
    </xf>
    <xf numFmtId="0" fontId="15" fillId="5" borderId="1" xfId="1" applyNumberFormat="1" applyFont="1" applyFill="1" applyBorder="1" applyAlignment="1" applyProtection="1">
      <alignment vertical="center"/>
    </xf>
    <xf numFmtId="0" fontId="5" fillId="2" borderId="29" xfId="1" applyNumberFormat="1" applyFont="1" applyFill="1" applyBorder="1" applyAlignment="1">
      <alignment horizontal="left"/>
    </xf>
    <xf numFmtId="0" fontId="5" fillId="2" borderId="3" xfId="1" applyNumberFormat="1" applyFont="1" applyFill="1" applyBorder="1" applyAlignment="1">
      <alignment horizontal="left"/>
    </xf>
    <xf numFmtId="0" fontId="15" fillId="5" borderId="6" xfId="1" applyNumberFormat="1" applyFont="1" applyFill="1" applyBorder="1" applyAlignment="1" applyProtection="1">
      <alignment vertical="center"/>
    </xf>
    <xf numFmtId="0" fontId="5" fillId="2" borderId="31" xfId="1" applyNumberFormat="1" applyFont="1" applyFill="1" applyBorder="1" applyAlignment="1">
      <alignment horizontal="left"/>
    </xf>
    <xf numFmtId="0" fontId="5" fillId="2" borderId="6" xfId="1" applyNumberFormat="1" applyFont="1" applyFill="1" applyBorder="1" applyAlignment="1">
      <alignment horizontal="left"/>
    </xf>
    <xf numFmtId="0" fontId="5" fillId="2" borderId="8" xfId="1" applyNumberFormat="1" applyFont="1" applyFill="1" applyBorder="1" applyAlignment="1">
      <alignment horizontal="left"/>
    </xf>
    <xf numFmtId="0" fontId="15" fillId="5" borderId="10" xfId="1" applyNumberFormat="1" applyFont="1" applyFill="1" applyBorder="1" applyAlignment="1" applyProtection="1">
      <alignment vertical="center"/>
    </xf>
    <xf numFmtId="0" fontId="16" fillId="5" borderId="9" xfId="1" applyNumberFormat="1" applyFont="1" applyFill="1" applyBorder="1" applyAlignment="1" applyProtection="1">
      <alignment horizontal="center" vertical="center"/>
    </xf>
    <xf numFmtId="0" fontId="5" fillId="2" borderId="10" xfId="1" applyFont="1" applyFill="1" applyBorder="1" applyAlignment="1">
      <alignment horizontal="center" vertical="center" wrapText="1"/>
    </xf>
    <xf numFmtId="0" fontId="5" fillId="2" borderId="32" xfId="1" applyFont="1" applyFill="1" applyBorder="1"/>
    <xf numFmtId="0" fontId="18" fillId="0" borderId="34" xfId="1" applyFont="1" applyBorder="1"/>
    <xf numFmtId="0" fontId="18" fillId="0" borderId="34" xfId="1" applyFont="1" applyBorder="1" applyAlignment="1">
      <alignment horizontal="left"/>
    </xf>
    <xf numFmtId="0" fontId="18" fillId="0" borderId="34" xfId="1" applyFont="1" applyBorder="1" applyAlignment="1">
      <alignment horizontal="center"/>
    </xf>
    <xf numFmtId="0" fontId="5" fillId="2" borderId="34" xfId="1" applyFont="1" applyFill="1" applyBorder="1" applyAlignment="1">
      <alignment horizontal="center"/>
    </xf>
    <xf numFmtId="0" fontId="5" fillId="2" borderId="34" xfId="1" applyFont="1" applyFill="1" applyBorder="1"/>
    <xf numFmtId="0" fontId="5" fillId="2" borderId="33" xfId="1" applyFont="1" applyFill="1" applyBorder="1" applyAlignment="1">
      <alignment horizontal="left"/>
    </xf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1" fillId="2" borderId="16" xfId="1" applyFont="1" applyFill="1" applyBorder="1"/>
    <xf numFmtId="0" fontId="2" fillId="2" borderId="0" xfId="1" applyFont="1" applyFill="1" applyBorder="1" applyAlignment="1"/>
    <xf numFmtId="167" fontId="2" fillId="0" borderId="0" xfId="1" applyNumberFormat="1" applyFont="1"/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right"/>
    </xf>
    <xf numFmtId="0" fontId="2" fillId="2" borderId="9" xfId="1" applyNumberFormat="1" applyFont="1" applyFill="1" applyBorder="1" applyAlignment="1">
      <alignment horizontal="center"/>
    </xf>
    <xf numFmtId="164" fontId="2" fillId="2" borderId="9" xfId="1" applyNumberFormat="1" applyFont="1" applyFill="1" applyBorder="1" applyAlignment="1">
      <alignment horizontal="center"/>
    </xf>
    <xf numFmtId="172" fontId="6" fillId="5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2" fillId="5" borderId="9" xfId="1" applyNumberFormat="1" applyFont="1" applyFill="1" applyBorder="1" applyAlignment="1" applyProtection="1">
      <alignment horizontal="center" vertical="center"/>
    </xf>
    <xf numFmtId="0" fontId="11" fillId="2" borderId="9" xfId="1" applyFont="1" applyFill="1" applyBorder="1" applyAlignment="1">
      <alignment horizontal="left" vertical="center"/>
    </xf>
    <xf numFmtId="0" fontId="21" fillId="2" borderId="32" xfId="1" applyFont="1" applyFill="1" applyBorder="1"/>
    <xf numFmtId="0" fontId="2" fillId="2" borderId="34" xfId="1" applyFont="1" applyFill="1" applyBorder="1"/>
    <xf numFmtId="0" fontId="2" fillId="2" borderId="34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5" fillId="10" borderId="0" xfId="3" applyFont="1" applyFill="1"/>
    <xf numFmtId="0" fontId="18" fillId="10" borderId="0" xfId="10" applyFill="1"/>
    <xf numFmtId="0" fontId="5" fillId="11" borderId="33" xfId="3" applyFont="1" applyFill="1" applyBorder="1"/>
    <xf numFmtId="0" fontId="5" fillId="11" borderId="32" xfId="3" applyFont="1" applyFill="1" applyBorder="1"/>
    <xf numFmtId="0" fontId="5" fillId="11" borderId="17" xfId="3" applyFont="1" applyFill="1" applyBorder="1"/>
    <xf numFmtId="0" fontId="5" fillId="11" borderId="16" xfId="3" applyFont="1" applyFill="1" applyBorder="1"/>
    <xf numFmtId="0" fontId="5" fillId="11" borderId="15" xfId="3" applyFont="1" applyFill="1" applyBorder="1"/>
    <xf numFmtId="0" fontId="5" fillId="11" borderId="13" xfId="3" applyFont="1" applyFill="1" applyBorder="1"/>
    <xf numFmtId="167" fontId="5" fillId="2" borderId="30" xfId="1" applyNumberFormat="1" applyFont="1" applyFill="1" applyBorder="1" applyAlignment="1">
      <alignment horizontal="right"/>
    </xf>
    <xf numFmtId="0" fontId="5" fillId="2" borderId="4" xfId="1" applyFont="1" applyFill="1" applyBorder="1" applyAlignment="1">
      <alignment horizontal="left"/>
    </xf>
    <xf numFmtId="177" fontId="2" fillId="0" borderId="0" xfId="2" applyNumberFormat="1" applyFont="1"/>
    <xf numFmtId="0" fontId="5" fillId="2" borderId="4" xfId="3" applyFont="1" applyFill="1" applyBorder="1" applyAlignment="1">
      <alignment horizontal="left"/>
    </xf>
    <xf numFmtId="0" fontId="10" fillId="8" borderId="28" xfId="3" applyFont="1" applyFill="1" applyBorder="1" applyAlignment="1">
      <alignment horizontal="center"/>
    </xf>
    <xf numFmtId="0" fontId="10" fillId="8" borderId="35" xfId="3" applyFont="1" applyFill="1" applyBorder="1" applyAlignment="1">
      <alignment horizontal="center"/>
    </xf>
    <xf numFmtId="0" fontId="10" fillId="0" borderId="27" xfId="1" applyFont="1" applyBorder="1" applyAlignment="1"/>
    <xf numFmtId="0" fontId="10" fillId="8" borderId="27" xfId="3" applyFont="1" applyFill="1" applyBorder="1" applyAlignment="1">
      <alignment horizontal="center"/>
    </xf>
    <xf numFmtId="0" fontId="3" fillId="4" borderId="12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28" xfId="1" applyFont="1" applyFill="1" applyBorder="1" applyAlignment="1">
      <alignment horizontal="center" vertical="center" wrapText="1"/>
    </xf>
    <xf numFmtId="0" fontId="3" fillId="4" borderId="27" xfId="1" applyFont="1" applyFill="1" applyBorder="1" applyAlignment="1">
      <alignment horizontal="center" vertical="center" wrapText="1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1"/>
  <sheetViews>
    <sheetView tabSelected="1" workbookViewId="0">
      <selection activeCell="D11" sqref="D11"/>
    </sheetView>
  </sheetViews>
  <sheetFormatPr defaultColWidth="8" defaultRowHeight="11.25" x14ac:dyDescent="0.2"/>
  <cols>
    <col min="1" max="2" width="2.7109375" style="178" customWidth="1"/>
    <col min="3" max="3" width="18" style="178" bestFit="1" customWidth="1"/>
    <col min="4" max="4" width="25" style="178" customWidth="1"/>
    <col min="5" max="5" width="22" style="178" bestFit="1" customWidth="1"/>
    <col min="6" max="7" width="2.7109375" style="178" customWidth="1"/>
    <col min="8" max="8" width="4" style="178" bestFit="1" customWidth="1"/>
    <col min="9" max="9" width="3.28515625" style="178" bestFit="1" customWidth="1"/>
    <col min="10" max="11" width="2.7109375" style="178" customWidth="1"/>
    <col min="12" max="12" width="18.5703125" style="178" bestFit="1" customWidth="1"/>
    <col min="13" max="13" width="53.7109375" style="178" bestFit="1" customWidth="1"/>
    <col min="14" max="14" width="2.7109375" style="178" customWidth="1"/>
    <col min="15" max="16384" width="8" style="178"/>
  </cols>
  <sheetData>
    <row r="1" spans="2:14" ht="12" thickBot="1" x14ac:dyDescent="0.25">
      <c r="B1" s="178" t="str">
        <f>_xll.qlxlVersion(TRUE,Trigger)</f>
        <v>QuantLibXL 1.4.0 - MS VC++ 9.0 - Multithreaded Dynamic Runtime library - Release Configuration - Apr 29 2014 14:47:17</v>
      </c>
    </row>
    <row r="2" spans="2:14" ht="18.75" thickBot="1" x14ac:dyDescent="0.3">
      <c r="B2" s="190" t="s">
        <v>138</v>
      </c>
      <c r="C2" s="191"/>
      <c r="D2" s="191"/>
      <c r="E2" s="191"/>
      <c r="F2" s="192"/>
      <c r="K2" s="190" t="s">
        <v>150</v>
      </c>
      <c r="L2" s="191"/>
      <c r="M2" s="191"/>
      <c r="N2" s="193"/>
    </row>
    <row r="3" spans="2:14" ht="12" thickBot="1" x14ac:dyDescent="0.25">
      <c r="B3" s="59"/>
      <c r="C3" s="89"/>
      <c r="D3" s="57"/>
      <c r="E3" s="57"/>
      <c r="F3" s="56"/>
      <c r="K3" s="133"/>
      <c r="L3" s="136"/>
      <c r="M3" s="136"/>
      <c r="N3" s="135"/>
    </row>
    <row r="4" spans="2:14" x14ac:dyDescent="0.2">
      <c r="B4" s="59"/>
      <c r="C4" s="88" t="s">
        <v>137</v>
      </c>
      <c r="D4" s="74" t="s">
        <v>125</v>
      </c>
      <c r="E4" s="57"/>
      <c r="F4" s="56"/>
      <c r="H4" s="180" t="s">
        <v>136</v>
      </c>
      <c r="I4" s="181"/>
      <c r="K4" s="133"/>
      <c r="L4" s="132" t="s">
        <v>149</v>
      </c>
      <c r="M4" s="126" t="b">
        <v>0</v>
      </c>
      <c r="N4" s="131"/>
    </row>
    <row r="5" spans="2:14" x14ac:dyDescent="0.2">
      <c r="B5" s="59"/>
      <c r="C5" s="86" t="s">
        <v>135</v>
      </c>
      <c r="D5" s="60"/>
      <c r="E5" s="57"/>
      <c r="F5" s="56"/>
      <c r="H5" s="182" t="s">
        <v>134</v>
      </c>
      <c r="I5" s="183" t="s">
        <v>133</v>
      </c>
      <c r="K5" s="133"/>
      <c r="L5" s="132" t="s">
        <v>148</v>
      </c>
      <c r="M5" s="134"/>
      <c r="N5" s="131"/>
    </row>
    <row r="6" spans="2:14" x14ac:dyDescent="0.2">
      <c r="B6" s="59"/>
      <c r="C6" s="86" t="s">
        <v>132</v>
      </c>
      <c r="D6" s="60" t="s">
        <v>131</v>
      </c>
      <c r="E6" s="57"/>
      <c r="F6" s="56"/>
      <c r="H6" s="182" t="s">
        <v>130</v>
      </c>
      <c r="I6" s="183"/>
      <c r="K6" s="133"/>
      <c r="L6" s="132" t="s">
        <v>147</v>
      </c>
      <c r="M6" s="123" t="b">
        <v>1</v>
      </c>
      <c r="N6" s="131"/>
    </row>
    <row r="7" spans="2:14" ht="12" thickBot="1" x14ac:dyDescent="0.25">
      <c r="B7" s="59"/>
      <c r="C7" s="86" t="s">
        <v>129</v>
      </c>
      <c r="D7" s="60" t="s">
        <v>73</v>
      </c>
      <c r="E7" s="57"/>
      <c r="F7" s="56"/>
      <c r="H7" s="182" t="s">
        <v>128</v>
      </c>
      <c r="I7" s="183"/>
      <c r="K7" s="130"/>
      <c r="L7" s="129"/>
      <c r="M7" s="129"/>
      <c r="N7" s="128"/>
    </row>
    <row r="8" spans="2:14" ht="12" thickBot="1" x14ac:dyDescent="0.25">
      <c r="B8" s="59"/>
      <c r="C8" s="86" t="s">
        <v>127</v>
      </c>
      <c r="D8" s="87" t="s">
        <v>126</v>
      </c>
      <c r="E8" s="57"/>
      <c r="F8" s="56"/>
      <c r="H8" s="184" t="s">
        <v>125</v>
      </c>
      <c r="I8" s="185" t="s">
        <v>124</v>
      </c>
      <c r="K8" s="179"/>
      <c r="L8" s="179"/>
      <c r="M8" s="179"/>
      <c r="N8" s="179"/>
    </row>
    <row r="9" spans="2:14" ht="18.75" thickBot="1" x14ac:dyDescent="0.3">
      <c r="B9" s="59"/>
      <c r="C9" s="86" t="s">
        <v>123</v>
      </c>
      <c r="D9" s="60" t="str">
        <f>Currency&amp;"_YC"&amp;IndexTenor&amp;"RH"</f>
        <v>USD_YCONRH</v>
      </c>
      <c r="E9" s="57"/>
      <c r="F9" s="56"/>
      <c r="K9" s="190" t="s">
        <v>146</v>
      </c>
      <c r="L9" s="191"/>
      <c r="M9" s="191"/>
      <c r="N9" s="193"/>
    </row>
    <row r="10" spans="2:14" ht="12.75" x14ac:dyDescent="0.2">
      <c r="B10" s="59"/>
      <c r="C10" s="85" t="s">
        <v>122</v>
      </c>
      <c r="D10" s="60" t="b">
        <v>1</v>
      </c>
      <c r="E10" s="57"/>
      <c r="F10" s="56"/>
      <c r="K10" s="125"/>
      <c r="L10" s="127"/>
      <c r="M10" s="127"/>
      <c r="N10" s="122"/>
    </row>
    <row r="11" spans="2:14" ht="12.75" x14ac:dyDescent="0.2">
      <c r="B11" s="59"/>
      <c r="C11" s="85" t="s">
        <v>121</v>
      </c>
      <c r="D11" s="84"/>
      <c r="E11" s="57"/>
      <c r="F11" s="56"/>
      <c r="K11" s="125"/>
      <c r="L11" s="124" t="s">
        <v>145</v>
      </c>
      <c r="M11" s="126" t="s">
        <v>144</v>
      </c>
      <c r="N11" s="122"/>
    </row>
    <row r="12" spans="2:14" ht="12.75" x14ac:dyDescent="0.2">
      <c r="B12" s="59"/>
      <c r="C12" s="83" t="s">
        <v>120</v>
      </c>
      <c r="D12" s="82" t="b">
        <v>0</v>
      </c>
      <c r="E12" s="57"/>
      <c r="F12" s="56"/>
      <c r="K12" s="125"/>
      <c r="L12" s="124" t="s">
        <v>143</v>
      </c>
      <c r="M12" s="123" t="s">
        <v>142</v>
      </c>
      <c r="N12" s="122"/>
    </row>
    <row r="13" spans="2:14" ht="12.75" x14ac:dyDescent="0.2">
      <c r="B13" s="59"/>
      <c r="C13" s="64"/>
      <c r="D13" s="64"/>
      <c r="E13" s="57"/>
      <c r="F13" s="56"/>
      <c r="K13" s="125"/>
      <c r="L13" s="124" t="s">
        <v>169</v>
      </c>
      <c r="M13" s="126" t="str">
        <f>PROPER(Currency)&amp;"YC"</f>
        <v>UsdYC</v>
      </c>
      <c r="N13" s="122"/>
    </row>
    <row r="14" spans="2:14" ht="12.75" x14ac:dyDescent="0.2">
      <c r="B14" s="59"/>
      <c r="C14" s="79" t="s">
        <v>119</v>
      </c>
      <c r="D14" s="81" t="str">
        <f>_xll.qlPiecewiseYieldCurve(D16,NDays,Calendar,RateHelpersSelected,DayCounter,,,Accuracy,TraitsID,InterpolatorID,Permanent,,ObjectOverwrite)</f>
        <v>_USDYCON#0001</v>
      </c>
      <c r="E14" s="57" t="s">
        <v>173</v>
      </c>
      <c r="F14" s="56"/>
      <c r="K14" s="125"/>
      <c r="L14" s="124" t="s">
        <v>168</v>
      </c>
      <c r="M14" s="126" t="str">
        <f>PROPER(Currency)&amp;"YCSTD"</f>
        <v>UsdYCSTD</v>
      </c>
      <c r="N14" s="122"/>
    </row>
    <row r="15" spans="2:14" ht="13.5" thickBot="1" x14ac:dyDescent="0.25">
      <c r="B15" s="59"/>
      <c r="C15" s="66" t="s">
        <v>98</v>
      </c>
      <c r="D15" s="80" t="str">
        <f>_xll.ohRangeRetrieveError(YieldCurve)</f>
        <v/>
      </c>
      <c r="E15" s="57" t="s">
        <v>115</v>
      </c>
      <c r="F15" s="56"/>
      <c r="K15" s="121"/>
      <c r="L15" s="120"/>
      <c r="M15" s="120"/>
      <c r="N15" s="119"/>
    </row>
    <row r="16" spans="2:14" x14ac:dyDescent="0.2">
      <c r="B16" s="59"/>
      <c r="C16" s="79" t="s">
        <v>118</v>
      </c>
      <c r="D16" s="78" t="str">
        <f>"_"&amp;Currency&amp;"YC"&amp;IndexTenor</f>
        <v>_USDYCON</v>
      </c>
      <c r="E16" s="57" t="s">
        <v>172</v>
      </c>
      <c r="F16" s="56"/>
    </row>
    <row r="17" spans="2:6" x14ac:dyDescent="0.2">
      <c r="B17" s="59"/>
      <c r="C17" s="68" t="s">
        <v>117</v>
      </c>
      <c r="D17" s="77">
        <v>0</v>
      </c>
      <c r="E17" s="57"/>
      <c r="F17" s="56"/>
    </row>
    <row r="18" spans="2:6" x14ac:dyDescent="0.2">
      <c r="B18" s="59"/>
      <c r="C18" s="68" t="s">
        <v>116</v>
      </c>
      <c r="D18" s="189" t="str">
        <f>E14&amp;"("&amp;E15&amp;","&amp;E16&amp;")"</f>
        <v>JoinHolidays(UnitedKingdom::Exchange,UnitedStates::Settlement)</v>
      </c>
      <c r="E18" s="57" t="str">
        <f>_xll.qlIndexFixingCalendar("USDFEDFUNDS")</f>
        <v>JoinHolidays(London stock exchange, US settlement)</v>
      </c>
      <c r="F18" s="56"/>
    </row>
    <row r="19" spans="2:6" x14ac:dyDescent="0.2">
      <c r="B19" s="59"/>
      <c r="C19" s="68" t="s">
        <v>114</v>
      </c>
      <c r="D19" s="76"/>
      <c r="E19" s="57"/>
      <c r="F19" s="56"/>
    </row>
    <row r="20" spans="2:6" x14ac:dyDescent="0.2">
      <c r="B20" s="59"/>
      <c r="C20" s="68" t="s">
        <v>113</v>
      </c>
      <c r="D20" s="75"/>
      <c r="E20" s="74"/>
      <c r="F20" s="56"/>
    </row>
    <row r="21" spans="2:6" x14ac:dyDescent="0.2">
      <c r="B21" s="59"/>
      <c r="C21" s="68" t="s">
        <v>112</v>
      </c>
      <c r="D21" s="73">
        <f>DATE(YEAR(_xll.qlCalendarAdvance(Calendar,_xll.qlSettingsEvaluationDate(Trigger),NDays&amp;"D")),12,31)</f>
        <v>42004</v>
      </c>
      <c r="E21" s="72">
        <f>DATE(YEAR(D21+1),12,31)</f>
        <v>42369</v>
      </c>
      <c r="F21" s="56"/>
    </row>
    <row r="22" spans="2:6" x14ac:dyDescent="0.2">
      <c r="B22" s="59"/>
      <c r="C22" s="68" t="s">
        <v>111</v>
      </c>
      <c r="D22" s="71" t="e">
        <f>NA()</f>
        <v>#N/A</v>
      </c>
      <c r="E22" s="70" t="e">
        <f>NA()</f>
        <v>#N/A</v>
      </c>
      <c r="F22" s="56"/>
    </row>
    <row r="23" spans="2:6" x14ac:dyDescent="0.2">
      <c r="B23" s="59"/>
      <c r="C23" s="68" t="s">
        <v>110</v>
      </c>
      <c r="D23" s="69"/>
      <c r="E23" s="57"/>
      <c r="F23" s="56"/>
    </row>
    <row r="24" spans="2:6" x14ac:dyDescent="0.2">
      <c r="B24" s="59"/>
      <c r="C24" s="68" t="s">
        <v>109</v>
      </c>
      <c r="D24" s="67" t="s">
        <v>108</v>
      </c>
      <c r="E24" s="57"/>
      <c r="F24" s="56"/>
    </row>
    <row r="25" spans="2:6" x14ac:dyDescent="0.2">
      <c r="B25" s="59"/>
      <c r="C25" s="66" t="s">
        <v>107</v>
      </c>
      <c r="D25" s="65" t="s">
        <v>171</v>
      </c>
      <c r="E25" s="57"/>
      <c r="F25" s="56"/>
    </row>
    <row r="26" spans="2:6" x14ac:dyDescent="0.2">
      <c r="B26" s="59"/>
      <c r="C26" s="64"/>
      <c r="D26" s="64"/>
      <c r="E26" s="57"/>
      <c r="F26" s="56"/>
    </row>
    <row r="27" spans="2:6" x14ac:dyDescent="0.2">
      <c r="B27" s="59"/>
      <c r="C27" s="63">
        <f>_xll.qlTermStructureReferenceDate(YieldCurve)</f>
        <v>41765</v>
      </c>
      <c r="D27" s="62">
        <f>MAX(_xll.ohPack(Selected!I1:I126))</f>
        <v>1</v>
      </c>
      <c r="E27" s="57"/>
      <c r="F27" s="56"/>
    </row>
    <row r="28" spans="2:6" x14ac:dyDescent="0.2">
      <c r="B28" s="59"/>
      <c r="C28" s="61">
        <f>MAX(_xll.ohPack(Selected!H2:H126))</f>
        <v>60030</v>
      </c>
      <c r="D28" s="60">
        <f>MIN(_xll.ohPack(Selected!I1:I126))</f>
        <v>0.20227181710883627</v>
      </c>
      <c r="E28" s="57"/>
      <c r="F28" s="56"/>
    </row>
    <row r="29" spans="2:6" x14ac:dyDescent="0.2">
      <c r="B29" s="59"/>
      <c r="C29" s="186" t="s">
        <v>98</v>
      </c>
      <c r="D29" s="187" t="str">
        <f>_xll.ohRangeRetrieveError(Selected!I1)</f>
        <v/>
      </c>
      <c r="E29" s="57"/>
      <c r="F29" s="56"/>
    </row>
    <row r="30" spans="2:6" ht="11.25" customHeight="1" x14ac:dyDescent="0.2">
      <c r="B30" s="59"/>
      <c r="C30" s="58" t="str">
        <f>Currency&amp;"ON"</f>
        <v>USDON</v>
      </c>
      <c r="D30" s="82" t="b">
        <f>_xll.qlRelinkableHandleLinkTo(C30,YieldCurve)</f>
        <v>1</v>
      </c>
      <c r="E30" s="57"/>
      <c r="F30" s="56"/>
    </row>
    <row r="31" spans="2:6" ht="12" thickBot="1" x14ac:dyDescent="0.25">
      <c r="B31" s="55"/>
      <c r="C31" s="54"/>
      <c r="D31" s="53" t="b">
        <f>_xll.qlExtrapolatorEnableExtrapolation(YieldCurve,TRUE)</f>
        <v>1</v>
      </c>
      <c r="E31" s="53"/>
      <c r="F31" s="52"/>
    </row>
  </sheetData>
  <mergeCells count="3">
    <mergeCell ref="B2:F2"/>
    <mergeCell ref="K2:N2"/>
    <mergeCell ref="K9:N9"/>
  </mergeCells>
  <dataValidations count="7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E15:E16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E14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25"/>
  <sheetViews>
    <sheetView topLeftCell="D65" workbookViewId="0">
      <selection activeCell="F88" sqref="F88"/>
    </sheetView>
  </sheetViews>
  <sheetFormatPr defaultRowHeight="11.25" outlineLevelRow="1" outlineLevelCol="1" x14ac:dyDescent="0.2"/>
  <cols>
    <col min="1" max="1" width="5.7109375" style="1" hidden="1" customWidth="1" outlineLevel="1"/>
    <col min="2" max="2" width="4.140625" style="2" hidden="1" customWidth="1" outlineLevel="1"/>
    <col min="3" max="3" width="8.42578125" style="2" hidden="1" customWidth="1" outlineLevel="1"/>
    <col min="4" max="4" width="13.28515625" style="2" bestFit="1" customWidth="1" collapsed="1"/>
    <col min="5" max="5" width="22.7109375" style="2" bestFit="1" customWidth="1"/>
    <col min="6" max="6" width="8" style="2" bestFit="1" customWidth="1"/>
    <col min="7" max="7" width="11" style="2" bestFit="1" customWidth="1"/>
    <col min="8" max="8" width="8" style="2" bestFit="1" customWidth="1"/>
    <col min="9" max="9" width="8.85546875" style="2" customWidth="1"/>
    <col min="10" max="10" width="9" style="2" bestFit="1" customWidth="1"/>
    <col min="11" max="12" width="17.28515625" style="2" bestFit="1" customWidth="1"/>
    <col min="13" max="13" width="2.7109375" style="1" bestFit="1" customWidth="1"/>
    <col min="14" max="14" width="17.28515625" style="1" bestFit="1" customWidth="1"/>
    <col min="15" max="16384" width="9.140625" style="1"/>
  </cols>
  <sheetData>
    <row r="1" spans="1:14" ht="22.5" x14ac:dyDescent="0.2">
      <c r="B1" s="194" t="s">
        <v>97</v>
      </c>
      <c r="C1" s="195"/>
      <c r="D1" s="196"/>
      <c r="E1" s="32" t="s">
        <v>96</v>
      </c>
      <c r="F1" s="32" t="s">
        <v>95</v>
      </c>
      <c r="G1" s="32" t="s">
        <v>94</v>
      </c>
      <c r="H1" s="32" t="s">
        <v>93</v>
      </c>
      <c r="I1" s="32" t="s">
        <v>92</v>
      </c>
      <c r="J1" s="32" t="s">
        <v>91</v>
      </c>
      <c r="K1" s="32" t="s">
        <v>90</v>
      </c>
      <c r="L1" s="32" t="s">
        <v>89</v>
      </c>
    </row>
    <row r="2" spans="1:14" ht="11.25" customHeight="1" x14ac:dyDescent="0.2">
      <c r="B2" s="31"/>
      <c r="C2" s="15"/>
      <c r="D2" s="14" t="s">
        <v>88</v>
      </c>
      <c r="E2" s="14" t="str">
        <f>ON_Deposits!F3</f>
        <v>USD_YCONRH_OND#0001</v>
      </c>
      <c r="F2" s="13">
        <f>_xll.qlRateHelperQuoteValue($E2,Trigger)</f>
        <v>1.5000000000000002E-3</v>
      </c>
      <c r="G2" s="13"/>
      <c r="H2" s="177" t="b">
        <v>1</v>
      </c>
      <c r="I2" s="6">
        <v>70</v>
      </c>
      <c r="J2" s="6">
        <v>1</v>
      </c>
      <c r="K2" s="12">
        <f>_xll.qlRateHelperEarliestDate($E2,Trigger)</f>
        <v>41765</v>
      </c>
      <c r="L2" s="11">
        <f>_xll.qlRateHelperLatestDate($E2,Trigger)</f>
        <v>41766</v>
      </c>
    </row>
    <row r="3" spans="1:14" x14ac:dyDescent="0.2">
      <c r="B3" s="31"/>
      <c r="C3" s="15"/>
      <c r="D3" s="14" t="s">
        <v>87</v>
      </c>
      <c r="E3" s="14" t="str">
        <f>ON_FRAs!H3</f>
        <v>USD_YCONRH_TND#0001</v>
      </c>
      <c r="F3" s="13">
        <f>_xll.qlRateHelperQuoteValue($E3,Trigger)</f>
        <v>1.5000000000000002E-3</v>
      </c>
      <c r="G3" s="13"/>
      <c r="H3" s="177" t="b">
        <v>1</v>
      </c>
      <c r="I3" s="6">
        <v>70</v>
      </c>
      <c r="J3" s="6">
        <v>1</v>
      </c>
      <c r="K3" s="12">
        <f>_xll.qlRateHelperEarliestDate($E3,Trigger)</f>
        <v>41766</v>
      </c>
      <c r="L3" s="11">
        <f>_xll.qlRateHelperLatestDate($E3,Trigger)</f>
        <v>41767</v>
      </c>
    </row>
    <row r="4" spans="1:14" x14ac:dyDescent="0.2">
      <c r="B4" s="31"/>
      <c r="C4" s="15"/>
      <c r="D4" s="14" t="s">
        <v>86</v>
      </c>
      <c r="E4" s="14" t="str">
        <f>ON_FRAs!H4</f>
        <v>USD_YCONRH_SND#0001</v>
      </c>
      <c r="F4" s="13">
        <f>_xll.qlRateHelperQuoteValue($E4,Trigger)</f>
        <v>1.5000000000000002E-3</v>
      </c>
      <c r="G4" s="13"/>
      <c r="H4" s="6" t="b">
        <v>0</v>
      </c>
      <c r="I4" s="6">
        <v>70</v>
      </c>
      <c r="J4" s="6">
        <v>1</v>
      </c>
      <c r="K4" s="12">
        <f>_xll.qlRateHelperEarliestDate($E4,Trigger)</f>
        <v>41767</v>
      </c>
      <c r="L4" s="11">
        <f>_xll.qlRateHelperLatestDate($E4,Trigger)</f>
        <v>41768</v>
      </c>
    </row>
    <row r="5" spans="1:14" hidden="1" outlineLevel="1" x14ac:dyDescent="0.2">
      <c r="B5" s="31"/>
      <c r="C5" s="15"/>
      <c r="D5" s="14" t="s">
        <v>85</v>
      </c>
      <c r="E5" s="14" t="str">
        <f t="shared" ref="E5:E33" si="0">RateHelperPrefix&amp;"_"&amp;$B5&amp;$C5&amp;$D5</f>
        <v>USD_YCONRH_SWD</v>
      </c>
      <c r="F5" s="13" t="e">
        <f>_xll.qlRateHelperQuoteValue($E5,Trigger)</f>
        <v>#NUM!</v>
      </c>
      <c r="G5" s="13"/>
      <c r="H5" s="6" t="b">
        <v>0</v>
      </c>
      <c r="I5" s="6">
        <v>70</v>
      </c>
      <c r="J5" s="6">
        <v>1</v>
      </c>
      <c r="K5" s="12" t="e">
        <f>_xll.qlRateHelperEarliestDate($E5,Trigger)</f>
        <v>#NUM!</v>
      </c>
      <c r="L5" s="11" t="e">
        <f>_xll.qlRateHelperLatestDate($E5,Trigger)</f>
        <v>#NUM!</v>
      </c>
    </row>
    <row r="6" spans="1:14" hidden="1" outlineLevel="1" x14ac:dyDescent="0.2">
      <c r="B6" s="31"/>
      <c r="C6" s="15"/>
      <c r="D6" s="14" t="s">
        <v>84</v>
      </c>
      <c r="E6" s="14" t="str">
        <f t="shared" si="0"/>
        <v>USD_YCONRH_2WD</v>
      </c>
      <c r="F6" s="13" t="e">
        <f>_xll.qlRateHelperQuoteValue($E6,Trigger)</f>
        <v>#NUM!</v>
      </c>
      <c r="G6" s="13"/>
      <c r="H6" s="6" t="b">
        <v>0</v>
      </c>
      <c r="I6" s="6">
        <v>70</v>
      </c>
      <c r="J6" s="6">
        <v>1</v>
      </c>
      <c r="K6" s="12" t="e">
        <f>_xll.qlRateHelperEarliestDate($E6,Trigger)</f>
        <v>#NUM!</v>
      </c>
      <c r="L6" s="11" t="e">
        <f>_xll.qlRateHelperLatestDate($E6,Trigger)</f>
        <v>#NUM!</v>
      </c>
    </row>
    <row r="7" spans="1:14" hidden="1" outlineLevel="1" x14ac:dyDescent="0.2">
      <c r="B7" s="31"/>
      <c r="C7" s="15"/>
      <c r="D7" s="14" t="s">
        <v>83</v>
      </c>
      <c r="E7" s="14" t="str">
        <f t="shared" si="0"/>
        <v>USD_YCONRH_3WD</v>
      </c>
      <c r="F7" s="13" t="e">
        <f>_xll.qlRateHelperQuoteValue($E7,Trigger)</f>
        <v>#NUM!</v>
      </c>
      <c r="G7" s="13"/>
      <c r="H7" s="6" t="b">
        <v>0</v>
      </c>
      <c r="I7" s="6">
        <v>70</v>
      </c>
      <c r="J7" s="6">
        <v>1</v>
      </c>
      <c r="K7" s="12" t="e">
        <f>_xll.qlRateHelperEarliestDate($E7,Trigger)</f>
        <v>#NUM!</v>
      </c>
      <c r="L7" s="11" t="e">
        <f>_xll.qlRateHelperLatestDate($E7,Trigger)</f>
        <v>#NUM!</v>
      </c>
    </row>
    <row r="8" spans="1:14" hidden="1" outlineLevel="1" x14ac:dyDescent="0.2">
      <c r="B8" s="31"/>
      <c r="C8" s="15"/>
      <c r="D8" s="14" t="s">
        <v>82</v>
      </c>
      <c r="E8" s="14" t="str">
        <f t="shared" si="0"/>
        <v>USD_YCONRH_1MD</v>
      </c>
      <c r="F8" s="13" t="e">
        <f>_xll.qlRateHelperQuoteValue($E8,Trigger)</f>
        <v>#NUM!</v>
      </c>
      <c r="G8" s="13"/>
      <c r="H8" s="6" t="b">
        <v>0</v>
      </c>
      <c r="I8" s="6">
        <v>70</v>
      </c>
      <c r="J8" s="6">
        <v>1</v>
      </c>
      <c r="K8" s="12" t="e">
        <f>_xll.qlRateHelperEarliestDate($E8,Trigger)</f>
        <v>#NUM!</v>
      </c>
      <c r="L8" s="11" t="e">
        <f>_xll.qlRateHelperLatestDate($E8,Trigger)</f>
        <v>#NUM!</v>
      </c>
    </row>
    <row r="9" spans="1:14" hidden="1" outlineLevel="1" x14ac:dyDescent="0.2">
      <c r="B9" s="31"/>
      <c r="C9" s="15"/>
      <c r="D9" s="14" t="s">
        <v>81</v>
      </c>
      <c r="E9" s="14" t="str">
        <f t="shared" si="0"/>
        <v>USD_YCONRH_2MD</v>
      </c>
      <c r="F9" s="13" t="e">
        <f>_xll.qlRateHelperQuoteValue($E9,Trigger)</f>
        <v>#NUM!</v>
      </c>
      <c r="G9" s="13"/>
      <c r="H9" s="6" t="b">
        <v>0</v>
      </c>
      <c r="I9" s="6">
        <v>70</v>
      </c>
      <c r="J9" s="6">
        <v>1</v>
      </c>
      <c r="K9" s="12" t="e">
        <f>_xll.qlRateHelperEarliestDate($E9,Trigger)</f>
        <v>#NUM!</v>
      </c>
      <c r="L9" s="11" t="e">
        <f>_xll.qlRateHelperLatestDate($E9,Trigger)</f>
        <v>#NUM!</v>
      </c>
    </row>
    <row r="10" spans="1:14" hidden="1" outlineLevel="1" x14ac:dyDescent="0.2">
      <c r="B10" s="31"/>
      <c r="C10" s="15"/>
      <c r="D10" s="14" t="s">
        <v>80</v>
      </c>
      <c r="E10" s="14" t="str">
        <f t="shared" si="0"/>
        <v>USD_YCONRH_3MD</v>
      </c>
      <c r="F10" s="13" t="e">
        <f>_xll.qlRateHelperQuoteValue($E10,Trigger)</f>
        <v>#NUM!</v>
      </c>
      <c r="G10" s="13"/>
      <c r="H10" s="6" t="b">
        <v>0</v>
      </c>
      <c r="I10" s="6">
        <v>70</v>
      </c>
      <c r="J10" s="6">
        <v>1</v>
      </c>
      <c r="K10" s="12" t="e">
        <f>_xll.qlRateHelperEarliestDate($E10,Trigger)</f>
        <v>#NUM!</v>
      </c>
      <c r="L10" s="11" t="e">
        <f>_xll.qlRateHelperLatestDate($E10,Trigger)</f>
        <v>#NUM!</v>
      </c>
    </row>
    <row r="11" spans="1:14" hidden="1" outlineLevel="1" x14ac:dyDescent="0.2">
      <c r="B11" s="31"/>
      <c r="C11" s="15"/>
      <c r="D11" s="14" t="s">
        <v>79</v>
      </c>
      <c r="E11" s="14" t="str">
        <f t="shared" si="0"/>
        <v>USD_YCONRH_4MD</v>
      </c>
      <c r="F11" s="13" t="e">
        <f>_xll.qlRateHelperQuoteValue($E11,Trigger)</f>
        <v>#NUM!</v>
      </c>
      <c r="G11" s="13"/>
      <c r="H11" s="6" t="b">
        <v>0</v>
      </c>
      <c r="I11" s="6">
        <v>70</v>
      </c>
      <c r="J11" s="6">
        <v>1</v>
      </c>
      <c r="K11" s="12" t="e">
        <f>_xll.qlRateHelperEarliestDate($E11,Trigger)</f>
        <v>#NUM!</v>
      </c>
      <c r="L11" s="11" t="e">
        <f>_xll.qlRateHelperLatestDate($E11,Trigger)</f>
        <v>#NUM!</v>
      </c>
    </row>
    <row r="12" spans="1:14" hidden="1" outlineLevel="1" x14ac:dyDescent="0.2">
      <c r="B12" s="31"/>
      <c r="C12" s="15"/>
      <c r="D12" s="14" t="s">
        <v>78</v>
      </c>
      <c r="E12" s="14" t="str">
        <f t="shared" si="0"/>
        <v>USD_YCONRH_5MD</v>
      </c>
      <c r="F12" s="13" t="e">
        <f>_xll.qlRateHelperQuoteValue($E12,Trigger)</f>
        <v>#NUM!</v>
      </c>
      <c r="G12" s="13"/>
      <c r="H12" s="6" t="b">
        <v>0</v>
      </c>
      <c r="I12" s="6">
        <v>70</v>
      </c>
      <c r="J12" s="6">
        <v>1</v>
      </c>
      <c r="K12" s="12" t="e">
        <f>_xll.qlRateHelperEarliestDate($E12,Trigger)</f>
        <v>#NUM!</v>
      </c>
      <c r="L12" s="11" t="e">
        <f>_xll.qlRateHelperLatestDate($E12,Trigger)</f>
        <v>#NUM!</v>
      </c>
    </row>
    <row r="13" spans="1:14" hidden="1" outlineLevel="1" x14ac:dyDescent="0.2">
      <c r="B13" s="31"/>
      <c r="C13" s="15"/>
      <c r="D13" s="14" t="s">
        <v>77</v>
      </c>
      <c r="E13" s="14" t="str">
        <f t="shared" si="0"/>
        <v>USD_YCONRH_6MD</v>
      </c>
      <c r="F13" s="13" t="e">
        <f>_xll.qlRateHelperQuoteValue($E13,Trigger)</f>
        <v>#NUM!</v>
      </c>
      <c r="G13" s="13"/>
      <c r="H13" s="6" t="b">
        <v>0</v>
      </c>
      <c r="I13" s="6">
        <v>70</v>
      </c>
      <c r="J13" s="6">
        <v>1</v>
      </c>
      <c r="K13" s="12" t="e">
        <f>_xll.qlRateHelperEarliestDate($E13,Trigger)</f>
        <v>#NUM!</v>
      </c>
      <c r="L13" s="11" t="e">
        <f>_xll.qlRateHelperLatestDate($E13,Trigger)</f>
        <v>#NUM!</v>
      </c>
    </row>
    <row r="14" spans="1:14" hidden="1" outlineLevel="1" x14ac:dyDescent="0.2">
      <c r="B14" s="31"/>
      <c r="C14" s="15"/>
      <c r="D14" s="14" t="s">
        <v>76</v>
      </c>
      <c r="E14" s="14" t="str">
        <f t="shared" si="0"/>
        <v>USD_YCONRH_9MD</v>
      </c>
      <c r="F14" s="13" t="e">
        <f>_xll.qlRateHelperQuoteValue($E14,Trigger)</f>
        <v>#NUM!</v>
      </c>
      <c r="G14" s="13"/>
      <c r="H14" s="6" t="b">
        <v>0</v>
      </c>
      <c r="I14" s="6">
        <v>70</v>
      </c>
      <c r="J14" s="6">
        <v>1</v>
      </c>
      <c r="K14" s="12" t="e">
        <f>_xll.qlRateHelperEarliestDate($E14,Trigger)</f>
        <v>#NUM!</v>
      </c>
      <c r="L14" s="11" t="e">
        <f>_xll.qlRateHelperLatestDate($E14,Trigger)</f>
        <v>#NUM!</v>
      </c>
    </row>
    <row r="15" spans="1:14" hidden="1" outlineLevel="1" x14ac:dyDescent="0.2">
      <c r="B15" s="30"/>
      <c r="C15" s="9"/>
      <c r="D15" s="8" t="s">
        <v>75</v>
      </c>
      <c r="E15" s="8" t="str">
        <f t="shared" si="0"/>
        <v>USD_YCONRH_1YD</v>
      </c>
      <c r="F15" s="7" t="e">
        <f>_xll.qlRateHelperQuoteValue($E15,Trigger)</f>
        <v>#NUM!</v>
      </c>
      <c r="G15" s="7"/>
      <c r="H15" s="5" t="b">
        <v>0</v>
      </c>
      <c r="I15" s="5">
        <v>70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1:14" ht="11.25" customHeight="1" collapsed="1" x14ac:dyDescent="0.2">
      <c r="A16" s="1" t="e">
        <f>_xll.qlECBNextDate(_xll.qlSettingsEvaluationDate(Trigger)+2)</f>
        <v>#NUM!</v>
      </c>
      <c r="B16" s="23" t="s">
        <v>74</v>
      </c>
      <c r="C16" s="22" t="s">
        <v>73</v>
      </c>
      <c r="D16" s="29" t="e">
        <f>_xll.qlECBcode(A16)</f>
        <v>#NUM!</v>
      </c>
      <c r="E16" s="21" t="e">
        <f t="shared" si="0"/>
        <v>#NUM!</v>
      </c>
      <c r="F16" s="20" t="e">
        <f>_xll.qlRateHelperQuoteValue($E16,Trigger)</f>
        <v>#VALUE!</v>
      </c>
      <c r="G16" s="20" t="e">
        <f>_xll.qlSwapRateHelperSpread($E16,Trigger)</f>
        <v>#VALUE!</v>
      </c>
      <c r="H16" s="19" t="b">
        <v>0</v>
      </c>
      <c r="I16" s="19">
        <v>70</v>
      </c>
      <c r="J16" s="19">
        <v>3</v>
      </c>
      <c r="K16" s="18" t="e">
        <f>_xll.qlRateHelperEarliestDate($E16,Trigger)</f>
        <v>#VALUE!</v>
      </c>
      <c r="L16" s="17" t="e">
        <f>_xll.qlRateHelperLatestDate($E16,Trigger)</f>
        <v>#VALUE!</v>
      </c>
      <c r="M16" s="28"/>
      <c r="N16" s="26">
        <f>MIN(_xll.ohFilter(K16:K27,H16:H27))</f>
        <v>0</v>
      </c>
    </row>
    <row r="17" spans="1:14" x14ac:dyDescent="0.2">
      <c r="A17" s="1" t="e">
        <f>_xll.qlECBNextDate(A16)</f>
        <v>#NUM!</v>
      </c>
      <c r="B17" s="16" t="s">
        <v>74</v>
      </c>
      <c r="C17" s="15" t="s">
        <v>73</v>
      </c>
      <c r="D17" s="25" t="e">
        <f>_xll.qlECBcode(A17)</f>
        <v>#NUM!</v>
      </c>
      <c r="E17" s="14" t="e">
        <f t="shared" si="0"/>
        <v>#NUM!</v>
      </c>
      <c r="F17" s="13" t="e">
        <f>_xll.qlRateHelperQuoteValue($E17,Trigger)</f>
        <v>#VALUE!</v>
      </c>
      <c r="G17" s="13" t="e">
        <f>_xll.qlSwapRateHelperSpread($E17,Trigger)</f>
        <v>#VALUE!</v>
      </c>
      <c r="H17" s="6" t="b">
        <v>0</v>
      </c>
      <c r="I17" s="6">
        <v>70</v>
      </c>
      <c r="J17" s="6">
        <v>5</v>
      </c>
      <c r="K17" s="12" t="e">
        <f>_xll.qlRateHelperEarliestDate($E17,Trigger)</f>
        <v>#VALUE!</v>
      </c>
      <c r="L17" s="11" t="e">
        <f>_xll.qlRateHelperLatestDate($E17,Trigger)</f>
        <v>#VALUE!</v>
      </c>
      <c r="M17" s="27"/>
      <c r="N17" s="26">
        <f>MAX(_xll.ohFilter(L16:L27,H16:H27))</f>
        <v>0</v>
      </c>
    </row>
    <row r="18" spans="1:14" x14ac:dyDescent="0.2">
      <c r="A18" s="1" t="e">
        <f>_xll.qlECBNextDate(A17)</f>
        <v>#NUM!</v>
      </c>
      <c r="B18" s="16" t="s">
        <v>74</v>
      </c>
      <c r="C18" s="15" t="s">
        <v>73</v>
      </c>
      <c r="D18" s="25" t="e">
        <f>_xll.qlECBcode(A18)</f>
        <v>#NUM!</v>
      </c>
      <c r="E18" s="14" t="e">
        <f t="shared" si="0"/>
        <v>#NUM!</v>
      </c>
      <c r="F18" s="13" t="e">
        <f>_xll.qlRateHelperQuoteValue($E18,Trigger)</f>
        <v>#VALUE!</v>
      </c>
      <c r="G18" s="13" t="e">
        <f>_xll.qlSwapRateHelperSpread($E18,Trigger)</f>
        <v>#VALUE!</v>
      </c>
      <c r="H18" s="6" t="b">
        <v>0</v>
      </c>
      <c r="I18" s="6">
        <v>70</v>
      </c>
      <c r="J18" s="6">
        <v>5</v>
      </c>
      <c r="K18" s="12" t="e">
        <f>_xll.qlRateHelperEarliestDate($E18,Trigger)</f>
        <v>#VALUE!</v>
      </c>
      <c r="L18" s="11" t="e">
        <f>_xll.qlRateHelperLatestDate($E18,Trigger)</f>
        <v>#VALUE!</v>
      </c>
    </row>
    <row r="19" spans="1:14" x14ac:dyDescent="0.2">
      <c r="A19" s="1" t="e">
        <f>_xll.qlECBNextDate(A18)</f>
        <v>#NUM!</v>
      </c>
      <c r="B19" s="16" t="s">
        <v>74</v>
      </c>
      <c r="C19" s="15" t="s">
        <v>73</v>
      </c>
      <c r="D19" s="25" t="e">
        <f>_xll.qlECBcode(A19)</f>
        <v>#NUM!</v>
      </c>
      <c r="E19" s="14" t="e">
        <f t="shared" si="0"/>
        <v>#NUM!</v>
      </c>
      <c r="F19" s="13" t="e">
        <f>_xll.qlRateHelperQuoteValue($E19,Trigger)</f>
        <v>#VALUE!</v>
      </c>
      <c r="G19" s="13" t="e">
        <f>_xll.qlSwapRateHelperSpread($E19,Trigger)</f>
        <v>#VALUE!</v>
      </c>
      <c r="H19" s="6" t="b">
        <v>0</v>
      </c>
      <c r="I19" s="6">
        <v>70</v>
      </c>
      <c r="J19" s="6">
        <v>5</v>
      </c>
      <c r="K19" s="12" t="e">
        <f>_xll.qlRateHelperEarliestDate($E19,Trigger)</f>
        <v>#VALUE!</v>
      </c>
      <c r="L19" s="11" t="e">
        <f>_xll.qlRateHelperLatestDate($E19,Trigger)</f>
        <v>#VALUE!</v>
      </c>
    </row>
    <row r="20" spans="1:14" x14ac:dyDescent="0.2">
      <c r="A20" s="1" t="e">
        <f>_xll.qlECBNextDate(A19)</f>
        <v>#NUM!</v>
      </c>
      <c r="B20" s="16" t="s">
        <v>74</v>
      </c>
      <c r="C20" s="15" t="s">
        <v>73</v>
      </c>
      <c r="D20" s="25" t="e">
        <f>_xll.qlECBcode(A20)</f>
        <v>#NUM!</v>
      </c>
      <c r="E20" s="14" t="e">
        <f t="shared" si="0"/>
        <v>#NUM!</v>
      </c>
      <c r="F20" s="13" t="e">
        <f>_xll.qlRateHelperQuoteValue($E20,Trigger)</f>
        <v>#VALUE!</v>
      </c>
      <c r="G20" s="13" t="e">
        <f>_xll.qlSwapRateHelperSpread($E20,Trigger)</f>
        <v>#VALUE!</v>
      </c>
      <c r="H20" s="6" t="b">
        <v>0</v>
      </c>
      <c r="I20" s="6">
        <v>70</v>
      </c>
      <c r="J20" s="6">
        <v>5</v>
      </c>
      <c r="K20" s="12" t="e">
        <f>_xll.qlRateHelperEarliestDate($E20,Trigger)</f>
        <v>#VALUE!</v>
      </c>
      <c r="L20" s="11" t="e">
        <f>_xll.qlRateHelperLatestDate($E20,Trigger)</f>
        <v>#VALUE!</v>
      </c>
    </row>
    <row r="21" spans="1:14" x14ac:dyDescent="0.2">
      <c r="A21" s="1" t="e">
        <f>_xll.qlECBNextDate(A20)</f>
        <v>#NUM!</v>
      </c>
      <c r="B21" s="16" t="s">
        <v>74</v>
      </c>
      <c r="C21" s="15" t="s">
        <v>73</v>
      </c>
      <c r="D21" s="25" t="e">
        <f>_xll.qlECBcode(A21)</f>
        <v>#NUM!</v>
      </c>
      <c r="E21" s="14" t="e">
        <f t="shared" si="0"/>
        <v>#NUM!</v>
      </c>
      <c r="F21" s="13" t="e">
        <f>_xll.qlRateHelperQuoteValue($E21,Trigger)</f>
        <v>#VALUE!</v>
      </c>
      <c r="G21" s="13" t="e">
        <f>_xll.qlSwapRateHelperSpread($E21,Trigger)</f>
        <v>#VALUE!</v>
      </c>
      <c r="H21" s="177" t="b">
        <v>0</v>
      </c>
      <c r="I21" s="6">
        <v>70</v>
      </c>
      <c r="J21" s="6">
        <v>5</v>
      </c>
      <c r="K21" s="12" t="e">
        <f>_xll.qlRateHelperEarliestDate($E21,Trigger)</f>
        <v>#VALUE!</v>
      </c>
      <c r="L21" s="11" t="e">
        <f>_xll.qlRateHelperLatestDate($E21,Trigger)</f>
        <v>#VALUE!</v>
      </c>
    </row>
    <row r="22" spans="1:14" x14ac:dyDescent="0.2">
      <c r="A22" s="1" t="e">
        <f>_xll.qlECBNextDate(A21)</f>
        <v>#NUM!</v>
      </c>
      <c r="B22" s="16" t="s">
        <v>74</v>
      </c>
      <c r="C22" s="15" t="s">
        <v>73</v>
      </c>
      <c r="D22" s="25" t="e">
        <f>_xll.qlECBcode(A22)</f>
        <v>#NUM!</v>
      </c>
      <c r="E22" s="14" t="e">
        <f t="shared" si="0"/>
        <v>#NUM!</v>
      </c>
      <c r="F22" s="13" t="e">
        <f>_xll.qlRateHelperQuoteValue($E22,Trigger)</f>
        <v>#VALUE!</v>
      </c>
      <c r="G22" s="13" t="e">
        <f>_xll.qlSwapRateHelperSpread($E22,Trigger)</f>
        <v>#VALUE!</v>
      </c>
      <c r="H22" s="6" t="b">
        <v>0</v>
      </c>
      <c r="I22" s="6">
        <v>70</v>
      </c>
      <c r="J22" s="6">
        <v>5</v>
      </c>
      <c r="K22" s="12" t="e">
        <f>_xll.qlRateHelperEarliestDate($E22,Trigger)</f>
        <v>#VALUE!</v>
      </c>
      <c r="L22" s="11" t="e">
        <f>_xll.qlRateHelperLatestDate($E22,Trigger)</f>
        <v>#VALUE!</v>
      </c>
    </row>
    <row r="23" spans="1:14" x14ac:dyDescent="0.2">
      <c r="A23" s="1" t="e">
        <f>_xll.qlECBNextDate(A22)</f>
        <v>#NUM!</v>
      </c>
      <c r="B23" s="16" t="s">
        <v>74</v>
      </c>
      <c r="C23" s="15" t="s">
        <v>73</v>
      </c>
      <c r="D23" s="25" t="e">
        <f>_xll.qlECBcode(A23)</f>
        <v>#NUM!</v>
      </c>
      <c r="E23" s="14" t="e">
        <f t="shared" si="0"/>
        <v>#NUM!</v>
      </c>
      <c r="F23" s="13" t="e">
        <f>_xll.qlRateHelperQuoteValue($E23,Trigger)</f>
        <v>#VALUE!</v>
      </c>
      <c r="G23" s="13" t="e">
        <f>_xll.qlSwapRateHelperSpread($E23,Trigger)</f>
        <v>#VALUE!</v>
      </c>
      <c r="H23" s="6" t="b">
        <v>0</v>
      </c>
      <c r="I23" s="6">
        <v>70</v>
      </c>
      <c r="J23" s="6">
        <v>5</v>
      </c>
      <c r="K23" s="12" t="e">
        <f>_xll.qlRateHelperEarliestDate($E23,Trigger)</f>
        <v>#VALUE!</v>
      </c>
      <c r="L23" s="11" t="e">
        <f>_xll.qlRateHelperLatestDate($E23,Trigger)</f>
        <v>#VALUE!</v>
      </c>
    </row>
    <row r="24" spans="1:14" x14ac:dyDescent="0.2">
      <c r="A24" s="1" t="e">
        <f>_xll.qlECBNextDate(A23)</f>
        <v>#NUM!</v>
      </c>
      <c r="B24" s="16" t="s">
        <v>74</v>
      </c>
      <c r="C24" s="15" t="s">
        <v>73</v>
      </c>
      <c r="D24" s="25" t="e">
        <f>_xll.qlECBcode(A24)</f>
        <v>#NUM!</v>
      </c>
      <c r="E24" s="14" t="e">
        <f t="shared" si="0"/>
        <v>#NUM!</v>
      </c>
      <c r="F24" s="13" t="e">
        <f>_xll.qlRateHelperQuoteValue($E24,Trigger)</f>
        <v>#VALUE!</v>
      </c>
      <c r="G24" s="13" t="e">
        <f>_xll.qlSwapRateHelperSpread($E24,Trigger)</f>
        <v>#VALUE!</v>
      </c>
      <c r="H24" s="6" t="b">
        <v>0</v>
      </c>
      <c r="I24" s="6">
        <v>70</v>
      </c>
      <c r="J24" s="6">
        <v>5</v>
      </c>
      <c r="K24" s="12" t="e">
        <f>_xll.qlRateHelperEarliestDate($E24,Trigger)</f>
        <v>#VALUE!</v>
      </c>
      <c r="L24" s="11" t="e">
        <f>_xll.qlRateHelperLatestDate($E24,Trigger)</f>
        <v>#VALUE!</v>
      </c>
    </row>
    <row r="25" spans="1:14" x14ac:dyDescent="0.2">
      <c r="A25" s="1" t="e">
        <f>_xll.qlECBNextDate(A24)</f>
        <v>#NUM!</v>
      </c>
      <c r="B25" s="16" t="s">
        <v>74</v>
      </c>
      <c r="C25" s="15" t="s">
        <v>73</v>
      </c>
      <c r="D25" s="25" t="e">
        <f>_xll.qlECBcode(A25)</f>
        <v>#NUM!</v>
      </c>
      <c r="E25" s="14" t="e">
        <f t="shared" si="0"/>
        <v>#NUM!</v>
      </c>
      <c r="F25" s="13" t="e">
        <f>_xll.qlRateHelperQuoteValue($E25,Trigger)</f>
        <v>#VALUE!</v>
      </c>
      <c r="G25" s="13" t="e">
        <f>_xll.qlSwapRateHelperSpread($E25,Trigger)</f>
        <v>#VALUE!</v>
      </c>
      <c r="H25" s="6" t="b">
        <v>0</v>
      </c>
      <c r="I25" s="6">
        <v>70</v>
      </c>
      <c r="J25" s="6">
        <v>5</v>
      </c>
      <c r="K25" s="12" t="e">
        <f>_xll.qlRateHelperEarliestDate($E25,Trigger)</f>
        <v>#VALUE!</v>
      </c>
      <c r="L25" s="11" t="e">
        <f>_xll.qlRateHelperLatestDate($E25,Trigger)</f>
        <v>#VALUE!</v>
      </c>
    </row>
    <row r="26" spans="1:14" ht="11.25" customHeight="1" x14ac:dyDescent="0.2">
      <c r="A26" s="1" t="e">
        <f>_xll.qlECBNextDate(A25)</f>
        <v>#NUM!</v>
      </c>
      <c r="B26" s="16" t="s">
        <v>74</v>
      </c>
      <c r="C26" s="15" t="s">
        <v>73</v>
      </c>
      <c r="D26" s="25" t="e">
        <f>_xll.qlECBcode(A26)</f>
        <v>#NUM!</v>
      </c>
      <c r="E26" s="14" t="e">
        <f t="shared" si="0"/>
        <v>#NUM!</v>
      </c>
      <c r="F26" s="13" t="e">
        <f>_xll.qlRateHelperQuoteValue($E26,Trigger)</f>
        <v>#VALUE!</v>
      </c>
      <c r="G26" s="13" t="e">
        <f>_xll.qlSwapRateHelperSpread($E26,Trigger)</f>
        <v>#VALUE!</v>
      </c>
      <c r="H26" s="6" t="b">
        <v>0</v>
      </c>
      <c r="I26" s="6">
        <v>70</v>
      </c>
      <c r="J26" s="6">
        <v>5</v>
      </c>
      <c r="K26" s="12" t="e">
        <f>_xll.qlRateHelperEarliestDate($E26,Trigger)</f>
        <v>#VALUE!</v>
      </c>
      <c r="L26" s="11" t="e">
        <f>_xll.qlRateHelperLatestDate($E26,Trigger)</f>
        <v>#VALUE!</v>
      </c>
    </row>
    <row r="27" spans="1:14" x14ac:dyDescent="0.2">
      <c r="A27" s="1" t="e">
        <f>_xll.qlECBNextDate(A26)</f>
        <v>#NUM!</v>
      </c>
      <c r="B27" s="10" t="s">
        <v>74</v>
      </c>
      <c r="C27" s="9" t="s">
        <v>73</v>
      </c>
      <c r="D27" s="24" t="e">
        <f>_xll.qlECBcode(A27)</f>
        <v>#NUM!</v>
      </c>
      <c r="E27" s="8" t="e">
        <f t="shared" si="0"/>
        <v>#NUM!</v>
      </c>
      <c r="F27" s="7" t="e">
        <f>_xll.qlRateHelperQuoteValue($E27,Trigger)</f>
        <v>#VALUE!</v>
      </c>
      <c r="G27" s="7" t="e">
        <f>_xll.qlSwapRateHelperSpread($E27,Trigger)</f>
        <v>#VALUE!</v>
      </c>
      <c r="H27" s="5" t="b">
        <v>0</v>
      </c>
      <c r="I27" s="5">
        <v>70</v>
      </c>
      <c r="J27" s="5">
        <v>5</v>
      </c>
      <c r="K27" s="4" t="e">
        <f>_xll.qlRateHelperEarliestDate($E27,Trigger)</f>
        <v>#VALUE!</v>
      </c>
      <c r="L27" s="3" t="e">
        <f>_xll.qlRateHelperLatestDate($E27,Trigger)</f>
        <v>#VALUE!</v>
      </c>
    </row>
    <row r="28" spans="1:14" hidden="1" outlineLevel="1" x14ac:dyDescent="0.2">
      <c r="B28" s="23" t="s">
        <v>69</v>
      </c>
      <c r="C28" s="22">
        <v>12</v>
      </c>
      <c r="D28" s="21"/>
      <c r="E28" s="21" t="str">
        <f t="shared" si="0"/>
        <v>USD_YCONRH_1S12</v>
      </c>
      <c r="F28" s="20" t="e">
        <f>_xll.qlRateHelperQuoteValue($E28,Trigger)</f>
        <v>#NUM!</v>
      </c>
      <c r="G28" s="20" t="e">
        <f>_xll.qlSwapRateHelperSpread($E28,Trigger)</f>
        <v>#NUM!</v>
      </c>
      <c r="H28" s="19" t="b">
        <v>0</v>
      </c>
      <c r="I28" s="19">
        <v>40</v>
      </c>
      <c r="J28" s="19">
        <v>1</v>
      </c>
      <c r="K28" s="18" t="e">
        <f>_xll.qlRateHelperEarliestDate($E28,Trigger)</f>
        <v>#NUM!</v>
      </c>
      <c r="L28" s="17" t="e">
        <f>_xll.qlRateHelperLatestDate($E28,Trigger)</f>
        <v>#NUM!</v>
      </c>
    </row>
    <row r="29" spans="1:14" hidden="1" outlineLevel="1" x14ac:dyDescent="0.2">
      <c r="B29" s="16" t="s">
        <v>70</v>
      </c>
      <c r="C29" s="15">
        <v>12</v>
      </c>
      <c r="D29" s="14"/>
      <c r="E29" s="14" t="str">
        <f t="shared" si="0"/>
        <v>USD_YCONRH_2S12</v>
      </c>
      <c r="F29" s="13" t="e">
        <f>_xll.qlRateHelperQuoteValue($E29,Trigger)</f>
        <v>#NUM!</v>
      </c>
      <c r="G29" s="13" t="e">
        <f>_xll.qlSwapRateHelperSpread($E29,Trigger)</f>
        <v>#NUM!</v>
      </c>
      <c r="H29" s="6" t="b">
        <v>0</v>
      </c>
      <c r="I29" s="6">
        <v>40</v>
      </c>
      <c r="J29" s="6">
        <v>1</v>
      </c>
      <c r="K29" s="12" t="e">
        <f>_xll.qlRateHelperEarliestDate($E29,Trigger)</f>
        <v>#NUM!</v>
      </c>
      <c r="L29" s="11" t="e">
        <f>_xll.qlRateHelperLatestDate($E29,Trigger)</f>
        <v>#NUM!</v>
      </c>
    </row>
    <row r="30" spans="1:14" hidden="1" outlineLevel="1" x14ac:dyDescent="0.2">
      <c r="B30" s="16" t="s">
        <v>72</v>
      </c>
      <c r="C30" s="15">
        <v>12</v>
      </c>
      <c r="D30" s="14"/>
      <c r="E30" s="14" t="str">
        <f t="shared" si="0"/>
        <v>USD_YCONRH_3S12</v>
      </c>
      <c r="F30" s="13" t="e">
        <f>_xll.qlRateHelperQuoteValue($E30,Trigger)</f>
        <v>#NUM!</v>
      </c>
      <c r="G30" s="13" t="e">
        <f>_xll.qlSwapRateHelperSpread($E30,Trigger)</f>
        <v>#NUM!</v>
      </c>
      <c r="H30" s="6" t="b">
        <v>0</v>
      </c>
      <c r="I30" s="6">
        <v>40</v>
      </c>
      <c r="J30" s="6">
        <v>1</v>
      </c>
      <c r="K30" s="12" t="e">
        <f>_xll.qlRateHelperEarliestDate($E30,Trigger)</f>
        <v>#NUM!</v>
      </c>
      <c r="L30" s="11" t="e">
        <f>_xll.qlRateHelperLatestDate($E30,Trigger)</f>
        <v>#NUM!</v>
      </c>
    </row>
    <row r="31" spans="1:14" hidden="1" outlineLevel="1" x14ac:dyDescent="0.2">
      <c r="B31" s="16" t="s">
        <v>71</v>
      </c>
      <c r="C31" s="15">
        <v>12</v>
      </c>
      <c r="D31" s="14"/>
      <c r="E31" s="14" t="str">
        <f t="shared" si="0"/>
        <v>USD_YCONRH_4S12</v>
      </c>
      <c r="F31" s="13" t="e">
        <f>_xll.qlRateHelperQuoteValue($E31,Trigger)</f>
        <v>#NUM!</v>
      </c>
      <c r="G31" s="13" t="e">
        <f>_xll.qlSwapRateHelperSpread($E31,Trigger)</f>
        <v>#NUM!</v>
      </c>
      <c r="H31" s="6" t="b">
        <v>0</v>
      </c>
      <c r="I31" s="6">
        <v>40</v>
      </c>
      <c r="J31" s="6">
        <v>1</v>
      </c>
      <c r="K31" s="12" t="e">
        <f>_xll.qlRateHelperEarliestDate($E31,Trigger)</f>
        <v>#NUM!</v>
      </c>
      <c r="L31" s="11" t="e">
        <f>_xll.qlRateHelperLatestDate($E31,Trigger)</f>
        <v>#NUM!</v>
      </c>
    </row>
    <row r="32" spans="1:14" hidden="1" outlineLevel="1" x14ac:dyDescent="0.2">
      <c r="B32" s="16" t="s">
        <v>69</v>
      </c>
      <c r="C32" s="15">
        <v>24</v>
      </c>
      <c r="D32" s="14"/>
      <c r="E32" s="14" t="str">
        <f t="shared" si="0"/>
        <v>USD_YCONRH_1S24</v>
      </c>
      <c r="F32" s="13" t="e">
        <f>_xll.qlRateHelperQuoteValue($E32,Trigger)</f>
        <v>#NUM!</v>
      </c>
      <c r="G32" s="13" t="e">
        <f>_xll.qlSwapRateHelperSpread($E32,Trigger)</f>
        <v>#NUM!</v>
      </c>
      <c r="H32" s="6" t="b">
        <v>0</v>
      </c>
      <c r="I32" s="6">
        <v>40</v>
      </c>
      <c r="J32" s="6">
        <v>1</v>
      </c>
      <c r="K32" s="12" t="e">
        <f>_xll.qlRateHelperEarliestDate($E32,Trigger)</f>
        <v>#NUM!</v>
      </c>
      <c r="L32" s="11" t="e">
        <f>_xll.qlRateHelperLatestDate($E32,Trigger)</f>
        <v>#NUM!</v>
      </c>
    </row>
    <row r="33" spans="2:12" hidden="1" outlineLevel="1" x14ac:dyDescent="0.2">
      <c r="B33" s="16" t="s">
        <v>70</v>
      </c>
      <c r="C33" s="15">
        <v>24</v>
      </c>
      <c r="D33" s="14"/>
      <c r="E33" s="14" t="str">
        <f t="shared" si="0"/>
        <v>USD_YCONRH_2S24</v>
      </c>
      <c r="F33" s="13" t="e">
        <f>_xll.qlRateHelperQuoteValue($E33,Trigger)</f>
        <v>#NUM!</v>
      </c>
      <c r="G33" s="13" t="e">
        <f>_xll.qlSwapRateHelperSpread($E33,Trigger)</f>
        <v>#NUM!</v>
      </c>
      <c r="H33" s="6" t="b">
        <v>0</v>
      </c>
      <c r="I33" s="6">
        <v>40</v>
      </c>
      <c r="J33" s="6">
        <v>1</v>
      </c>
      <c r="K33" s="12" t="e">
        <f>_xll.qlRateHelperEarliestDate($E33,Trigger)</f>
        <v>#NUM!</v>
      </c>
      <c r="L33" s="11" t="e">
        <f>_xll.qlRateHelperLatestDate($E33,Trigger)</f>
        <v>#NUM!</v>
      </c>
    </row>
    <row r="34" spans="2:12" hidden="1" outlineLevel="1" x14ac:dyDescent="0.2">
      <c r="B34" s="10" t="s">
        <v>69</v>
      </c>
      <c r="C34" s="9">
        <v>36</v>
      </c>
      <c r="D34" s="8"/>
      <c r="E34" s="8" t="str">
        <f t="shared" ref="E34" si="1">RateHelperPrefix&amp;"_"&amp;$B34&amp;$C34&amp;$D34</f>
        <v>USD_YCONRH_1S36</v>
      </c>
      <c r="F34" s="7" t="e">
        <f>_xll.qlRateHelperQuoteValue($E34,Trigger)</f>
        <v>#NUM!</v>
      </c>
      <c r="G34" s="7" t="e">
        <f>_xll.qlSwapRateHelperSpread($E34,Trigger)</f>
        <v>#NUM!</v>
      </c>
      <c r="H34" s="5" t="b">
        <v>0</v>
      </c>
      <c r="I34" s="5">
        <v>40</v>
      </c>
      <c r="J34" s="5">
        <v>1</v>
      </c>
      <c r="K34" s="4" t="e">
        <f>_xll.qlRateHelperEarliestDate($E34,Trigger)</f>
        <v>#NUM!</v>
      </c>
      <c r="L34" s="3" t="e">
        <f>_xll.qlRateHelperLatestDate($E34,Trigger)</f>
        <v>#NUM!</v>
      </c>
    </row>
    <row r="35" spans="2:12" collapsed="1" x14ac:dyDescent="0.2">
      <c r="B35" s="23" t="str">
        <f>SwapFixedFreq</f>
        <v/>
      </c>
      <c r="C35" s="22" t="str">
        <f t="shared" ref="C35:C66" si="2">IborType</f>
        <v>OIS</v>
      </c>
      <c r="D35" s="21" t="s">
        <v>68</v>
      </c>
      <c r="E35" s="21" t="str">
        <f>ON_Swaps!L6</f>
        <v>USD_YCONRH_OISSW#0001</v>
      </c>
      <c r="F35" s="20">
        <f>_xll.qlRateHelperQuoteValue($E35,Trigger)</f>
        <v>8.8999999999999995E-4</v>
      </c>
      <c r="G35" s="20" t="e">
        <f>_xll.qlSwapRateHelperSpread($E35,Trigger)</f>
        <v>#NUM!</v>
      </c>
      <c r="H35" s="177" t="b">
        <f>IF(ISERROR(F35),FALSE,IF(L35&lt;=$N$16,TRUE,IF(L35&gt;$N$17,TRUE,FALSE)))</f>
        <v>1</v>
      </c>
      <c r="I35" s="19">
        <v>50</v>
      </c>
      <c r="J35" s="19">
        <v>1</v>
      </c>
      <c r="K35" s="18">
        <f>_xll.qlRateHelperEarliestDate($E35,Trigger)</f>
        <v>41767</v>
      </c>
      <c r="L35" s="17">
        <f>_xll.qlRateHelperLatestDate($E35,Trigger)</f>
        <v>41774</v>
      </c>
    </row>
    <row r="36" spans="2:12" x14ac:dyDescent="0.2">
      <c r="B36" s="16"/>
      <c r="C36" s="15" t="str">
        <f t="shared" si="2"/>
        <v>OIS</v>
      </c>
      <c r="D36" s="14" t="s">
        <v>67</v>
      </c>
      <c r="E36" s="14" t="str">
        <f>ON_Swaps!L7</f>
        <v>USD_YCONRH_OIS2W#0001</v>
      </c>
      <c r="F36" s="13">
        <f>_xll.qlRateHelperQuoteValue($E36,Trigger)</f>
        <v>8.8999999999999995E-4</v>
      </c>
      <c r="G36" s="13" t="e">
        <f>_xll.qlSwapRateHelperSpread($E36,Trigger)</f>
        <v>#NUM!</v>
      </c>
      <c r="H36" s="6" t="b">
        <f t="shared" ref="H36:H61" si="3">IF(ISERROR(F36),FALSE,IF(L36&lt;=$N$16,TRUE,IF(L36&gt;$N$17,TRUE,IF(L35&lt;$N$16,TRUE,FALSE))))</f>
        <v>1</v>
      </c>
      <c r="I36" s="6">
        <v>50</v>
      </c>
      <c r="J36" s="6">
        <v>1</v>
      </c>
      <c r="K36" s="12">
        <f>_xll.qlRateHelperEarliestDate($E36,Trigger)</f>
        <v>41767</v>
      </c>
      <c r="L36" s="11">
        <f>_xll.qlRateHelperLatestDate($E36,Trigger)</f>
        <v>41781</v>
      </c>
    </row>
    <row r="37" spans="2:12" x14ac:dyDescent="0.2">
      <c r="B37" s="16"/>
      <c r="C37" s="15" t="str">
        <f t="shared" si="2"/>
        <v>OIS</v>
      </c>
      <c r="D37" s="14" t="s">
        <v>66</v>
      </c>
      <c r="E37" s="14" t="str">
        <f>ON_Swaps!L8</f>
        <v>USD_YCONRH_OIS3W#0001</v>
      </c>
      <c r="F37" s="13">
        <f>_xll.qlRateHelperQuoteValue($E37,Trigger)</f>
        <v>8.8999999999999995E-4</v>
      </c>
      <c r="G37" s="13" t="e">
        <f>_xll.qlSwapRateHelperSpread($E37,Trigger)</f>
        <v>#NUM!</v>
      </c>
      <c r="H37" s="6" t="b">
        <f t="shared" si="3"/>
        <v>1</v>
      </c>
      <c r="I37" s="6">
        <v>50</v>
      </c>
      <c r="J37" s="6">
        <v>1</v>
      </c>
      <c r="K37" s="12">
        <f>_xll.qlRateHelperEarliestDate($E37,Trigger)</f>
        <v>41767</v>
      </c>
      <c r="L37" s="11">
        <f>_xll.qlRateHelperLatestDate($E37,Trigger)</f>
        <v>41788</v>
      </c>
    </row>
    <row r="38" spans="2:12" x14ac:dyDescent="0.2">
      <c r="B38" s="16"/>
      <c r="C38" s="15" t="str">
        <f t="shared" si="2"/>
        <v>OIS</v>
      </c>
      <c r="D38" s="14" t="s">
        <v>65</v>
      </c>
      <c r="E38" s="14" t="str">
        <f>ON_Swaps!L9</f>
        <v>USD_YCONRH_OIS1M#0001</v>
      </c>
      <c r="F38" s="13">
        <f>_xll.qlRateHelperQuoteValue($E38,Trigger)</f>
        <v>8.8999999999999995E-4</v>
      </c>
      <c r="G38" s="13" t="e">
        <f>_xll.qlSwapRateHelperSpread($E38,Trigger)</f>
        <v>#NUM!</v>
      </c>
      <c r="H38" s="6" t="b">
        <f t="shared" si="3"/>
        <v>1</v>
      </c>
      <c r="I38" s="6">
        <v>50</v>
      </c>
      <c r="J38" s="6">
        <v>1</v>
      </c>
      <c r="K38" s="12">
        <f>_xll.qlRateHelperEarliestDate($E38,Trigger)</f>
        <v>41767</v>
      </c>
      <c r="L38" s="11">
        <f>_xll.qlRateHelperLatestDate($E38,Trigger)</f>
        <v>41799</v>
      </c>
    </row>
    <row r="39" spans="2:12" x14ac:dyDescent="0.2">
      <c r="B39" s="16"/>
      <c r="C39" s="15" t="str">
        <f t="shared" si="2"/>
        <v>OIS</v>
      </c>
      <c r="D39" s="14" t="s">
        <v>64</v>
      </c>
      <c r="E39" s="14" t="str">
        <f>ON_Swaps!L10</f>
        <v>USD_YCONRH_OIS2M#0001</v>
      </c>
      <c r="F39" s="13">
        <f>_xll.qlRateHelperQuoteValue($E39,Trigger)</f>
        <v>9.2000000000000003E-4</v>
      </c>
      <c r="G39" s="13" t="e">
        <f>_xll.qlSwapRateHelperSpread($E39,Trigger)</f>
        <v>#NUM!</v>
      </c>
      <c r="H39" s="6" t="b">
        <f t="shared" si="3"/>
        <v>1</v>
      </c>
      <c r="I39" s="6">
        <v>50</v>
      </c>
      <c r="J39" s="6">
        <v>1</v>
      </c>
      <c r="K39" s="12">
        <f>_xll.qlRateHelperEarliestDate($E39,Trigger)</f>
        <v>41767</v>
      </c>
      <c r="L39" s="11">
        <f>_xll.qlRateHelperLatestDate($E39,Trigger)</f>
        <v>41828</v>
      </c>
    </row>
    <row r="40" spans="2:12" x14ac:dyDescent="0.2">
      <c r="B40" s="16"/>
      <c r="C40" s="15" t="str">
        <f t="shared" si="2"/>
        <v>OIS</v>
      </c>
      <c r="D40" s="14" t="s">
        <v>63</v>
      </c>
      <c r="E40" s="14" t="str">
        <f>ON_Swaps!L11</f>
        <v>USD_YCONRH_OIS3M#0001</v>
      </c>
      <c r="F40" s="13">
        <f>_xll.qlRateHelperQuoteValue($E40,Trigger)</f>
        <v>9.3999999999999997E-4</v>
      </c>
      <c r="G40" s="13" t="e">
        <f>_xll.qlSwapRateHelperSpread($E40,Trigger)</f>
        <v>#NUM!</v>
      </c>
      <c r="H40" s="6" t="b">
        <f t="shared" si="3"/>
        <v>1</v>
      </c>
      <c r="I40" s="6">
        <v>50</v>
      </c>
      <c r="J40" s="6">
        <v>1</v>
      </c>
      <c r="K40" s="12">
        <f>_xll.qlRateHelperEarliestDate($E40,Trigger)</f>
        <v>41767</v>
      </c>
      <c r="L40" s="11">
        <f>_xll.qlRateHelperLatestDate($E40,Trigger)</f>
        <v>41859</v>
      </c>
    </row>
    <row r="41" spans="2:12" x14ac:dyDescent="0.2">
      <c r="B41" s="16"/>
      <c r="C41" s="15" t="str">
        <f t="shared" si="2"/>
        <v>OIS</v>
      </c>
      <c r="D41" s="14" t="s">
        <v>62</v>
      </c>
      <c r="E41" s="14" t="str">
        <f>ON_Swaps!L12</f>
        <v>USD_YCONRH_OIS4M#0001</v>
      </c>
      <c r="F41" s="13">
        <f>_xll.qlRateHelperQuoteValue($E41,Trigger)</f>
        <v>9.6000000000000002E-4</v>
      </c>
      <c r="G41" s="13" t="e">
        <f>_xll.qlSwapRateHelperSpread($E41,Trigger)</f>
        <v>#NUM!</v>
      </c>
      <c r="H41" s="6" t="b">
        <f t="shared" si="3"/>
        <v>1</v>
      </c>
      <c r="I41" s="6">
        <v>50</v>
      </c>
      <c r="J41" s="6">
        <v>1</v>
      </c>
      <c r="K41" s="12">
        <f>_xll.qlRateHelperEarliestDate($E41,Trigger)</f>
        <v>41767</v>
      </c>
      <c r="L41" s="11">
        <f>_xll.qlRateHelperLatestDate($E41,Trigger)</f>
        <v>41890</v>
      </c>
    </row>
    <row r="42" spans="2:12" x14ac:dyDescent="0.2">
      <c r="B42" s="16"/>
      <c r="C42" s="15" t="str">
        <f t="shared" si="2"/>
        <v>OIS</v>
      </c>
      <c r="D42" s="14" t="s">
        <v>61</v>
      </c>
      <c r="E42" s="14" t="str">
        <f>ON_Swaps!L13</f>
        <v>USD_YCONRH_OIS5M#0001</v>
      </c>
      <c r="F42" s="13">
        <f>_xll.qlRateHelperQuoteValue($E42,Trigger)</f>
        <v>9.8999999999999999E-4</v>
      </c>
      <c r="G42" s="13" t="e">
        <f>_xll.qlSwapRateHelperSpread($E42,Trigger)</f>
        <v>#NUM!</v>
      </c>
      <c r="H42" s="6" t="b">
        <f t="shared" si="3"/>
        <v>1</v>
      </c>
      <c r="I42" s="6">
        <v>50</v>
      </c>
      <c r="J42" s="6">
        <v>1</v>
      </c>
      <c r="K42" s="12">
        <f>_xll.qlRateHelperEarliestDate($E42,Trigger)</f>
        <v>41767</v>
      </c>
      <c r="L42" s="11">
        <f>_xll.qlRateHelperLatestDate($E42,Trigger)</f>
        <v>41920</v>
      </c>
    </row>
    <row r="43" spans="2:12" x14ac:dyDescent="0.2">
      <c r="B43" s="16"/>
      <c r="C43" s="15" t="str">
        <f t="shared" si="2"/>
        <v>OIS</v>
      </c>
      <c r="D43" s="14" t="s">
        <v>60</v>
      </c>
      <c r="E43" s="14" t="str">
        <f>ON_Swaps!L14</f>
        <v>USD_YCONRH_OIS6M#0001</v>
      </c>
      <c r="F43" s="13">
        <f>_xll.qlRateHelperQuoteValue($E43,Trigger)</f>
        <v>1.01E-3</v>
      </c>
      <c r="G43" s="13" t="e">
        <f>_xll.qlSwapRateHelperSpread($E43,Trigger)</f>
        <v>#NUM!</v>
      </c>
      <c r="H43" s="6" t="b">
        <f t="shared" si="3"/>
        <v>1</v>
      </c>
      <c r="I43" s="6">
        <v>50</v>
      </c>
      <c r="J43" s="6">
        <v>1</v>
      </c>
      <c r="K43" s="12">
        <f>_xll.qlRateHelperEarliestDate($E43,Trigger)</f>
        <v>41767</v>
      </c>
      <c r="L43" s="11">
        <f>_xll.qlRateHelperLatestDate($E43,Trigger)</f>
        <v>41953</v>
      </c>
    </row>
    <row r="44" spans="2:12" x14ac:dyDescent="0.2">
      <c r="B44" s="16"/>
      <c r="C44" s="15" t="str">
        <f t="shared" si="2"/>
        <v>OIS</v>
      </c>
      <c r="D44" s="14" t="s">
        <v>59</v>
      </c>
      <c r="E44" s="14" t="str">
        <f>ON_Swaps!L15</f>
        <v>USD_YCONRH_OIS7M#0001</v>
      </c>
      <c r="F44" s="13">
        <f>_xll.qlRateHelperQuoteValue($E44,Trigger)</f>
        <v>1.0399999999999999E-3</v>
      </c>
      <c r="G44" s="13" t="e">
        <f>_xll.qlSwapRateHelperSpread($E44,Trigger)</f>
        <v>#NUM!</v>
      </c>
      <c r="H44" s="6" t="b">
        <f t="shared" si="3"/>
        <v>1</v>
      </c>
      <c r="I44" s="6">
        <v>50</v>
      </c>
      <c r="J44" s="6">
        <v>1</v>
      </c>
      <c r="K44" s="12">
        <f>_xll.qlRateHelperEarliestDate($E44,Trigger)</f>
        <v>41767</v>
      </c>
      <c r="L44" s="11">
        <f>_xll.qlRateHelperLatestDate($E44,Trigger)</f>
        <v>41981</v>
      </c>
    </row>
    <row r="45" spans="2:12" x14ac:dyDescent="0.2">
      <c r="B45" s="16"/>
      <c r="C45" s="15" t="str">
        <f t="shared" si="2"/>
        <v>OIS</v>
      </c>
      <c r="D45" s="14" t="s">
        <v>58</v>
      </c>
      <c r="E45" s="14" t="str">
        <f>ON_Swaps!L16</f>
        <v>USD_YCONRH_OIS8M#0001</v>
      </c>
      <c r="F45" s="13">
        <f>_xll.qlRateHelperQuoteValue($E45,Trigger)</f>
        <v>1.08E-3</v>
      </c>
      <c r="G45" s="13" t="e">
        <f>_xll.qlSwapRateHelperSpread($E45,Trigger)</f>
        <v>#NUM!</v>
      </c>
      <c r="H45" s="6" t="b">
        <f t="shared" si="3"/>
        <v>1</v>
      </c>
      <c r="I45" s="6">
        <v>50</v>
      </c>
      <c r="J45" s="6">
        <v>1</v>
      </c>
      <c r="K45" s="12">
        <f>_xll.qlRateHelperEarliestDate($E45,Trigger)</f>
        <v>41767</v>
      </c>
      <c r="L45" s="11">
        <f>_xll.qlRateHelperLatestDate($E45,Trigger)</f>
        <v>42012</v>
      </c>
    </row>
    <row r="46" spans="2:12" x14ac:dyDescent="0.2">
      <c r="B46" s="16"/>
      <c r="C46" s="15" t="str">
        <f t="shared" si="2"/>
        <v>OIS</v>
      </c>
      <c r="D46" s="14" t="s">
        <v>57</v>
      </c>
      <c r="E46" s="14" t="str">
        <f>ON_Swaps!L17</f>
        <v>USD_YCONRH_OIS9M#0001</v>
      </c>
      <c r="F46" s="13">
        <f>_xll.qlRateHelperQuoteValue($E46,Trigger)</f>
        <v>1.1299999999999999E-3</v>
      </c>
      <c r="G46" s="13" t="e">
        <f>_xll.qlSwapRateHelperSpread($E46,Trigger)</f>
        <v>#NUM!</v>
      </c>
      <c r="H46" s="6" t="b">
        <f t="shared" si="3"/>
        <v>1</v>
      </c>
      <c r="I46" s="6">
        <v>50</v>
      </c>
      <c r="J46" s="6">
        <v>1</v>
      </c>
      <c r="K46" s="12">
        <f>_xll.qlRateHelperEarliestDate($E46,Trigger)</f>
        <v>41767</v>
      </c>
      <c r="L46" s="11">
        <f>_xll.qlRateHelperLatestDate($E46,Trigger)</f>
        <v>42044</v>
      </c>
    </row>
    <row r="47" spans="2:12" x14ac:dyDescent="0.2">
      <c r="B47" s="16"/>
      <c r="C47" s="15" t="str">
        <f t="shared" si="2"/>
        <v>OIS</v>
      </c>
      <c r="D47" s="14" t="s">
        <v>56</v>
      </c>
      <c r="E47" s="14" t="str">
        <f>ON_Swaps!L18</f>
        <v>USD_YCONRH_OIS10M#0001</v>
      </c>
      <c r="F47" s="13">
        <f>_xll.qlRateHelperQuoteValue($E47,Trigger)</f>
        <v>1.1799999999999998E-3</v>
      </c>
      <c r="G47" s="13" t="e">
        <f>_xll.qlSwapRateHelperSpread($E47,Trigger)</f>
        <v>#NUM!</v>
      </c>
      <c r="H47" s="6" t="b">
        <f t="shared" si="3"/>
        <v>1</v>
      </c>
      <c r="I47" s="6">
        <v>50</v>
      </c>
      <c r="J47" s="6">
        <v>1</v>
      </c>
      <c r="K47" s="12">
        <f>_xll.qlRateHelperEarliestDate($E47,Trigger)</f>
        <v>41767</v>
      </c>
      <c r="L47" s="11">
        <f>_xll.qlRateHelperLatestDate($E47,Trigger)</f>
        <v>42072</v>
      </c>
    </row>
    <row r="48" spans="2:12" x14ac:dyDescent="0.2">
      <c r="B48" s="16"/>
      <c r="C48" s="15" t="str">
        <f t="shared" si="2"/>
        <v>OIS</v>
      </c>
      <c r="D48" s="14" t="s">
        <v>55</v>
      </c>
      <c r="E48" s="14" t="str">
        <f>ON_Swaps!L19</f>
        <v>USD_YCONRH_OIS11M#0001</v>
      </c>
      <c r="F48" s="13">
        <f>_xll.qlRateHelperQuoteValue($E48,Trigger)</f>
        <v>1.25E-3</v>
      </c>
      <c r="G48" s="13" t="e">
        <f>_xll.qlSwapRateHelperSpread($E48,Trigger)</f>
        <v>#NUM!</v>
      </c>
      <c r="H48" s="6" t="b">
        <f t="shared" si="3"/>
        <v>1</v>
      </c>
      <c r="I48" s="6">
        <v>50</v>
      </c>
      <c r="J48" s="6">
        <v>1</v>
      </c>
      <c r="K48" s="12">
        <f>_xll.qlRateHelperEarliestDate($E48,Trigger)</f>
        <v>41767</v>
      </c>
      <c r="L48" s="11">
        <f>_xll.qlRateHelperLatestDate($E48,Trigger)</f>
        <v>42102</v>
      </c>
    </row>
    <row r="49" spans="2:12" x14ac:dyDescent="0.2">
      <c r="B49" s="16"/>
      <c r="C49" s="15" t="str">
        <f t="shared" si="2"/>
        <v>OIS</v>
      </c>
      <c r="D49" s="14" t="s">
        <v>36</v>
      </c>
      <c r="E49" s="14" t="str">
        <f>ON_Swaps!L20</f>
        <v>USD_YCONRH_OIS1Y#0001</v>
      </c>
      <c r="F49" s="13">
        <f>_xll.qlRateHelperQuoteValue($E49,Trigger)</f>
        <v>1.34E-3</v>
      </c>
      <c r="G49" s="13" t="e">
        <f>_xll.qlSwapRateHelperSpread($E49,Trigger)</f>
        <v>#NUM!</v>
      </c>
      <c r="H49" s="6" t="b">
        <f t="shared" si="3"/>
        <v>1</v>
      </c>
      <c r="I49" s="6">
        <v>50</v>
      </c>
      <c r="J49" s="6">
        <v>1</v>
      </c>
      <c r="K49" s="12">
        <f>_xll.qlRateHelperEarliestDate($E49,Trigger)</f>
        <v>41767</v>
      </c>
      <c r="L49" s="11">
        <f>_xll.qlRateHelperLatestDate($E49,Trigger)</f>
        <v>42132</v>
      </c>
    </row>
    <row r="50" spans="2:12" x14ac:dyDescent="0.2">
      <c r="B50" s="16" t="str">
        <f t="shared" ref="B50:B80" si="4">SwapFixedFreq</f>
        <v/>
      </c>
      <c r="C50" s="15" t="str">
        <f t="shared" si="2"/>
        <v>OIS</v>
      </c>
      <c r="D50" s="14" t="s">
        <v>54</v>
      </c>
      <c r="E50" s="14" t="str">
        <f>ON_Swaps!L21</f>
        <v>USD_YCONRH_OIS13M#0001</v>
      </c>
      <c r="F50" s="13">
        <f>_xll.qlRateHelperQuoteValue($E50,Trigger)</f>
        <v>1.4500000000000001E-3</v>
      </c>
      <c r="G50" s="13" t="e">
        <f>_xll.qlSwapRateHelperSpread($E50,Trigger)</f>
        <v>#NUM!</v>
      </c>
      <c r="H50" s="6" t="b">
        <f t="shared" si="3"/>
        <v>1</v>
      </c>
      <c r="I50" s="6">
        <v>50</v>
      </c>
      <c r="J50" s="6">
        <v>1</v>
      </c>
      <c r="K50" s="12">
        <f>_xll.qlRateHelperEarliestDate($E50,Trigger)</f>
        <v>41767</v>
      </c>
      <c r="L50" s="11">
        <f>_xll.qlRateHelperLatestDate($E50,Trigger)</f>
        <v>42163</v>
      </c>
    </row>
    <row r="51" spans="2:12" x14ac:dyDescent="0.2">
      <c r="B51" s="16" t="str">
        <f t="shared" si="4"/>
        <v/>
      </c>
      <c r="C51" s="15" t="str">
        <f t="shared" si="2"/>
        <v>OIS</v>
      </c>
      <c r="D51" s="14" t="s">
        <v>53</v>
      </c>
      <c r="E51" s="14" t="str">
        <f>ON_Swaps!L22</f>
        <v>USD_YCONRH_OIS14M#0001</v>
      </c>
      <c r="F51" s="13">
        <f>_xll.qlRateHelperQuoteValue($E51,Trigger)</f>
        <v>1.5799999999999998E-3</v>
      </c>
      <c r="G51" s="13" t="e">
        <f>_xll.qlSwapRateHelperSpread($E51,Trigger)</f>
        <v>#NUM!</v>
      </c>
      <c r="H51" s="6" t="b">
        <f t="shared" si="3"/>
        <v>1</v>
      </c>
      <c r="I51" s="6">
        <v>50</v>
      </c>
      <c r="J51" s="6">
        <v>1</v>
      </c>
      <c r="K51" s="12">
        <f>_xll.qlRateHelperEarliestDate($E51,Trigger)</f>
        <v>41767</v>
      </c>
      <c r="L51" s="11">
        <f>_xll.qlRateHelperLatestDate($E51,Trigger)</f>
        <v>42193</v>
      </c>
    </row>
    <row r="52" spans="2:12" x14ac:dyDescent="0.2">
      <c r="B52" s="16" t="str">
        <f t="shared" si="4"/>
        <v/>
      </c>
      <c r="C52" s="15" t="str">
        <f t="shared" si="2"/>
        <v>OIS</v>
      </c>
      <c r="D52" s="14" t="s">
        <v>35</v>
      </c>
      <c r="E52" s="14" t="str">
        <f>ON_Swaps!L23</f>
        <v>USD_YCONRH_OIS15M#0001</v>
      </c>
      <c r="F52" s="13">
        <f>_xll.qlRateHelperQuoteValue($E52,Trigger)</f>
        <v>1.7499999999999998E-3</v>
      </c>
      <c r="G52" s="13" t="e">
        <f>_xll.qlSwapRateHelperSpread($E52,Trigger)</f>
        <v>#NUM!</v>
      </c>
      <c r="H52" s="6" t="b">
        <f t="shared" si="3"/>
        <v>1</v>
      </c>
      <c r="I52" s="6">
        <v>50</v>
      </c>
      <c r="J52" s="6">
        <v>1</v>
      </c>
      <c r="K52" s="12">
        <f>_xll.qlRateHelperEarliestDate($E52,Trigger)</f>
        <v>41767</v>
      </c>
      <c r="L52" s="11">
        <f>_xll.qlRateHelperLatestDate($E52,Trigger)</f>
        <v>42226</v>
      </c>
    </row>
    <row r="53" spans="2:12" x14ac:dyDescent="0.2">
      <c r="B53" s="16" t="str">
        <f t="shared" si="4"/>
        <v/>
      </c>
      <c r="C53" s="15" t="str">
        <f t="shared" si="2"/>
        <v>OIS</v>
      </c>
      <c r="D53" s="14" t="s">
        <v>52</v>
      </c>
      <c r="E53" s="14" t="str">
        <f>ON_Swaps!L24</f>
        <v>USD_YCONRH_OIS16M#0001</v>
      </c>
      <c r="F53" s="13">
        <f>_xll.qlRateHelperQuoteValue($E53,Trigger)</f>
        <v>1.92E-3</v>
      </c>
      <c r="G53" s="13" t="e">
        <f>_xll.qlSwapRateHelperSpread($E53,Trigger)</f>
        <v>#NUM!</v>
      </c>
      <c r="H53" s="6" t="b">
        <f t="shared" si="3"/>
        <v>1</v>
      </c>
      <c r="I53" s="6">
        <v>50</v>
      </c>
      <c r="J53" s="6">
        <v>1</v>
      </c>
      <c r="K53" s="12">
        <f>_xll.qlRateHelperEarliestDate($E53,Trigger)</f>
        <v>41767</v>
      </c>
      <c r="L53" s="11">
        <f>_xll.qlRateHelperLatestDate($E53,Trigger)</f>
        <v>42255</v>
      </c>
    </row>
    <row r="54" spans="2:12" x14ac:dyDescent="0.2">
      <c r="B54" s="16" t="str">
        <f t="shared" si="4"/>
        <v/>
      </c>
      <c r="C54" s="15" t="str">
        <f t="shared" si="2"/>
        <v>OIS</v>
      </c>
      <c r="D54" s="14" t="s">
        <v>51</v>
      </c>
      <c r="E54" s="14" t="str">
        <f>ON_Swaps!L25</f>
        <v>USD_YCONRH_OIS17M#0001</v>
      </c>
      <c r="F54" s="13">
        <f>_xll.qlRateHelperQuoteValue($E54,Trigger)</f>
        <v>2.1200000000000004E-3</v>
      </c>
      <c r="G54" s="13" t="e">
        <f>_xll.qlSwapRateHelperSpread($E54,Trigger)</f>
        <v>#NUM!</v>
      </c>
      <c r="H54" s="6" t="b">
        <f t="shared" si="3"/>
        <v>1</v>
      </c>
      <c r="I54" s="6">
        <v>50</v>
      </c>
      <c r="J54" s="6">
        <v>1</v>
      </c>
      <c r="K54" s="12">
        <f>_xll.qlRateHelperEarliestDate($E54,Trigger)</f>
        <v>41767</v>
      </c>
      <c r="L54" s="11">
        <f>_xll.qlRateHelperLatestDate($E54,Trigger)</f>
        <v>42285</v>
      </c>
    </row>
    <row r="55" spans="2:12" x14ac:dyDescent="0.2">
      <c r="B55" s="16" t="str">
        <f t="shared" si="4"/>
        <v/>
      </c>
      <c r="C55" s="15" t="str">
        <f t="shared" si="2"/>
        <v>OIS</v>
      </c>
      <c r="D55" s="14" t="s">
        <v>34</v>
      </c>
      <c r="E55" s="14" t="str">
        <f>ON_Swaps!L26</f>
        <v>USD_YCONRH_OIS18M#0001</v>
      </c>
      <c r="F55" s="13">
        <f>_xll.qlRateHelperQuoteValue($E55,Trigger)</f>
        <v>2.3499999999999997E-3</v>
      </c>
      <c r="G55" s="13" t="e">
        <f>_xll.qlSwapRateHelperSpread($E55,Trigger)</f>
        <v>#NUM!</v>
      </c>
      <c r="H55" s="6" t="b">
        <f t="shared" si="3"/>
        <v>1</v>
      </c>
      <c r="I55" s="6">
        <v>50</v>
      </c>
      <c r="J55" s="6">
        <v>1</v>
      </c>
      <c r="K55" s="12">
        <f>_xll.qlRateHelperEarliestDate($E55,Trigger)</f>
        <v>41767</v>
      </c>
      <c r="L55" s="11">
        <f>_xll.qlRateHelperLatestDate($E55,Trigger)</f>
        <v>42317</v>
      </c>
    </row>
    <row r="56" spans="2:12" x14ac:dyDescent="0.2">
      <c r="B56" s="16" t="str">
        <f t="shared" si="4"/>
        <v/>
      </c>
      <c r="C56" s="15" t="str">
        <f t="shared" si="2"/>
        <v>OIS</v>
      </c>
      <c r="D56" s="14" t="s">
        <v>50</v>
      </c>
      <c r="E56" s="14" t="str">
        <f>ON_Swaps!L27</f>
        <v>USD_YCONRH_OIS19M#0001</v>
      </c>
      <c r="F56" s="13">
        <f>_xll.qlRateHelperQuoteValue($E56,Trigger)</f>
        <v>2.5700000000000002E-3</v>
      </c>
      <c r="G56" s="13" t="e">
        <f>_xll.qlSwapRateHelperSpread($E56,Trigger)</f>
        <v>#NUM!</v>
      </c>
      <c r="H56" s="6" t="b">
        <f t="shared" si="3"/>
        <v>1</v>
      </c>
      <c r="I56" s="6">
        <v>50</v>
      </c>
      <c r="J56" s="6">
        <v>1</v>
      </c>
      <c r="K56" s="12">
        <f>_xll.qlRateHelperEarliestDate($E56,Trigger)</f>
        <v>41767</v>
      </c>
      <c r="L56" s="11">
        <f>_xll.qlRateHelperLatestDate($E56,Trigger)</f>
        <v>42346</v>
      </c>
    </row>
    <row r="57" spans="2:12" x14ac:dyDescent="0.2">
      <c r="B57" s="16" t="str">
        <f t="shared" si="4"/>
        <v/>
      </c>
      <c r="C57" s="15" t="str">
        <f t="shared" si="2"/>
        <v>OIS</v>
      </c>
      <c r="D57" s="14" t="s">
        <v>49</v>
      </c>
      <c r="E57" s="14" t="str">
        <f>ON_Swaps!L28</f>
        <v>USD_YCONRH_OIS20M#0001</v>
      </c>
      <c r="F57" s="13">
        <f>_xll.qlRateHelperQuoteValue($E57,Trigger)</f>
        <v>2.8300000000000005E-3</v>
      </c>
      <c r="G57" s="13" t="e">
        <f>_xll.qlSwapRateHelperSpread($E57,Trigger)</f>
        <v>#NUM!</v>
      </c>
      <c r="H57" s="6" t="b">
        <f t="shared" si="3"/>
        <v>1</v>
      </c>
      <c r="I57" s="6">
        <v>50</v>
      </c>
      <c r="J57" s="6">
        <v>1</v>
      </c>
      <c r="K57" s="12">
        <f>_xll.qlRateHelperEarliestDate($E57,Trigger)</f>
        <v>41767</v>
      </c>
      <c r="L57" s="11">
        <f>_xll.qlRateHelperLatestDate($E57,Trigger)</f>
        <v>42377</v>
      </c>
    </row>
    <row r="58" spans="2:12" x14ac:dyDescent="0.2">
      <c r="B58" s="16" t="str">
        <f t="shared" si="4"/>
        <v/>
      </c>
      <c r="C58" s="15" t="str">
        <f t="shared" si="2"/>
        <v>OIS</v>
      </c>
      <c r="D58" s="14" t="s">
        <v>33</v>
      </c>
      <c r="E58" s="14" t="str">
        <f>ON_Swaps!L29</f>
        <v>USD_YCONRH_OIS21M#0001</v>
      </c>
      <c r="F58" s="13">
        <f>_xll.qlRateHelperQuoteValue($E58,Trigger)</f>
        <v>3.1199999999999999E-3</v>
      </c>
      <c r="G58" s="13" t="e">
        <f>_xll.qlSwapRateHelperSpread($E58,Trigger)</f>
        <v>#NUM!</v>
      </c>
      <c r="H58" s="6" t="b">
        <f t="shared" si="3"/>
        <v>1</v>
      </c>
      <c r="I58" s="6">
        <v>50</v>
      </c>
      <c r="J58" s="6">
        <v>1</v>
      </c>
      <c r="K58" s="12">
        <f>_xll.qlRateHelperEarliestDate($E58,Trigger)</f>
        <v>41767</v>
      </c>
      <c r="L58" s="11">
        <f>_xll.qlRateHelperLatestDate($E58,Trigger)</f>
        <v>42408</v>
      </c>
    </row>
    <row r="59" spans="2:12" x14ac:dyDescent="0.2">
      <c r="B59" s="16" t="str">
        <f t="shared" si="4"/>
        <v/>
      </c>
      <c r="C59" s="15" t="str">
        <f t="shared" si="2"/>
        <v>OIS</v>
      </c>
      <c r="D59" s="14" t="s">
        <v>48</v>
      </c>
      <c r="E59" s="14" t="str">
        <f>ON_Swaps!L30</f>
        <v>USD_YCONRH_OIS22M#0001</v>
      </c>
      <c r="F59" s="13">
        <f>_xll.qlRateHelperQuoteValue($E59,Trigger)</f>
        <v>3.3999999999999998E-3</v>
      </c>
      <c r="G59" s="13" t="e">
        <f>_xll.qlSwapRateHelperSpread($E59,Trigger)</f>
        <v>#NUM!</v>
      </c>
      <c r="H59" s="6" t="b">
        <f t="shared" si="3"/>
        <v>1</v>
      </c>
      <c r="I59" s="6">
        <v>50</v>
      </c>
      <c r="J59" s="6">
        <v>1</v>
      </c>
      <c r="K59" s="12">
        <f>_xll.qlRateHelperEarliestDate($E59,Trigger)</f>
        <v>41767</v>
      </c>
      <c r="L59" s="11">
        <f>_xll.qlRateHelperLatestDate($E59,Trigger)</f>
        <v>42437</v>
      </c>
    </row>
    <row r="60" spans="2:12" x14ac:dyDescent="0.2">
      <c r="B60" s="16" t="str">
        <f t="shared" si="4"/>
        <v/>
      </c>
      <c r="C60" s="15" t="str">
        <f t="shared" si="2"/>
        <v>OIS</v>
      </c>
      <c r="D60" s="14" t="s">
        <v>47</v>
      </c>
      <c r="E60" s="14" t="str">
        <f>ON_Swaps!L31</f>
        <v>USD_YCONRH_OIS23M#0001</v>
      </c>
      <c r="F60" s="13">
        <f>_xll.qlRateHelperQuoteValue($E60,Trigger)</f>
        <v>3.7099999999999998E-3</v>
      </c>
      <c r="G60" s="13" t="e">
        <f>_xll.qlSwapRateHelperSpread($E60,Trigger)</f>
        <v>#NUM!</v>
      </c>
      <c r="H60" s="6" t="b">
        <f t="shared" si="3"/>
        <v>1</v>
      </c>
      <c r="I60" s="6">
        <v>50</v>
      </c>
      <c r="J60" s="6">
        <v>1</v>
      </c>
      <c r="K60" s="12">
        <f>_xll.qlRateHelperEarliestDate($E60,Trigger)</f>
        <v>41767</v>
      </c>
      <c r="L60" s="11">
        <f>_xll.qlRateHelperLatestDate($E60,Trigger)</f>
        <v>42468</v>
      </c>
    </row>
    <row r="61" spans="2:12" x14ac:dyDescent="0.2">
      <c r="B61" s="16" t="str">
        <f t="shared" si="4"/>
        <v/>
      </c>
      <c r="C61" s="15" t="str">
        <f t="shared" si="2"/>
        <v>OIS</v>
      </c>
      <c r="D61" s="14" t="s">
        <v>32</v>
      </c>
      <c r="E61" s="14" t="str">
        <f>ON_Swaps!L32</f>
        <v>USD_YCONRH_OIS2Y#0001</v>
      </c>
      <c r="F61" s="13">
        <f>_xll.qlRateHelperQuoteValue($E61,Trigger)</f>
        <v>4.0400000000000002E-3</v>
      </c>
      <c r="G61" s="13" t="e">
        <f>_xll.qlSwapRateHelperSpread($E61,Trigger)</f>
        <v>#NUM!</v>
      </c>
      <c r="H61" s="6" t="b">
        <f t="shared" si="3"/>
        <v>1</v>
      </c>
      <c r="I61" s="6">
        <v>50</v>
      </c>
      <c r="J61" s="6">
        <v>1</v>
      </c>
      <c r="K61" s="12">
        <f>_xll.qlRateHelperEarliestDate($E61,Trigger)</f>
        <v>41767</v>
      </c>
      <c r="L61" s="11">
        <f>_xll.qlRateHelperLatestDate($E61,Trigger)</f>
        <v>42499</v>
      </c>
    </row>
    <row r="62" spans="2:12" x14ac:dyDescent="0.2">
      <c r="B62" s="16" t="str">
        <f t="shared" si="4"/>
        <v/>
      </c>
      <c r="C62" s="15" t="str">
        <f t="shared" si="2"/>
        <v>OIS</v>
      </c>
      <c r="D62" s="14" t="s">
        <v>46</v>
      </c>
      <c r="E62" s="14" t="str">
        <f>ON_Swaps!L33</f>
        <v>USD_YCONRH_OIS27M#0001</v>
      </c>
      <c r="F62" s="13">
        <f>_xll.qlRateHelperQuoteValue($E62,Trigger)</f>
        <v>5.0800000000000003E-3</v>
      </c>
      <c r="G62" s="13" t="e">
        <f>_xll.qlSwapRateHelperSpread($E62,Trigger)</f>
        <v>#NUM!</v>
      </c>
      <c r="H62" s="6" t="b">
        <v>0</v>
      </c>
      <c r="I62" s="6">
        <v>50</v>
      </c>
      <c r="J62" s="6">
        <v>1</v>
      </c>
      <c r="K62" s="12">
        <f>_xll.qlRateHelperEarliestDate($E62,Trigger)</f>
        <v>41767</v>
      </c>
      <c r="L62" s="11">
        <f>_xll.qlRateHelperLatestDate($E62,Trigger)</f>
        <v>42590</v>
      </c>
    </row>
    <row r="63" spans="2:12" x14ac:dyDescent="0.2">
      <c r="B63" s="16" t="str">
        <f t="shared" si="4"/>
        <v/>
      </c>
      <c r="C63" s="15" t="str">
        <f t="shared" si="2"/>
        <v>OIS</v>
      </c>
      <c r="D63" s="14" t="s">
        <v>45</v>
      </c>
      <c r="E63" s="14" t="str">
        <f>ON_Swaps!L34</f>
        <v>USD_YCONRH_OIS30M#0001</v>
      </c>
      <c r="F63" s="13">
        <f>_xll.qlRateHelperQuoteValue($E63,Trigger)</f>
        <v>6.1700000000000001E-3</v>
      </c>
      <c r="G63" s="13" t="e">
        <f>_xll.qlSwapRateHelperSpread($E63,Trigger)</f>
        <v>#NUM!</v>
      </c>
      <c r="H63" s="6" t="b">
        <v>0</v>
      </c>
      <c r="I63" s="6">
        <v>50</v>
      </c>
      <c r="J63" s="6">
        <v>1</v>
      </c>
      <c r="K63" s="12">
        <f>_xll.qlRateHelperEarliestDate($E63,Trigger)</f>
        <v>41767</v>
      </c>
      <c r="L63" s="11">
        <f>_xll.qlRateHelperLatestDate($E63,Trigger)</f>
        <v>42682</v>
      </c>
    </row>
    <row r="64" spans="2:12" x14ac:dyDescent="0.2">
      <c r="B64" s="16" t="str">
        <f t="shared" si="4"/>
        <v/>
      </c>
      <c r="C64" s="15" t="str">
        <f t="shared" si="2"/>
        <v>OIS</v>
      </c>
      <c r="D64" s="14" t="s">
        <v>44</v>
      </c>
      <c r="E64" s="14" t="str">
        <f>ON_Swaps!L35</f>
        <v>USD_YCONRH_OIS33M#0001</v>
      </c>
      <c r="F64" s="13">
        <f>_xll.qlRateHelperQuoteValue($E64,Trigger)</f>
        <v>7.2699999999999996E-3</v>
      </c>
      <c r="G64" s="13" t="e">
        <f>_xll.qlSwapRateHelperSpread($E64,Trigger)</f>
        <v>#NUM!</v>
      </c>
      <c r="H64" s="6" t="b">
        <v>0</v>
      </c>
      <c r="I64" s="6">
        <v>50</v>
      </c>
      <c r="J64" s="6">
        <v>1</v>
      </c>
      <c r="K64" s="12">
        <f>_xll.qlRateHelperEarliestDate($E64,Trigger)</f>
        <v>41767</v>
      </c>
      <c r="L64" s="11">
        <f>_xll.qlRateHelperLatestDate($E64,Trigger)</f>
        <v>42774</v>
      </c>
    </row>
    <row r="65" spans="2:12" x14ac:dyDescent="0.2">
      <c r="B65" s="16" t="str">
        <f t="shared" si="4"/>
        <v/>
      </c>
      <c r="C65" s="15" t="str">
        <f t="shared" si="2"/>
        <v>OIS</v>
      </c>
      <c r="D65" s="14" t="s">
        <v>31</v>
      </c>
      <c r="E65" s="14" t="str">
        <f>ON_Swaps!L36</f>
        <v>USD_YCONRH_OIS3Y#0001</v>
      </c>
      <c r="F65" s="13">
        <f>_xll.qlRateHelperQuoteValue($E65,Trigger)</f>
        <v>8.3299999999999989E-3</v>
      </c>
      <c r="G65" s="13" t="e">
        <f>_xll.qlSwapRateHelperSpread($E65,Trigger)</f>
        <v>#NUM!</v>
      </c>
      <c r="H65" s="6" t="b">
        <v>1</v>
      </c>
      <c r="I65" s="6">
        <v>50</v>
      </c>
      <c r="J65" s="6">
        <v>1</v>
      </c>
      <c r="K65" s="12">
        <f>_xll.qlRateHelperEarliestDate($E65,Trigger)</f>
        <v>41767</v>
      </c>
      <c r="L65" s="11">
        <f>_xll.qlRateHelperLatestDate($E65,Trigger)</f>
        <v>42863</v>
      </c>
    </row>
    <row r="66" spans="2:12" x14ac:dyDescent="0.2">
      <c r="B66" s="16" t="str">
        <f t="shared" si="4"/>
        <v/>
      </c>
      <c r="C66" s="15" t="str">
        <f t="shared" si="2"/>
        <v>OIS</v>
      </c>
      <c r="D66" s="14" t="s">
        <v>43</v>
      </c>
      <c r="E66" s="14" t="str">
        <f>ON_Swaps!L37</f>
        <v>USD_YCONRH_OIS39M#0001</v>
      </c>
      <c r="F66" s="13">
        <f>_xll.qlRateHelperQuoteValue($E66,Trigger)</f>
        <v>9.3900000000000008E-3</v>
      </c>
      <c r="G66" s="13" t="e">
        <f>_xll.qlSwapRateHelperSpread($E66,Trigger)</f>
        <v>#NUM!</v>
      </c>
      <c r="H66" s="6" t="b">
        <v>0</v>
      </c>
      <c r="I66" s="6">
        <v>50</v>
      </c>
      <c r="J66" s="6">
        <v>1</v>
      </c>
      <c r="K66" s="12">
        <f>_xll.qlRateHelperEarliestDate($E66,Trigger)</f>
        <v>41767</v>
      </c>
      <c r="L66" s="11">
        <f>_xll.qlRateHelperLatestDate($E66,Trigger)</f>
        <v>42955</v>
      </c>
    </row>
    <row r="67" spans="2:12" x14ac:dyDescent="0.2">
      <c r="B67" s="16" t="str">
        <f t="shared" si="4"/>
        <v/>
      </c>
      <c r="C67" s="15" t="str">
        <f t="shared" ref="C67:C88" si="5">IborType</f>
        <v>OIS</v>
      </c>
      <c r="D67" s="14" t="s">
        <v>42</v>
      </c>
      <c r="E67" s="14" t="str">
        <f>ON_Swaps!L38</f>
        <v>USD_YCONRH_OIS42M#0001</v>
      </c>
      <c r="F67" s="13">
        <f>_xll.qlRateHelperQuoteValue($E67,Trigger)</f>
        <v>1.0369999999999999E-2</v>
      </c>
      <c r="G67" s="13" t="e">
        <f>_xll.qlSwapRateHelperSpread($E67,Trigger)</f>
        <v>#NUM!</v>
      </c>
      <c r="H67" s="6" t="b">
        <v>0</v>
      </c>
      <c r="I67" s="6">
        <v>50</v>
      </c>
      <c r="J67" s="6">
        <v>1</v>
      </c>
      <c r="K67" s="12">
        <f>_xll.qlRateHelperEarliestDate($E67,Trigger)</f>
        <v>41767</v>
      </c>
      <c r="L67" s="11">
        <f>_xll.qlRateHelperLatestDate($E67,Trigger)</f>
        <v>43047</v>
      </c>
    </row>
    <row r="68" spans="2:12" x14ac:dyDescent="0.2">
      <c r="B68" s="16" t="str">
        <f t="shared" si="4"/>
        <v/>
      </c>
      <c r="C68" s="15" t="str">
        <f t="shared" si="5"/>
        <v>OIS</v>
      </c>
      <c r="D68" s="14" t="s">
        <v>41</v>
      </c>
      <c r="E68" s="14" t="str">
        <f>ON_Swaps!L39</f>
        <v>USD_YCONRH_OIS45M#0001</v>
      </c>
      <c r="F68" s="13">
        <f>_xll.qlRateHelperQuoteValue($E68,Trigger)</f>
        <v>1.1379999999999999E-2</v>
      </c>
      <c r="G68" s="13" t="e">
        <f>_xll.qlSwapRateHelperSpread($E68,Trigger)</f>
        <v>#NUM!</v>
      </c>
      <c r="H68" s="6" t="b">
        <v>0</v>
      </c>
      <c r="I68" s="6">
        <v>50</v>
      </c>
      <c r="J68" s="6">
        <v>1</v>
      </c>
      <c r="K68" s="12">
        <f>_xll.qlRateHelperEarliestDate($E68,Trigger)</f>
        <v>41767</v>
      </c>
      <c r="L68" s="11">
        <f>_xll.qlRateHelperLatestDate($E68,Trigger)</f>
        <v>43139</v>
      </c>
    </row>
    <row r="69" spans="2:12" x14ac:dyDescent="0.2">
      <c r="B69" s="16" t="str">
        <f t="shared" si="4"/>
        <v/>
      </c>
      <c r="C69" s="15" t="str">
        <f t="shared" si="5"/>
        <v>OIS</v>
      </c>
      <c r="D69" s="14" t="s">
        <v>30</v>
      </c>
      <c r="E69" s="14" t="str">
        <f>ON_Swaps!L40</f>
        <v>USD_YCONRH_OIS4Y#0001</v>
      </c>
      <c r="F69" s="13">
        <f>_xll.qlRateHelperQuoteValue($E69,Trigger)</f>
        <v>1.2269999999999998E-2</v>
      </c>
      <c r="G69" s="13" t="e">
        <f>_xll.qlSwapRateHelperSpread($E69,Trigger)</f>
        <v>#NUM!</v>
      </c>
      <c r="H69" s="6" t="b">
        <v>1</v>
      </c>
      <c r="I69" s="6">
        <v>50</v>
      </c>
      <c r="J69" s="6">
        <v>1</v>
      </c>
      <c r="K69" s="12">
        <f>_xll.qlRateHelperEarliestDate($E69,Trigger)</f>
        <v>41767</v>
      </c>
      <c r="L69" s="11">
        <f>_xll.qlRateHelperLatestDate($E69,Trigger)</f>
        <v>43228</v>
      </c>
    </row>
    <row r="70" spans="2:12" x14ac:dyDescent="0.2">
      <c r="B70" s="16" t="str">
        <f t="shared" si="4"/>
        <v/>
      </c>
      <c r="C70" s="15" t="str">
        <f t="shared" si="5"/>
        <v>OIS</v>
      </c>
      <c r="D70" s="14" t="s">
        <v>40</v>
      </c>
      <c r="E70" s="14" t="str">
        <f>ON_Swaps!L41</f>
        <v>USD_YCONRH_OIS51M#0001</v>
      </c>
      <c r="F70" s="13">
        <f>_xll.qlRateHelperQuoteValue($E70,Trigger)</f>
        <v>1.319E-2</v>
      </c>
      <c r="G70" s="13" t="e">
        <f>_xll.qlSwapRateHelperSpread($E70,Trigger)</f>
        <v>#NUM!</v>
      </c>
      <c r="H70" s="6" t="b">
        <v>0</v>
      </c>
      <c r="I70" s="6">
        <v>50</v>
      </c>
      <c r="J70" s="6">
        <v>1</v>
      </c>
      <c r="K70" s="12">
        <f>_xll.qlRateHelperEarliestDate($E70,Trigger)</f>
        <v>41767</v>
      </c>
      <c r="L70" s="11">
        <f>_xll.qlRateHelperLatestDate($E70,Trigger)</f>
        <v>43320</v>
      </c>
    </row>
    <row r="71" spans="2:12" x14ac:dyDescent="0.2">
      <c r="B71" s="16" t="str">
        <f t="shared" si="4"/>
        <v/>
      </c>
      <c r="C71" s="15" t="str">
        <f t="shared" si="5"/>
        <v>OIS</v>
      </c>
      <c r="D71" s="14" t="s">
        <v>39</v>
      </c>
      <c r="E71" s="14" t="str">
        <f>ON_Swaps!L42</f>
        <v>USD_YCONRH_OIS54M#0001</v>
      </c>
      <c r="F71" s="13">
        <f>_xll.qlRateHelperQuoteValue($E71,Trigger)</f>
        <v>1.3999999999999999E-2</v>
      </c>
      <c r="G71" s="13" t="e">
        <f>_xll.qlSwapRateHelperSpread($E71,Trigger)</f>
        <v>#NUM!</v>
      </c>
      <c r="H71" s="6" t="b">
        <v>0</v>
      </c>
      <c r="I71" s="6">
        <v>50</v>
      </c>
      <c r="J71" s="6">
        <v>1</v>
      </c>
      <c r="K71" s="12">
        <f>_xll.qlRateHelperEarliestDate($E71,Trigger)</f>
        <v>41767</v>
      </c>
      <c r="L71" s="11">
        <f>_xll.qlRateHelperLatestDate($E71,Trigger)</f>
        <v>43412</v>
      </c>
    </row>
    <row r="72" spans="2:12" x14ac:dyDescent="0.2">
      <c r="B72" s="16" t="str">
        <f t="shared" si="4"/>
        <v/>
      </c>
      <c r="C72" s="15" t="str">
        <f t="shared" si="5"/>
        <v>OIS</v>
      </c>
      <c r="D72" s="14" t="s">
        <v>38</v>
      </c>
      <c r="E72" s="14" t="str">
        <f>ON_Swaps!L43</f>
        <v>USD_YCONRH_OIS57M#0001</v>
      </c>
      <c r="F72" s="13">
        <f>_xll.qlRateHelperQuoteValue($E72,Trigger)</f>
        <v>1.4870000000000001E-2</v>
      </c>
      <c r="G72" s="13" t="e">
        <f>_xll.qlSwapRateHelperSpread($E72,Trigger)</f>
        <v>#NUM!</v>
      </c>
      <c r="H72" s="6" t="b">
        <v>0</v>
      </c>
      <c r="I72" s="6">
        <v>50</v>
      </c>
      <c r="J72" s="6">
        <v>1</v>
      </c>
      <c r="K72" s="12">
        <f>_xll.qlRateHelperEarliestDate($E72,Trigger)</f>
        <v>41767</v>
      </c>
      <c r="L72" s="11">
        <f>_xll.qlRateHelperLatestDate($E72,Trigger)</f>
        <v>43504</v>
      </c>
    </row>
    <row r="73" spans="2:12" x14ac:dyDescent="0.2">
      <c r="B73" s="16" t="str">
        <f t="shared" si="4"/>
        <v/>
      </c>
      <c r="C73" s="15" t="str">
        <f t="shared" si="5"/>
        <v>OIS</v>
      </c>
      <c r="D73" s="14" t="s">
        <v>29</v>
      </c>
      <c r="E73" s="14" t="str">
        <f>ON_Swaps!L44</f>
        <v>USD_YCONRH_OIS5Y#0001</v>
      </c>
      <c r="F73" s="13">
        <f>_xll.qlRateHelperQuoteValue($E73,Trigger)</f>
        <v>1.5579999999999998E-2</v>
      </c>
      <c r="G73" s="13" t="e">
        <f>_xll.qlSwapRateHelperSpread($E73,Trigger)</f>
        <v>#NUM!</v>
      </c>
      <c r="H73" s="6" t="b">
        <f t="shared" ref="H73:H81" si="6">IF(ISERROR(F73),FALSE,IF(L73&lt;=$N$16,TRUE,IF(L73&gt;$N$17,TRUE,IF(L72&lt;$N$16,TRUE,FALSE))))</f>
        <v>1</v>
      </c>
      <c r="I73" s="6">
        <v>50</v>
      </c>
      <c r="J73" s="6">
        <v>1</v>
      </c>
      <c r="K73" s="12">
        <f>_xll.qlRateHelperEarliestDate($E73,Trigger)</f>
        <v>41767</v>
      </c>
      <c r="L73" s="11">
        <f>_xll.qlRateHelperLatestDate($E73,Trigger)</f>
        <v>43593</v>
      </c>
    </row>
    <row r="74" spans="2:12" x14ac:dyDescent="0.2">
      <c r="B74" s="16" t="str">
        <f t="shared" si="4"/>
        <v/>
      </c>
      <c r="C74" s="15" t="str">
        <f t="shared" si="5"/>
        <v>OIS</v>
      </c>
      <c r="D74" s="14" t="s">
        <v>28</v>
      </c>
      <c r="E74" s="14" t="str">
        <f>ON_Swaps!L45</f>
        <v>USD_YCONRH_OIS6Y#0001</v>
      </c>
      <c r="F74" s="13">
        <f>_xll.qlRateHelperQuoteValue($E74,Trigger)</f>
        <v>1.8260000000000002E-2</v>
      </c>
      <c r="G74" s="13" t="e">
        <f>_xll.qlSwapRateHelperSpread($E74,Trigger)</f>
        <v>#NUM!</v>
      </c>
      <c r="H74" s="6" t="b">
        <f t="shared" si="6"/>
        <v>1</v>
      </c>
      <c r="I74" s="6">
        <v>50</v>
      </c>
      <c r="J74" s="6">
        <v>1</v>
      </c>
      <c r="K74" s="12">
        <f>_xll.qlRateHelperEarliestDate($E74,Trigger)</f>
        <v>41767</v>
      </c>
      <c r="L74" s="11">
        <f>_xll.qlRateHelperLatestDate($E74,Trigger)</f>
        <v>43959</v>
      </c>
    </row>
    <row r="75" spans="2:12" x14ac:dyDescent="0.2">
      <c r="B75" s="16" t="str">
        <f t="shared" si="4"/>
        <v/>
      </c>
      <c r="C75" s="15" t="str">
        <f t="shared" si="5"/>
        <v>OIS</v>
      </c>
      <c r="D75" s="14" t="s">
        <v>27</v>
      </c>
      <c r="E75" s="14" t="str">
        <f>ON_Swaps!L46</f>
        <v>USD_YCONRH_OIS7Y#0001</v>
      </c>
      <c r="F75" s="13">
        <f>_xll.qlRateHelperQuoteValue($E75,Trigger)</f>
        <v>2.0389999999999998E-2</v>
      </c>
      <c r="G75" s="13" t="e">
        <f>_xll.qlSwapRateHelperSpread($E75,Trigger)</f>
        <v>#NUM!</v>
      </c>
      <c r="H75" s="6" t="b">
        <f t="shared" si="6"/>
        <v>1</v>
      </c>
      <c r="I75" s="6">
        <v>50</v>
      </c>
      <c r="J75" s="6">
        <v>1</v>
      </c>
      <c r="K75" s="12">
        <f>_xll.qlRateHelperEarliestDate($E75,Trigger)</f>
        <v>41767</v>
      </c>
      <c r="L75" s="11">
        <f>_xll.qlRateHelperLatestDate($E75,Trigger)</f>
        <v>44326</v>
      </c>
    </row>
    <row r="76" spans="2:12" x14ac:dyDescent="0.2">
      <c r="B76" s="16" t="str">
        <f t="shared" si="4"/>
        <v/>
      </c>
      <c r="C76" s="15" t="str">
        <f t="shared" si="5"/>
        <v>OIS</v>
      </c>
      <c r="D76" s="14" t="s">
        <v>26</v>
      </c>
      <c r="E76" s="14" t="str">
        <f>ON_Swaps!L47</f>
        <v>USD_YCONRH_OIS8Y#0001</v>
      </c>
      <c r="F76" s="13">
        <f>_xll.qlRateHelperQuoteValue($E76,Trigger)</f>
        <v>2.2099999999999998E-2</v>
      </c>
      <c r="G76" s="13" t="e">
        <f>_xll.qlSwapRateHelperSpread($E76,Trigger)</f>
        <v>#NUM!</v>
      </c>
      <c r="H76" s="6" t="b">
        <f t="shared" si="6"/>
        <v>1</v>
      </c>
      <c r="I76" s="6">
        <v>50</v>
      </c>
      <c r="J76" s="6">
        <v>1</v>
      </c>
      <c r="K76" s="12">
        <f>_xll.qlRateHelperEarliestDate($E76,Trigger)</f>
        <v>41767</v>
      </c>
      <c r="L76" s="11">
        <f>_xll.qlRateHelperLatestDate($E76,Trigger)</f>
        <v>44690</v>
      </c>
    </row>
    <row r="77" spans="2:12" x14ac:dyDescent="0.2">
      <c r="B77" s="16" t="str">
        <f t="shared" si="4"/>
        <v/>
      </c>
      <c r="C77" s="15" t="str">
        <f t="shared" si="5"/>
        <v>OIS</v>
      </c>
      <c r="D77" s="14" t="s">
        <v>25</v>
      </c>
      <c r="E77" s="14" t="str">
        <f>ON_Swaps!L48</f>
        <v>USD_YCONRH_OIS9Y#0001</v>
      </c>
      <c r="F77" s="13">
        <f>_xll.qlRateHelperQuoteValue($E77,Trigger)</f>
        <v>2.351E-2</v>
      </c>
      <c r="G77" s="13" t="e">
        <f>_xll.qlSwapRateHelperSpread($E77,Trigger)</f>
        <v>#NUM!</v>
      </c>
      <c r="H77" s="6" t="b">
        <f t="shared" si="6"/>
        <v>1</v>
      </c>
      <c r="I77" s="6">
        <v>50</v>
      </c>
      <c r="J77" s="6">
        <v>1</v>
      </c>
      <c r="K77" s="12">
        <f>_xll.qlRateHelperEarliestDate($E77,Trigger)</f>
        <v>41767</v>
      </c>
      <c r="L77" s="11">
        <f>_xll.qlRateHelperLatestDate($E77,Trigger)</f>
        <v>45054</v>
      </c>
    </row>
    <row r="78" spans="2:12" x14ac:dyDescent="0.2">
      <c r="B78" s="16" t="str">
        <f t="shared" si="4"/>
        <v/>
      </c>
      <c r="C78" s="15" t="str">
        <f t="shared" si="5"/>
        <v>OIS</v>
      </c>
      <c r="D78" s="14" t="s">
        <v>24</v>
      </c>
      <c r="E78" s="14" t="str">
        <f>ON_Swaps!L49</f>
        <v>USD_YCONRH_OIS10Y#0001</v>
      </c>
      <c r="F78" s="13">
        <f>_xll.qlRateHelperQuoteValue($E78,Trigger)</f>
        <v>2.4690000000000004E-2</v>
      </c>
      <c r="G78" s="13" t="e">
        <f>_xll.qlSwapRateHelperSpread($E78,Trigger)</f>
        <v>#NUM!</v>
      </c>
      <c r="H78" s="6" t="b">
        <f t="shared" si="6"/>
        <v>1</v>
      </c>
      <c r="I78" s="6">
        <v>50</v>
      </c>
      <c r="J78" s="6">
        <v>1</v>
      </c>
      <c r="K78" s="12">
        <f>_xll.qlRateHelperEarliestDate($E78,Trigger)</f>
        <v>41767</v>
      </c>
      <c r="L78" s="11">
        <f>_xll.qlRateHelperLatestDate($E78,Trigger)</f>
        <v>45420</v>
      </c>
    </row>
    <row r="79" spans="2:12" x14ac:dyDescent="0.2">
      <c r="B79" s="16" t="str">
        <f t="shared" si="4"/>
        <v/>
      </c>
      <c r="C79" s="15" t="str">
        <f t="shared" si="5"/>
        <v>OIS</v>
      </c>
      <c r="D79" s="14" t="s">
        <v>22</v>
      </c>
      <c r="E79" s="14" t="str">
        <f>ON_Swaps!L50</f>
        <v>USD_YCONRH_OIS12Y#0001</v>
      </c>
      <c r="F79" s="13">
        <f>_xll.qlRateHelperQuoteValue($E79,Trigger)</f>
        <v>2.6600000000000002E-2</v>
      </c>
      <c r="G79" s="13" t="e">
        <f>_xll.qlSwapRateHelperSpread($E79,Trigger)</f>
        <v>#NUM!</v>
      </c>
      <c r="H79" s="6" t="b">
        <f t="shared" si="6"/>
        <v>1</v>
      </c>
      <c r="I79" s="6">
        <v>50</v>
      </c>
      <c r="J79" s="6">
        <v>1</v>
      </c>
      <c r="K79" s="12">
        <f>_xll.qlRateHelperEarliestDate($E79,Trigger)</f>
        <v>41767</v>
      </c>
      <c r="L79" s="11">
        <f>_xll.qlRateHelperLatestDate($E79,Trigger)</f>
        <v>46150</v>
      </c>
    </row>
    <row r="80" spans="2:12" x14ac:dyDescent="0.2">
      <c r="B80" s="16" t="str">
        <f t="shared" si="4"/>
        <v/>
      </c>
      <c r="C80" s="15" t="str">
        <f t="shared" si="5"/>
        <v>OIS</v>
      </c>
      <c r="D80" s="14" t="s">
        <v>19</v>
      </c>
      <c r="E80" s="14" t="str">
        <f>ON_Swaps!L51</f>
        <v>USD_YCONRH_OIS15Y#0001</v>
      </c>
      <c r="F80" s="13">
        <f>_xll.qlRateHelperQuoteValue($E80,Trigger)</f>
        <v>2.8609999999999997E-2</v>
      </c>
      <c r="G80" s="13" t="e">
        <f>_xll.qlSwapRateHelperSpread($E80,Trigger)</f>
        <v>#NUM!</v>
      </c>
      <c r="H80" s="6" t="b">
        <f t="shared" si="6"/>
        <v>1</v>
      </c>
      <c r="I80" s="6">
        <v>50</v>
      </c>
      <c r="J80" s="6">
        <v>1</v>
      </c>
      <c r="K80" s="12">
        <f>_xll.qlRateHelperEarliestDate($E80,Trigger)</f>
        <v>41767</v>
      </c>
      <c r="L80" s="11">
        <f>_xll.qlRateHelperLatestDate($E80,Trigger)</f>
        <v>47246</v>
      </c>
    </row>
    <row r="81" spans="2:12" x14ac:dyDescent="0.2">
      <c r="B81" s="16"/>
      <c r="C81" s="15" t="str">
        <f t="shared" si="5"/>
        <v>OIS</v>
      </c>
      <c r="D81" s="14" t="s">
        <v>14</v>
      </c>
      <c r="E81" s="14" t="str">
        <f>ON_Swaps!L52</f>
        <v>USD_YCONRH_OIS20Y#0001</v>
      </c>
      <c r="F81" s="13">
        <f>_xll.qlRateHelperQuoteValue($E81,Trigger)</f>
        <v>3.0259999999999999E-2</v>
      </c>
      <c r="G81" s="13" t="e">
        <f>_xll.qlSwapRateHelperSpread($E81,Trigger)</f>
        <v>#NUM!</v>
      </c>
      <c r="H81" s="6" t="b">
        <f t="shared" si="6"/>
        <v>1</v>
      </c>
      <c r="I81" s="6">
        <v>50</v>
      </c>
      <c r="J81" s="6">
        <v>1</v>
      </c>
      <c r="K81" s="12">
        <f>_xll.qlRateHelperEarliestDate($E81,Trigger)</f>
        <v>41767</v>
      </c>
      <c r="L81" s="11">
        <f>_xll.qlRateHelperLatestDate($E81,Trigger)</f>
        <v>49072</v>
      </c>
    </row>
    <row r="82" spans="2:12" x14ac:dyDescent="0.2">
      <c r="B82" s="16"/>
      <c r="C82" s="15" t="str">
        <f t="shared" si="5"/>
        <v>OIS</v>
      </c>
      <c r="D82" s="14" t="s">
        <v>9</v>
      </c>
      <c r="E82" s="14" t="str">
        <f>ON_Swaps!L53</f>
        <v>USD_YCONRH_OIS25Y#0001</v>
      </c>
      <c r="F82" s="13">
        <f>_xll.qlRateHelperQuoteValue($E82,Trigger)</f>
        <v>3.1029999999999999E-2</v>
      </c>
      <c r="G82" s="13" t="e">
        <f>_xll.qlSwapRateHelperSpread($E82,Trigger)</f>
        <v>#NUM!</v>
      </c>
      <c r="H82" s="6" t="b">
        <v>1</v>
      </c>
      <c r="I82" s="6">
        <v>50</v>
      </c>
      <c r="J82" s="6">
        <v>1</v>
      </c>
      <c r="K82" s="12">
        <f>_xll.qlRateHelperEarliestDate($E82,Trigger)</f>
        <v>41767</v>
      </c>
      <c r="L82" s="11">
        <f>_xll.qlRateHelperLatestDate($E82,Trigger)</f>
        <v>50899</v>
      </c>
    </row>
    <row r="83" spans="2:12" x14ac:dyDescent="0.2">
      <c r="B83" s="16"/>
      <c r="C83" s="15" t="str">
        <f t="shared" si="5"/>
        <v>OIS</v>
      </c>
      <c r="D83" s="14" t="s">
        <v>7</v>
      </c>
      <c r="E83" s="14" t="str">
        <f>ON_Swaps!L54</f>
        <v>USD_YCONRH_OIS27Y#0001</v>
      </c>
      <c r="F83" s="13" t="e">
        <f>_xll.qlRateHelperQuoteValue($E83,Trigger)</f>
        <v>#NUM!</v>
      </c>
      <c r="G83" s="13" t="e">
        <f>_xll.qlSwapRateHelperSpread($E83,Trigger)</f>
        <v>#NUM!</v>
      </c>
      <c r="H83" s="6" t="b">
        <f t="shared" ref="H83:H125" si="7">IF(ISERROR(F83),FALSE,IF(L83&lt;=$N$16,TRUE,IF(L83&gt;$N$17,TRUE,IF(L82&lt;$N$16,TRUE,FALSE))))</f>
        <v>0</v>
      </c>
      <c r="I83" s="6">
        <v>50</v>
      </c>
      <c r="J83" s="6">
        <v>1</v>
      </c>
      <c r="K83" s="12">
        <f>_xll.qlRateHelperEarliestDate($E83,Trigger)</f>
        <v>41767</v>
      </c>
      <c r="L83" s="11">
        <f>_xll.qlRateHelperLatestDate($E83,Trigger)</f>
        <v>51629</v>
      </c>
    </row>
    <row r="84" spans="2:12" x14ac:dyDescent="0.2">
      <c r="B84" s="16" t="str">
        <f t="shared" ref="B84:B125" si="8">SwapFixedFreq</f>
        <v/>
      </c>
      <c r="C84" s="15" t="str">
        <f t="shared" si="5"/>
        <v>OIS</v>
      </c>
      <c r="D84" s="14" t="s">
        <v>4</v>
      </c>
      <c r="E84" s="14" t="str">
        <f>ON_Swaps!L55</f>
        <v>USD_YCONRH_OIS30Y#0001</v>
      </c>
      <c r="F84" s="13">
        <f>_xll.qlRateHelperQuoteValue($E84,Trigger)</f>
        <v>3.1349999999999996E-2</v>
      </c>
      <c r="G84" s="13" t="e">
        <f>_xll.qlSwapRateHelperSpread($E84,Trigger)</f>
        <v>#NUM!</v>
      </c>
      <c r="H84" s="6" t="b">
        <v>0</v>
      </c>
      <c r="I84" s="6">
        <v>50</v>
      </c>
      <c r="J84" s="6">
        <v>1</v>
      </c>
      <c r="K84" s="12">
        <f>_xll.qlRateHelperEarliestDate($E84,Trigger)</f>
        <v>41767</v>
      </c>
      <c r="L84" s="11">
        <f>_xll.qlRateHelperLatestDate($E84,Trigger)</f>
        <v>52726</v>
      </c>
    </row>
    <row r="85" spans="2:12" x14ac:dyDescent="0.2">
      <c r="B85" s="16" t="str">
        <f t="shared" si="8"/>
        <v/>
      </c>
      <c r="C85" s="15" t="str">
        <f t="shared" si="5"/>
        <v>OIS</v>
      </c>
      <c r="D85" s="14" t="s">
        <v>3</v>
      </c>
      <c r="E85" s="14" t="str">
        <f>ON_Swaps!L56</f>
        <v>USD_YCONRH_OIS35Y#0001</v>
      </c>
      <c r="F85" s="13">
        <f>_xll.qlRateHelperQuoteValue($E85,Trigger)</f>
        <v>3.141E-2</v>
      </c>
      <c r="G85" s="13" t="e">
        <f>_xll.qlSwapRateHelperSpread($E85,Trigger)</f>
        <v>#NUM!</v>
      </c>
      <c r="H85" s="6" t="b">
        <f t="shared" si="7"/>
        <v>1</v>
      </c>
      <c r="I85" s="6">
        <v>50</v>
      </c>
      <c r="J85" s="6">
        <v>1</v>
      </c>
      <c r="K85" s="12">
        <f>_xll.qlRateHelperEarliestDate($E85,Trigger)</f>
        <v>41767</v>
      </c>
      <c r="L85" s="11">
        <f>_xll.qlRateHelperLatestDate($E85,Trigger)</f>
        <v>54553</v>
      </c>
    </row>
    <row r="86" spans="2:12" x14ac:dyDescent="0.2">
      <c r="B86" s="16" t="str">
        <f t="shared" si="8"/>
        <v/>
      </c>
      <c r="C86" s="15" t="str">
        <f t="shared" si="5"/>
        <v>OIS</v>
      </c>
      <c r="D86" s="14" t="s">
        <v>2</v>
      </c>
      <c r="E86" s="14" t="str">
        <f>ON_Swaps!L57</f>
        <v>USD_YCONRH_OIS40Y#0001</v>
      </c>
      <c r="F86" s="13">
        <f>_xll.qlRateHelperQuoteValue($E86,Trigger)</f>
        <v>3.1440000000000003E-2</v>
      </c>
      <c r="G86" s="13" t="e">
        <f>_xll.qlSwapRateHelperSpread($E86,Trigger)</f>
        <v>#NUM!</v>
      </c>
      <c r="H86" s="6" t="b">
        <f t="shared" si="7"/>
        <v>1</v>
      </c>
      <c r="I86" s="6">
        <v>50</v>
      </c>
      <c r="J86" s="6">
        <v>1</v>
      </c>
      <c r="K86" s="12">
        <f>_xll.qlRateHelperEarliestDate($E86,Trigger)</f>
        <v>41767</v>
      </c>
      <c r="L86" s="11">
        <f>_xll.qlRateHelperLatestDate($E86,Trigger)</f>
        <v>56377</v>
      </c>
    </row>
    <row r="87" spans="2:12" x14ac:dyDescent="0.2">
      <c r="B87" s="16" t="str">
        <f t="shared" si="8"/>
        <v/>
      </c>
      <c r="C87" s="15" t="str">
        <f t="shared" si="5"/>
        <v>OIS</v>
      </c>
      <c r="D87" s="14" t="s">
        <v>37</v>
      </c>
      <c r="E87" s="14" t="str">
        <f>ON_Swaps!L58</f>
        <v>USD_YCONRH_OIS45Y#0001</v>
      </c>
      <c r="F87" s="13">
        <f>_xll.qlRateHelperQuoteValue($E87,Trigger)</f>
        <v>3.134E-2</v>
      </c>
      <c r="G87" s="13" t="e">
        <f>_xll.qlSwapRateHelperSpread($E87,Trigger)</f>
        <v>#NUM!</v>
      </c>
      <c r="H87" s="6" t="b">
        <f t="shared" si="7"/>
        <v>1</v>
      </c>
      <c r="I87" s="6">
        <v>50</v>
      </c>
      <c r="J87" s="6">
        <v>1</v>
      </c>
      <c r="K87" s="12">
        <f>_xll.qlRateHelperEarliestDate($E87,Trigger)</f>
        <v>41767</v>
      </c>
      <c r="L87" s="11">
        <f>_xll.qlRateHelperLatestDate($E87,Trigger)</f>
        <v>58203</v>
      </c>
    </row>
    <row r="88" spans="2:12" x14ac:dyDescent="0.2">
      <c r="B88" s="10" t="str">
        <f t="shared" si="8"/>
        <v/>
      </c>
      <c r="C88" s="9" t="str">
        <f t="shared" si="5"/>
        <v>OIS</v>
      </c>
      <c r="D88" s="8" t="s">
        <v>1</v>
      </c>
      <c r="E88" s="8" t="str">
        <f>ON_Swaps!L59</f>
        <v>USD_YCONRH_OIS50Y#0001</v>
      </c>
      <c r="F88" s="7">
        <f>_xll.qlRateHelperQuoteValue($E88,Trigger)</f>
        <v>3.125E-2</v>
      </c>
      <c r="G88" s="7" t="e">
        <f>_xll.qlSwapRateHelperSpread($E88,Trigger)</f>
        <v>#NUM!</v>
      </c>
      <c r="H88" s="6" t="b">
        <f t="shared" si="7"/>
        <v>1</v>
      </c>
      <c r="I88" s="5">
        <v>50</v>
      </c>
      <c r="J88" s="5">
        <v>1</v>
      </c>
      <c r="K88" s="4">
        <f>_xll.qlRateHelperEarliestDate($E88,Trigger)</f>
        <v>41767</v>
      </c>
      <c r="L88" s="3">
        <f>_xll.qlRateHelperLatestDate($E88,Trigger)</f>
        <v>60030</v>
      </c>
    </row>
    <row r="89" spans="2:12" x14ac:dyDescent="0.2">
      <c r="B89" s="16" t="str">
        <f t="shared" si="8"/>
        <v/>
      </c>
      <c r="C89" s="15" t="str">
        <f t="shared" ref="C89:C125" si="9">IborType&amp;"BASIS"</f>
        <v>OISBASIS</v>
      </c>
      <c r="D89" s="14" t="s">
        <v>36</v>
      </c>
      <c r="E89" s="14" t="str">
        <f t="shared" ref="E89:E97" si="10">RateHelperPrefix&amp;"_"&amp;$B89&amp;$C89&amp;$D89</f>
        <v>USD_YCONRH_OISBASIS1Y</v>
      </c>
      <c r="F89" s="13" t="e">
        <f>_xll.qlRateHelperQuoteValue($E89,Trigger)</f>
        <v>#NUM!</v>
      </c>
      <c r="G89" s="13" t="e">
        <f>_xll.qlSwapRateHelperSpread($E89,Trigger)</f>
        <v>#NUM!</v>
      </c>
      <c r="H89" s="6" t="b">
        <f t="shared" si="7"/>
        <v>0</v>
      </c>
      <c r="I89" s="6">
        <v>40</v>
      </c>
      <c r="J89" s="6">
        <v>1</v>
      </c>
      <c r="K89" s="12" t="e">
        <f>_xll.qlRateHelperEarliestDate($E89,Trigger)</f>
        <v>#NUM!</v>
      </c>
      <c r="L89" s="11" t="e">
        <f>_xll.qlRateHelperLatestDate($E89,Trigger)</f>
        <v>#NUM!</v>
      </c>
    </row>
    <row r="90" spans="2:12" x14ac:dyDescent="0.2">
      <c r="B90" s="16" t="str">
        <f t="shared" si="8"/>
        <v/>
      </c>
      <c r="C90" s="15" t="str">
        <f t="shared" si="9"/>
        <v>OISBASIS</v>
      </c>
      <c r="D90" s="14" t="s">
        <v>35</v>
      </c>
      <c r="E90" s="14" t="str">
        <f t="shared" si="10"/>
        <v>USD_YCONRH_OISBASIS15M</v>
      </c>
      <c r="F90" s="13" t="e">
        <f>_xll.qlRateHelperQuoteValue($E90,Trigger)</f>
        <v>#NUM!</v>
      </c>
      <c r="G90" s="13" t="e">
        <f>_xll.qlSwapRateHelperSpread($E90,Trigger)</f>
        <v>#NUM!</v>
      </c>
      <c r="H90" s="6" t="b">
        <f t="shared" si="7"/>
        <v>0</v>
      </c>
      <c r="I90" s="6">
        <v>40</v>
      </c>
      <c r="J90" s="6">
        <v>1</v>
      </c>
      <c r="K90" s="12" t="e">
        <f>_xll.qlRateHelperEarliestDate($E90,Trigger)</f>
        <v>#NUM!</v>
      </c>
      <c r="L90" s="11" t="e">
        <f>_xll.qlRateHelperLatestDate($E90,Trigger)</f>
        <v>#NUM!</v>
      </c>
    </row>
    <row r="91" spans="2:12" x14ac:dyDescent="0.2">
      <c r="B91" s="16" t="str">
        <f t="shared" si="8"/>
        <v/>
      </c>
      <c r="C91" s="15" t="str">
        <f t="shared" si="9"/>
        <v>OISBASIS</v>
      </c>
      <c r="D91" s="14" t="s">
        <v>34</v>
      </c>
      <c r="E91" s="14" t="str">
        <f t="shared" si="10"/>
        <v>USD_YCONRH_OISBASIS18M</v>
      </c>
      <c r="F91" s="13" t="e">
        <f>_xll.qlRateHelperQuoteValue($E91,Trigger)</f>
        <v>#NUM!</v>
      </c>
      <c r="G91" s="13" t="e">
        <f>_xll.qlSwapRateHelperSpread($E91,Trigger)</f>
        <v>#NUM!</v>
      </c>
      <c r="H91" s="6" t="b">
        <f t="shared" si="7"/>
        <v>0</v>
      </c>
      <c r="I91" s="6">
        <v>40</v>
      </c>
      <c r="J91" s="6">
        <v>1</v>
      </c>
      <c r="K91" s="12" t="e">
        <f>_xll.qlRateHelperEarliestDate($E91,Trigger)</f>
        <v>#NUM!</v>
      </c>
      <c r="L91" s="11" t="e">
        <f>_xll.qlRateHelperLatestDate($E91,Trigger)</f>
        <v>#NUM!</v>
      </c>
    </row>
    <row r="92" spans="2:12" x14ac:dyDescent="0.2">
      <c r="B92" s="16" t="str">
        <f t="shared" si="8"/>
        <v/>
      </c>
      <c r="C92" s="15" t="str">
        <f t="shared" si="9"/>
        <v>OISBASIS</v>
      </c>
      <c r="D92" s="14" t="s">
        <v>33</v>
      </c>
      <c r="E92" s="14" t="str">
        <f t="shared" si="10"/>
        <v>USD_YCONRH_OISBASIS21M</v>
      </c>
      <c r="F92" s="13" t="e">
        <f>_xll.qlRateHelperQuoteValue($E92,Trigger)</f>
        <v>#NUM!</v>
      </c>
      <c r="G92" s="13" t="e">
        <f>_xll.qlSwapRateHelperSpread($E92,Trigger)</f>
        <v>#NUM!</v>
      </c>
      <c r="H92" s="6" t="b">
        <f t="shared" si="7"/>
        <v>0</v>
      </c>
      <c r="I92" s="6">
        <v>40</v>
      </c>
      <c r="J92" s="6">
        <v>1</v>
      </c>
      <c r="K92" s="12" t="e">
        <f>_xll.qlRateHelperEarliestDate($E92,Trigger)</f>
        <v>#NUM!</v>
      </c>
      <c r="L92" s="11" t="e">
        <f>_xll.qlRateHelperLatestDate($E92,Trigger)</f>
        <v>#NUM!</v>
      </c>
    </row>
    <row r="93" spans="2:12" x14ac:dyDescent="0.2">
      <c r="B93" s="16" t="str">
        <f t="shared" si="8"/>
        <v/>
      </c>
      <c r="C93" s="15" t="str">
        <f t="shared" si="9"/>
        <v>OISBASIS</v>
      </c>
      <c r="D93" s="14" t="s">
        <v>32</v>
      </c>
      <c r="E93" s="14" t="str">
        <f t="shared" si="10"/>
        <v>USD_YCONRH_OISBASIS2Y</v>
      </c>
      <c r="F93" s="13" t="e">
        <f>_xll.qlRateHelperQuoteValue($E93,Trigger)</f>
        <v>#NUM!</v>
      </c>
      <c r="G93" s="13" t="e">
        <f>_xll.qlSwapRateHelperSpread($E93,Trigger)</f>
        <v>#NUM!</v>
      </c>
      <c r="H93" s="6" t="b">
        <f t="shared" si="7"/>
        <v>0</v>
      </c>
      <c r="I93" s="6">
        <v>40</v>
      </c>
      <c r="J93" s="6">
        <v>1</v>
      </c>
      <c r="K93" s="12" t="e">
        <f>_xll.qlRateHelperEarliestDate($E93,Trigger)</f>
        <v>#NUM!</v>
      </c>
      <c r="L93" s="11" t="e">
        <f>_xll.qlRateHelperLatestDate($E93,Trigger)</f>
        <v>#NUM!</v>
      </c>
    </row>
    <row r="94" spans="2:12" x14ac:dyDescent="0.2">
      <c r="B94" s="16" t="str">
        <f t="shared" si="8"/>
        <v/>
      </c>
      <c r="C94" s="15" t="str">
        <f t="shared" si="9"/>
        <v>OISBASIS</v>
      </c>
      <c r="D94" s="14" t="s">
        <v>31</v>
      </c>
      <c r="E94" s="14" t="str">
        <f t="shared" si="10"/>
        <v>USD_YCONRH_OISBASIS3Y</v>
      </c>
      <c r="F94" s="13" t="e">
        <f>_xll.qlRateHelperQuoteValue($E94,Trigger)</f>
        <v>#NUM!</v>
      </c>
      <c r="G94" s="13" t="e">
        <f>_xll.qlSwapRateHelperSpread($E94,Trigger)</f>
        <v>#NUM!</v>
      </c>
      <c r="H94" s="6" t="b">
        <f t="shared" si="7"/>
        <v>0</v>
      </c>
      <c r="I94" s="6">
        <v>40</v>
      </c>
      <c r="J94" s="6">
        <v>1</v>
      </c>
      <c r="K94" s="12" t="e">
        <f>_xll.qlRateHelperEarliestDate($E94,Trigger)</f>
        <v>#NUM!</v>
      </c>
      <c r="L94" s="11" t="e">
        <f>_xll.qlRateHelperLatestDate($E94,Trigger)</f>
        <v>#NUM!</v>
      </c>
    </row>
    <row r="95" spans="2:12" x14ac:dyDescent="0.2">
      <c r="B95" s="16" t="str">
        <f t="shared" si="8"/>
        <v/>
      </c>
      <c r="C95" s="15" t="str">
        <f t="shared" si="9"/>
        <v>OISBASIS</v>
      </c>
      <c r="D95" s="14" t="s">
        <v>30</v>
      </c>
      <c r="E95" s="14" t="str">
        <f t="shared" si="10"/>
        <v>USD_YCONRH_OISBASIS4Y</v>
      </c>
      <c r="F95" s="13" t="e">
        <f>_xll.qlRateHelperQuoteValue($E95,Trigger)</f>
        <v>#NUM!</v>
      </c>
      <c r="G95" s="13" t="e">
        <f>_xll.qlSwapRateHelperSpread($E95,Trigger)</f>
        <v>#NUM!</v>
      </c>
      <c r="H95" s="6" t="b">
        <f t="shared" si="7"/>
        <v>0</v>
      </c>
      <c r="I95" s="6">
        <v>40</v>
      </c>
      <c r="J95" s="6">
        <v>1</v>
      </c>
      <c r="K95" s="12" t="e">
        <f>_xll.qlRateHelperEarliestDate($E95,Trigger)</f>
        <v>#NUM!</v>
      </c>
      <c r="L95" s="11" t="e">
        <f>_xll.qlRateHelperLatestDate($E95,Trigger)</f>
        <v>#NUM!</v>
      </c>
    </row>
    <row r="96" spans="2:12" x14ac:dyDescent="0.2">
      <c r="B96" s="16" t="str">
        <f t="shared" si="8"/>
        <v/>
      </c>
      <c r="C96" s="15" t="str">
        <f t="shared" si="9"/>
        <v>OISBASIS</v>
      </c>
      <c r="D96" s="14" t="s">
        <v>29</v>
      </c>
      <c r="E96" s="14" t="str">
        <f t="shared" si="10"/>
        <v>USD_YCONRH_OISBASIS5Y</v>
      </c>
      <c r="F96" s="13" t="e">
        <f>_xll.qlRateHelperQuoteValue($E96,Trigger)</f>
        <v>#NUM!</v>
      </c>
      <c r="G96" s="13" t="e">
        <f>_xll.qlSwapRateHelperSpread($E96,Trigger)</f>
        <v>#NUM!</v>
      </c>
      <c r="H96" s="6" t="b">
        <f t="shared" si="7"/>
        <v>0</v>
      </c>
      <c r="I96" s="6">
        <v>40</v>
      </c>
      <c r="J96" s="6">
        <v>1</v>
      </c>
      <c r="K96" s="12" t="e">
        <f>_xll.qlRateHelperEarliestDate($E96,Trigger)</f>
        <v>#NUM!</v>
      </c>
      <c r="L96" s="11" t="e">
        <f>_xll.qlRateHelperLatestDate($E96,Trigger)</f>
        <v>#NUM!</v>
      </c>
    </row>
    <row r="97" spans="2:12" x14ac:dyDescent="0.2">
      <c r="B97" s="16" t="str">
        <f t="shared" si="8"/>
        <v/>
      </c>
      <c r="C97" s="15" t="str">
        <f t="shared" si="9"/>
        <v>OISBASIS</v>
      </c>
      <c r="D97" s="14" t="s">
        <v>28</v>
      </c>
      <c r="E97" s="14" t="str">
        <f t="shared" si="10"/>
        <v>USD_YCONRH_OISBASIS6Y</v>
      </c>
      <c r="F97" s="13" t="e">
        <f>_xll.qlRateHelperQuoteValue($E97,Trigger)</f>
        <v>#NUM!</v>
      </c>
      <c r="G97" s="13" t="e">
        <f>_xll.qlSwapRateHelperSpread($E97,Trigger)</f>
        <v>#NUM!</v>
      </c>
      <c r="H97" s="6" t="b">
        <f t="shared" si="7"/>
        <v>0</v>
      </c>
      <c r="I97" s="6">
        <v>40</v>
      </c>
      <c r="J97" s="6">
        <v>1</v>
      </c>
      <c r="K97" s="12" t="e">
        <f>_xll.qlRateHelperEarliestDate($E97,Trigger)</f>
        <v>#NUM!</v>
      </c>
      <c r="L97" s="11" t="e">
        <f>_xll.qlRateHelperLatestDate($E97,Trigger)</f>
        <v>#NUM!</v>
      </c>
    </row>
    <row r="98" spans="2:12" x14ac:dyDescent="0.2">
      <c r="B98" s="16" t="str">
        <f t="shared" si="8"/>
        <v/>
      </c>
      <c r="C98" s="15" t="str">
        <f t="shared" si="9"/>
        <v>OISBASIS</v>
      </c>
      <c r="D98" s="14" t="s">
        <v>27</v>
      </c>
      <c r="E98" s="14" t="str">
        <f t="shared" ref="E98:E125" si="11">RateHelperPrefix&amp;"_"&amp;$B98&amp;$C98&amp;$D98</f>
        <v>USD_YCONRH_OISBASIS7Y</v>
      </c>
      <c r="F98" s="13" t="e">
        <f>_xll.qlRateHelperQuoteValue($E98,Trigger)</f>
        <v>#NUM!</v>
      </c>
      <c r="G98" s="13" t="e">
        <f>_xll.qlSwapRateHelperSpread($E98,Trigger)</f>
        <v>#NUM!</v>
      </c>
      <c r="H98" s="6" t="b">
        <f t="shared" si="7"/>
        <v>0</v>
      </c>
      <c r="I98" s="6">
        <v>40</v>
      </c>
      <c r="J98" s="6">
        <v>1</v>
      </c>
      <c r="K98" s="12" t="e">
        <f>_xll.qlRateHelperEarliestDate($E98,Trigger)</f>
        <v>#NUM!</v>
      </c>
      <c r="L98" s="11" t="e">
        <f>_xll.qlRateHelperLatestDate($E98,Trigger)</f>
        <v>#NUM!</v>
      </c>
    </row>
    <row r="99" spans="2:12" x14ac:dyDescent="0.2">
      <c r="B99" s="16" t="str">
        <f t="shared" si="8"/>
        <v/>
      </c>
      <c r="C99" s="15" t="str">
        <f t="shared" si="9"/>
        <v>OISBASIS</v>
      </c>
      <c r="D99" s="14" t="s">
        <v>26</v>
      </c>
      <c r="E99" s="14" t="str">
        <f t="shared" si="11"/>
        <v>USD_YCONRH_OISBASIS8Y</v>
      </c>
      <c r="F99" s="13" t="e">
        <f>_xll.qlRateHelperQuoteValue($E99,Trigger)</f>
        <v>#NUM!</v>
      </c>
      <c r="G99" s="13" t="e">
        <f>_xll.qlSwapRateHelperSpread($E99,Trigger)</f>
        <v>#NUM!</v>
      </c>
      <c r="H99" s="6" t="b">
        <f t="shared" si="7"/>
        <v>0</v>
      </c>
      <c r="I99" s="6">
        <v>40</v>
      </c>
      <c r="J99" s="6">
        <v>1</v>
      </c>
      <c r="K99" s="12" t="e">
        <f>_xll.qlRateHelperEarliestDate($E99,Trigger)</f>
        <v>#NUM!</v>
      </c>
      <c r="L99" s="11" t="e">
        <f>_xll.qlRateHelperLatestDate($E99,Trigger)</f>
        <v>#NUM!</v>
      </c>
    </row>
    <row r="100" spans="2:12" x14ac:dyDescent="0.2">
      <c r="B100" s="16" t="str">
        <f t="shared" si="8"/>
        <v/>
      </c>
      <c r="C100" s="15" t="str">
        <f t="shared" si="9"/>
        <v>OISBASIS</v>
      </c>
      <c r="D100" s="14" t="s">
        <v>25</v>
      </c>
      <c r="E100" s="14" t="str">
        <f t="shared" si="11"/>
        <v>USD_YCONRH_OISBASIS9Y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6" t="b">
        <f t="shared" si="7"/>
        <v>0</v>
      </c>
      <c r="I100" s="6">
        <v>40</v>
      </c>
      <c r="J100" s="6">
        <v>1</v>
      </c>
      <c r="K100" s="12" t="e">
        <f>_xll.qlRateHelperEarliestDate($E100,Trigger)</f>
        <v>#NUM!</v>
      </c>
      <c r="L100" s="11" t="e">
        <f>_xll.qlRateHelperLatestDate($E100,Trigger)</f>
        <v>#NUM!</v>
      </c>
    </row>
    <row r="101" spans="2:12" x14ac:dyDescent="0.2">
      <c r="B101" s="16" t="str">
        <f t="shared" si="8"/>
        <v/>
      </c>
      <c r="C101" s="15" t="str">
        <f t="shared" si="9"/>
        <v>OISBASIS</v>
      </c>
      <c r="D101" s="14" t="s">
        <v>24</v>
      </c>
      <c r="E101" s="14" t="str">
        <f t="shared" si="11"/>
        <v>USD_YCONRH_OISBASIS10Y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6" t="b">
        <f t="shared" si="7"/>
        <v>0</v>
      </c>
      <c r="I101" s="6">
        <v>40</v>
      </c>
      <c r="J101" s="6">
        <v>1</v>
      </c>
      <c r="K101" s="12" t="e">
        <f>_xll.qlRateHelperEarliestDate($E101,Trigger)</f>
        <v>#NUM!</v>
      </c>
      <c r="L101" s="11" t="e">
        <f>_xll.qlRateHelperLatestDate($E101,Trigger)</f>
        <v>#NUM!</v>
      </c>
    </row>
    <row r="102" spans="2:12" x14ac:dyDescent="0.2">
      <c r="B102" s="16" t="str">
        <f t="shared" si="8"/>
        <v/>
      </c>
      <c r="C102" s="15" t="str">
        <f t="shared" si="9"/>
        <v>OISBASIS</v>
      </c>
      <c r="D102" s="14" t="s">
        <v>23</v>
      </c>
      <c r="E102" s="14" t="str">
        <f t="shared" si="11"/>
        <v>USD_YCONRH_OISBASIS11Y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6" t="b">
        <f t="shared" si="7"/>
        <v>0</v>
      </c>
      <c r="I102" s="6">
        <v>40</v>
      </c>
      <c r="J102" s="6">
        <v>1</v>
      </c>
      <c r="K102" s="12" t="e">
        <f>_xll.qlRateHelperEarliestDate($E102,Trigger)</f>
        <v>#NUM!</v>
      </c>
      <c r="L102" s="11" t="e">
        <f>_xll.qlRateHelperLatestDate($E102,Trigger)</f>
        <v>#NUM!</v>
      </c>
    </row>
    <row r="103" spans="2:12" x14ac:dyDescent="0.2">
      <c r="B103" s="16" t="str">
        <f t="shared" si="8"/>
        <v/>
      </c>
      <c r="C103" s="15" t="str">
        <f t="shared" si="9"/>
        <v>OISBASIS</v>
      </c>
      <c r="D103" s="14" t="s">
        <v>22</v>
      </c>
      <c r="E103" s="14" t="str">
        <f t="shared" si="11"/>
        <v>USD_YCONRH_OISBASIS12Y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6" t="b">
        <f t="shared" si="7"/>
        <v>0</v>
      </c>
      <c r="I103" s="6">
        <v>40</v>
      </c>
      <c r="J103" s="6">
        <v>1</v>
      </c>
      <c r="K103" s="12" t="e">
        <f>_xll.qlRateHelperEarliestDate($E103,Trigger)</f>
        <v>#NUM!</v>
      </c>
      <c r="L103" s="11" t="e">
        <f>_xll.qlRateHelperLatestDate($E103,Trigger)</f>
        <v>#NUM!</v>
      </c>
    </row>
    <row r="104" spans="2:12" x14ac:dyDescent="0.2">
      <c r="B104" s="16" t="str">
        <f t="shared" si="8"/>
        <v/>
      </c>
      <c r="C104" s="15" t="str">
        <f t="shared" si="9"/>
        <v>OISBASIS</v>
      </c>
      <c r="D104" s="14" t="s">
        <v>21</v>
      </c>
      <c r="E104" s="14" t="str">
        <f t="shared" si="11"/>
        <v>USD_YCONRH_OISBASIS13Y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6" t="b">
        <f t="shared" si="7"/>
        <v>0</v>
      </c>
      <c r="I104" s="6">
        <v>40</v>
      </c>
      <c r="J104" s="6">
        <v>1</v>
      </c>
      <c r="K104" s="12" t="e">
        <f>_xll.qlRateHelperEarliestDate($E104,Trigger)</f>
        <v>#NUM!</v>
      </c>
      <c r="L104" s="11" t="e">
        <f>_xll.qlRateHelperLatestDate($E104,Trigger)</f>
        <v>#NUM!</v>
      </c>
    </row>
    <row r="105" spans="2:12" x14ac:dyDescent="0.2">
      <c r="B105" s="16" t="str">
        <f t="shared" si="8"/>
        <v/>
      </c>
      <c r="C105" s="15" t="str">
        <f t="shared" si="9"/>
        <v>OISBASIS</v>
      </c>
      <c r="D105" s="14" t="s">
        <v>20</v>
      </c>
      <c r="E105" s="14" t="str">
        <f t="shared" si="11"/>
        <v>USD_YCONRH_OISBASIS14Y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6" t="b">
        <f t="shared" si="7"/>
        <v>0</v>
      </c>
      <c r="I105" s="6">
        <v>40</v>
      </c>
      <c r="J105" s="6">
        <v>1</v>
      </c>
      <c r="K105" s="12" t="e">
        <f>_xll.qlRateHelperEarliestDate($E105,Trigger)</f>
        <v>#NUM!</v>
      </c>
      <c r="L105" s="11" t="e">
        <f>_xll.qlRateHelperLatestDate($E105,Trigger)</f>
        <v>#NUM!</v>
      </c>
    </row>
    <row r="106" spans="2:12" x14ac:dyDescent="0.2">
      <c r="B106" s="16" t="str">
        <f t="shared" si="8"/>
        <v/>
      </c>
      <c r="C106" s="15" t="str">
        <f t="shared" si="9"/>
        <v>OISBASIS</v>
      </c>
      <c r="D106" s="14" t="s">
        <v>19</v>
      </c>
      <c r="E106" s="14" t="str">
        <f t="shared" si="11"/>
        <v>USD_YCONRH_OISBASIS15Y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6" t="b">
        <f t="shared" si="7"/>
        <v>0</v>
      </c>
      <c r="I106" s="6">
        <v>40</v>
      </c>
      <c r="J106" s="6">
        <v>1</v>
      </c>
      <c r="K106" s="12" t="e">
        <f>_xll.qlRateHelperEarliestDate($E106,Trigger)</f>
        <v>#NUM!</v>
      </c>
      <c r="L106" s="11" t="e">
        <f>_xll.qlRateHelperLatestDate($E106,Trigger)</f>
        <v>#NUM!</v>
      </c>
    </row>
    <row r="107" spans="2:12" x14ac:dyDescent="0.2">
      <c r="B107" s="16" t="str">
        <f t="shared" si="8"/>
        <v/>
      </c>
      <c r="C107" s="15" t="str">
        <f t="shared" si="9"/>
        <v>OISBASIS</v>
      </c>
      <c r="D107" s="14" t="s">
        <v>18</v>
      </c>
      <c r="E107" s="14" t="str">
        <f t="shared" si="11"/>
        <v>USD_YCONRH_OISBASIS16Y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6" t="b">
        <f t="shared" si="7"/>
        <v>0</v>
      </c>
      <c r="I107" s="6">
        <v>40</v>
      </c>
      <c r="J107" s="6">
        <v>1</v>
      </c>
      <c r="K107" s="12" t="e">
        <f>_xll.qlRateHelperEarliestDate($E107,Trigger)</f>
        <v>#NUM!</v>
      </c>
      <c r="L107" s="11" t="e">
        <f>_xll.qlRateHelperLatestDate($E107,Trigger)</f>
        <v>#NUM!</v>
      </c>
    </row>
    <row r="108" spans="2:12" x14ac:dyDescent="0.2">
      <c r="B108" s="16" t="str">
        <f t="shared" si="8"/>
        <v/>
      </c>
      <c r="C108" s="15" t="str">
        <f t="shared" si="9"/>
        <v>OISBASIS</v>
      </c>
      <c r="D108" s="14" t="s">
        <v>17</v>
      </c>
      <c r="E108" s="14" t="str">
        <f t="shared" si="11"/>
        <v>USD_YCONRH_OISBASIS17Y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6" t="b">
        <f t="shared" si="7"/>
        <v>0</v>
      </c>
      <c r="I108" s="6">
        <v>40</v>
      </c>
      <c r="J108" s="6">
        <v>1</v>
      </c>
      <c r="K108" s="12" t="e">
        <f>_xll.qlRateHelperEarliestDate($E108,Trigger)</f>
        <v>#NUM!</v>
      </c>
      <c r="L108" s="11" t="e">
        <f>_xll.qlRateHelperLatestDate($E108,Trigger)</f>
        <v>#NUM!</v>
      </c>
    </row>
    <row r="109" spans="2:12" x14ac:dyDescent="0.2">
      <c r="B109" s="16" t="str">
        <f t="shared" si="8"/>
        <v/>
      </c>
      <c r="C109" s="15" t="str">
        <f t="shared" si="9"/>
        <v>OISBASIS</v>
      </c>
      <c r="D109" s="14" t="s">
        <v>16</v>
      </c>
      <c r="E109" s="14" t="str">
        <f t="shared" si="11"/>
        <v>USD_YCONRH_OISBASIS18Y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6" t="b">
        <f t="shared" si="7"/>
        <v>0</v>
      </c>
      <c r="I109" s="6">
        <v>40</v>
      </c>
      <c r="J109" s="6">
        <v>1</v>
      </c>
      <c r="K109" s="12" t="e">
        <f>_xll.qlRateHelperEarliestDate($E109,Trigger)</f>
        <v>#NUM!</v>
      </c>
      <c r="L109" s="11" t="e">
        <f>_xll.qlRateHelperLatestDate($E109,Trigger)</f>
        <v>#NUM!</v>
      </c>
    </row>
    <row r="110" spans="2:12" x14ac:dyDescent="0.2">
      <c r="B110" s="16" t="str">
        <f t="shared" si="8"/>
        <v/>
      </c>
      <c r="C110" s="15" t="str">
        <f t="shared" si="9"/>
        <v>OISBASIS</v>
      </c>
      <c r="D110" s="14" t="s">
        <v>15</v>
      </c>
      <c r="E110" s="14" t="str">
        <f t="shared" si="11"/>
        <v>USD_YCONRH_OISBASIS19Y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6" t="b">
        <f t="shared" si="7"/>
        <v>0</v>
      </c>
      <c r="I110" s="6">
        <v>40</v>
      </c>
      <c r="J110" s="6">
        <v>1</v>
      </c>
      <c r="K110" s="12" t="e">
        <f>_xll.qlRateHelperEarliestDate($E110,Trigger)</f>
        <v>#NUM!</v>
      </c>
      <c r="L110" s="11" t="e">
        <f>_xll.qlRateHelperLatestDate($E110,Trigger)</f>
        <v>#NUM!</v>
      </c>
    </row>
    <row r="111" spans="2:12" x14ac:dyDescent="0.2">
      <c r="B111" s="16" t="str">
        <f t="shared" si="8"/>
        <v/>
      </c>
      <c r="C111" s="15" t="str">
        <f t="shared" si="9"/>
        <v>OISBASIS</v>
      </c>
      <c r="D111" s="14" t="s">
        <v>14</v>
      </c>
      <c r="E111" s="14" t="str">
        <f t="shared" si="11"/>
        <v>USD_YCONRH_OISBASIS20Y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6" t="b">
        <f t="shared" si="7"/>
        <v>0</v>
      </c>
      <c r="I111" s="6">
        <v>40</v>
      </c>
      <c r="J111" s="6">
        <v>1</v>
      </c>
      <c r="K111" s="12" t="e">
        <f>_xll.qlRateHelperEarliestDate($E111,Trigger)</f>
        <v>#NUM!</v>
      </c>
      <c r="L111" s="11" t="e">
        <f>_xll.qlRateHelperLatestDate($E111,Trigger)</f>
        <v>#NUM!</v>
      </c>
    </row>
    <row r="112" spans="2:12" x14ac:dyDescent="0.2">
      <c r="B112" s="16" t="str">
        <f t="shared" si="8"/>
        <v/>
      </c>
      <c r="C112" s="15" t="str">
        <f t="shared" si="9"/>
        <v>OISBASIS</v>
      </c>
      <c r="D112" s="14" t="s">
        <v>13</v>
      </c>
      <c r="E112" s="14" t="str">
        <f t="shared" si="11"/>
        <v>USD_YCONRH_OISBASIS21Y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6" t="b">
        <f t="shared" si="7"/>
        <v>0</v>
      </c>
      <c r="I112" s="6">
        <v>40</v>
      </c>
      <c r="J112" s="6">
        <v>1</v>
      </c>
      <c r="K112" s="12" t="e">
        <f>_xll.qlRateHelperEarliestDate($E112,Trigger)</f>
        <v>#NUM!</v>
      </c>
      <c r="L112" s="11" t="e">
        <f>_xll.qlRateHelperLatestDate($E112,Trigger)</f>
        <v>#NUM!</v>
      </c>
    </row>
    <row r="113" spans="2:12" x14ac:dyDescent="0.2">
      <c r="B113" s="16" t="str">
        <f t="shared" si="8"/>
        <v/>
      </c>
      <c r="C113" s="15" t="str">
        <f t="shared" si="9"/>
        <v>OISBASIS</v>
      </c>
      <c r="D113" s="14" t="s">
        <v>12</v>
      </c>
      <c r="E113" s="14" t="str">
        <f t="shared" si="11"/>
        <v>USD_YCONRH_OISBASIS22Y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6" t="b">
        <f t="shared" si="7"/>
        <v>0</v>
      </c>
      <c r="I113" s="6">
        <v>40</v>
      </c>
      <c r="J113" s="6">
        <v>1</v>
      </c>
      <c r="K113" s="12" t="e">
        <f>_xll.qlRateHelperEarliestDate($E113,Trigger)</f>
        <v>#NUM!</v>
      </c>
      <c r="L113" s="11" t="e">
        <f>_xll.qlRateHelperLatestDate($E113,Trigger)</f>
        <v>#NUM!</v>
      </c>
    </row>
    <row r="114" spans="2:12" x14ac:dyDescent="0.2">
      <c r="B114" s="16" t="str">
        <f t="shared" si="8"/>
        <v/>
      </c>
      <c r="C114" s="15" t="str">
        <f t="shared" si="9"/>
        <v>OISBASIS</v>
      </c>
      <c r="D114" s="14" t="s">
        <v>11</v>
      </c>
      <c r="E114" s="14" t="str">
        <f t="shared" si="11"/>
        <v>USD_YCONRH_OISBASIS23Y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6" t="b">
        <f t="shared" si="7"/>
        <v>0</v>
      </c>
      <c r="I114" s="6">
        <v>40</v>
      </c>
      <c r="J114" s="6">
        <v>1</v>
      </c>
      <c r="K114" s="12" t="e">
        <f>_xll.qlRateHelperEarliestDate($E114,Trigger)</f>
        <v>#NUM!</v>
      </c>
      <c r="L114" s="11" t="e">
        <f>_xll.qlRateHelperLatestDate($E114,Trigger)</f>
        <v>#NUM!</v>
      </c>
    </row>
    <row r="115" spans="2:12" x14ac:dyDescent="0.2">
      <c r="B115" s="16" t="str">
        <f t="shared" si="8"/>
        <v/>
      </c>
      <c r="C115" s="15" t="str">
        <f t="shared" si="9"/>
        <v>OISBASIS</v>
      </c>
      <c r="D115" s="14" t="s">
        <v>10</v>
      </c>
      <c r="E115" s="14" t="str">
        <f t="shared" si="11"/>
        <v>USD_YCONRH_OISBASIS24Y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6" t="b">
        <f t="shared" si="7"/>
        <v>0</v>
      </c>
      <c r="I115" s="6">
        <v>40</v>
      </c>
      <c r="J115" s="6">
        <v>1</v>
      </c>
      <c r="K115" s="12" t="e">
        <f>_xll.qlRateHelperEarliestDate($E115,Trigger)</f>
        <v>#NUM!</v>
      </c>
      <c r="L115" s="11" t="e">
        <f>_xll.qlRateHelperLatestDate($E115,Trigger)</f>
        <v>#NUM!</v>
      </c>
    </row>
    <row r="116" spans="2:12" x14ac:dyDescent="0.2">
      <c r="B116" s="16" t="str">
        <f t="shared" si="8"/>
        <v/>
      </c>
      <c r="C116" s="15" t="str">
        <f t="shared" si="9"/>
        <v>OISBASIS</v>
      </c>
      <c r="D116" s="14" t="s">
        <v>9</v>
      </c>
      <c r="E116" s="14" t="str">
        <f t="shared" si="11"/>
        <v>USD_YCONRH_OISBASIS25Y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6" t="b">
        <f t="shared" si="7"/>
        <v>0</v>
      </c>
      <c r="I116" s="6">
        <v>40</v>
      </c>
      <c r="J116" s="6">
        <v>1</v>
      </c>
      <c r="K116" s="12" t="e">
        <f>_xll.qlRateHelperEarliestDate($E116,Trigger)</f>
        <v>#NUM!</v>
      </c>
      <c r="L116" s="11" t="e">
        <f>_xll.qlRateHelperLatestDate($E116,Trigger)</f>
        <v>#NUM!</v>
      </c>
    </row>
    <row r="117" spans="2:12" x14ac:dyDescent="0.2">
      <c r="B117" s="16" t="str">
        <f t="shared" si="8"/>
        <v/>
      </c>
      <c r="C117" s="15" t="str">
        <f t="shared" si="9"/>
        <v>OISBASIS</v>
      </c>
      <c r="D117" s="14" t="s">
        <v>8</v>
      </c>
      <c r="E117" s="14" t="str">
        <f t="shared" si="11"/>
        <v>USD_YCONRH_OISBASIS26Y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6" t="b">
        <f t="shared" si="7"/>
        <v>0</v>
      </c>
      <c r="I117" s="6">
        <v>40</v>
      </c>
      <c r="J117" s="6">
        <v>1</v>
      </c>
      <c r="K117" s="12" t="e">
        <f>_xll.qlRateHelperEarliestDate($E117,Trigger)</f>
        <v>#NUM!</v>
      </c>
      <c r="L117" s="11" t="e">
        <f>_xll.qlRateHelperLatestDate($E117,Trigger)</f>
        <v>#NUM!</v>
      </c>
    </row>
    <row r="118" spans="2:12" x14ac:dyDescent="0.2">
      <c r="B118" s="16" t="str">
        <f t="shared" si="8"/>
        <v/>
      </c>
      <c r="C118" s="15" t="str">
        <f t="shared" si="9"/>
        <v>OISBASIS</v>
      </c>
      <c r="D118" s="14" t="s">
        <v>7</v>
      </c>
      <c r="E118" s="14" t="str">
        <f t="shared" si="11"/>
        <v>USD_YCONRH_OISBASIS27Y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6" t="b">
        <f t="shared" si="7"/>
        <v>0</v>
      </c>
      <c r="I118" s="6">
        <v>40</v>
      </c>
      <c r="J118" s="6">
        <v>1</v>
      </c>
      <c r="K118" s="12" t="e">
        <f>_xll.qlRateHelperEarliestDate($E118,Trigger)</f>
        <v>#NUM!</v>
      </c>
      <c r="L118" s="11" t="e">
        <f>_xll.qlRateHelperLatestDate($E118,Trigger)</f>
        <v>#NUM!</v>
      </c>
    </row>
    <row r="119" spans="2:12" x14ac:dyDescent="0.2">
      <c r="B119" s="16" t="str">
        <f t="shared" si="8"/>
        <v/>
      </c>
      <c r="C119" s="15" t="str">
        <f t="shared" si="9"/>
        <v>OISBASIS</v>
      </c>
      <c r="D119" s="14" t="s">
        <v>6</v>
      </c>
      <c r="E119" s="14" t="str">
        <f t="shared" si="11"/>
        <v>USD_YCONRH_OISBASIS28Y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6" t="b">
        <f t="shared" si="7"/>
        <v>0</v>
      </c>
      <c r="I119" s="6">
        <v>40</v>
      </c>
      <c r="J119" s="6">
        <v>1</v>
      </c>
      <c r="K119" s="12" t="e">
        <f>_xll.qlRateHelperEarliestDate($E119,Trigger)</f>
        <v>#NUM!</v>
      </c>
      <c r="L119" s="11" t="e">
        <f>_xll.qlRateHelperLatestDate($E119,Trigger)</f>
        <v>#NUM!</v>
      </c>
    </row>
    <row r="120" spans="2:12" x14ac:dyDescent="0.2">
      <c r="B120" s="16" t="str">
        <f t="shared" si="8"/>
        <v/>
      </c>
      <c r="C120" s="15" t="str">
        <f t="shared" si="9"/>
        <v>OISBASIS</v>
      </c>
      <c r="D120" s="14" t="s">
        <v>5</v>
      </c>
      <c r="E120" s="14" t="str">
        <f t="shared" si="11"/>
        <v>USD_YCONRH_OISBASIS29Y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6" t="b">
        <f t="shared" si="7"/>
        <v>0</v>
      </c>
      <c r="I120" s="6">
        <v>40</v>
      </c>
      <c r="J120" s="6">
        <v>1</v>
      </c>
      <c r="K120" s="12" t="e">
        <f>_xll.qlRateHelperEarliestDate($E120,Trigger)</f>
        <v>#NUM!</v>
      </c>
      <c r="L120" s="11" t="e">
        <f>_xll.qlRateHelperLatestDate($E120,Trigger)</f>
        <v>#NUM!</v>
      </c>
    </row>
    <row r="121" spans="2:12" x14ac:dyDescent="0.2">
      <c r="B121" s="16" t="str">
        <f t="shared" si="8"/>
        <v/>
      </c>
      <c r="C121" s="15" t="str">
        <f t="shared" si="9"/>
        <v>OISBASIS</v>
      </c>
      <c r="D121" s="14" t="s">
        <v>4</v>
      </c>
      <c r="E121" s="14" t="str">
        <f t="shared" si="11"/>
        <v>USD_YCONRH_OISBASIS30Y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6" t="b">
        <f t="shared" si="7"/>
        <v>0</v>
      </c>
      <c r="I121" s="6">
        <v>40</v>
      </c>
      <c r="J121" s="6">
        <v>1</v>
      </c>
      <c r="K121" s="12" t="e">
        <f>_xll.qlRateHelperEarliestDate($E121,Trigger)</f>
        <v>#NUM!</v>
      </c>
      <c r="L121" s="11" t="e">
        <f>_xll.qlRateHelperLatestDate($E121,Trigger)</f>
        <v>#NUM!</v>
      </c>
    </row>
    <row r="122" spans="2:12" x14ac:dyDescent="0.2">
      <c r="B122" s="16" t="str">
        <f t="shared" si="8"/>
        <v/>
      </c>
      <c r="C122" s="15" t="str">
        <f t="shared" si="9"/>
        <v>OISBASIS</v>
      </c>
      <c r="D122" s="14" t="s">
        <v>3</v>
      </c>
      <c r="E122" s="14" t="str">
        <f t="shared" si="11"/>
        <v>USD_YCONRH_OISBASIS35Y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6" t="b">
        <f t="shared" si="7"/>
        <v>0</v>
      </c>
      <c r="I122" s="6">
        <v>40</v>
      </c>
      <c r="J122" s="6">
        <v>1</v>
      </c>
      <c r="K122" s="12" t="e">
        <f>_xll.qlRateHelperEarliestDate($E122,Trigger)</f>
        <v>#NUM!</v>
      </c>
      <c r="L122" s="11" t="e">
        <f>_xll.qlRateHelperLatestDate($E122,Trigger)</f>
        <v>#NUM!</v>
      </c>
    </row>
    <row r="123" spans="2:12" x14ac:dyDescent="0.2">
      <c r="B123" s="16" t="str">
        <f t="shared" si="8"/>
        <v/>
      </c>
      <c r="C123" s="15" t="str">
        <f t="shared" si="9"/>
        <v>OISBASIS</v>
      </c>
      <c r="D123" s="14" t="s">
        <v>2</v>
      </c>
      <c r="E123" s="14" t="str">
        <f t="shared" si="11"/>
        <v>USD_YCONRH_OISBASIS40Y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6" t="b">
        <f t="shared" si="7"/>
        <v>0</v>
      </c>
      <c r="I123" s="6">
        <v>40</v>
      </c>
      <c r="J123" s="6">
        <v>1</v>
      </c>
      <c r="K123" s="12" t="e">
        <f>_xll.qlRateHelperEarliestDate($E123,Trigger)</f>
        <v>#NUM!</v>
      </c>
      <c r="L123" s="11" t="e">
        <f>_xll.qlRateHelperLatestDate($E123,Trigger)</f>
        <v>#NUM!</v>
      </c>
    </row>
    <row r="124" spans="2:12" x14ac:dyDescent="0.2">
      <c r="B124" s="16" t="str">
        <f t="shared" si="8"/>
        <v/>
      </c>
      <c r="C124" s="15" t="str">
        <f t="shared" si="9"/>
        <v>OISBASIS</v>
      </c>
      <c r="D124" s="14" t="s">
        <v>1</v>
      </c>
      <c r="E124" s="14" t="str">
        <f t="shared" si="11"/>
        <v>USD_YCONRH_OISBASIS50Y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6" t="b">
        <f t="shared" si="7"/>
        <v>0</v>
      </c>
      <c r="I124" s="6">
        <v>40</v>
      </c>
      <c r="J124" s="6">
        <v>1</v>
      </c>
      <c r="K124" s="12" t="e">
        <f>_xll.qlRateHelperEarliestDate($E124,Trigger)</f>
        <v>#NUM!</v>
      </c>
      <c r="L124" s="11" t="e">
        <f>_xll.qlRateHelperLatestDate($E124,Trigger)</f>
        <v>#NUM!</v>
      </c>
    </row>
    <row r="125" spans="2:12" x14ac:dyDescent="0.2">
      <c r="B125" s="10" t="str">
        <f t="shared" si="8"/>
        <v/>
      </c>
      <c r="C125" s="9" t="str">
        <f t="shared" si="9"/>
        <v>OISBASIS</v>
      </c>
      <c r="D125" s="8" t="s">
        <v>0</v>
      </c>
      <c r="E125" s="8" t="str">
        <f t="shared" si="11"/>
        <v>USD_YCONRH_OISBASIS60Y</v>
      </c>
      <c r="F125" s="7" t="e">
        <f>_xll.qlRateHelperQuoteValue($E125,Trigger)</f>
        <v>#NUM!</v>
      </c>
      <c r="G125" s="7" t="e">
        <f>_xll.qlSwapRateHelperSpread($E125,Trigger)</f>
        <v>#NUM!</v>
      </c>
      <c r="H125" s="6" t="b">
        <f t="shared" si="7"/>
        <v>0</v>
      </c>
      <c r="I125" s="5">
        <v>40</v>
      </c>
      <c r="J125" s="5">
        <v>1</v>
      </c>
      <c r="K125" s="4" t="e">
        <f>_xll.qlRateHelperEarliestDate($E125,Trigger)</f>
        <v>#NUM!</v>
      </c>
      <c r="L125" s="3" t="e">
        <f>_xll.qlRateHelperLatestDate($E125,Trigger)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topLeftCell="A16" workbookViewId="0">
      <selection activeCell="F12" sqref="F12"/>
    </sheetView>
  </sheetViews>
  <sheetFormatPr defaultRowHeight="11.25" x14ac:dyDescent="0.2"/>
  <cols>
    <col min="1" max="1" width="36.85546875" style="1" bestFit="1" customWidth="1"/>
    <col min="2" max="2" width="9" style="1" bestFit="1" customWidth="1"/>
    <col min="3" max="3" width="2.5703125" style="1" customWidth="1"/>
    <col min="4" max="4" width="23.42578125" style="2" bestFit="1" customWidth="1"/>
    <col min="5" max="5" width="8" style="2" bestFit="1" customWidth="1"/>
    <col min="6" max="6" width="3" style="2" bestFit="1" customWidth="1"/>
    <col min="7" max="8" width="17.28515625" style="2" bestFit="1" customWidth="1"/>
    <col min="9" max="9" width="18.28515625" style="1" bestFit="1" customWidth="1"/>
    <col min="10" max="16384" width="9.140625" style="1"/>
  </cols>
  <sheetData>
    <row r="1" spans="1:9" ht="12" thickBot="1" x14ac:dyDescent="0.25">
      <c r="A1" s="197" t="s">
        <v>106</v>
      </c>
      <c r="B1" s="198"/>
      <c r="D1" s="51" t="s">
        <v>105</v>
      </c>
      <c r="E1" s="50" t="s">
        <v>104</v>
      </c>
      <c r="F1" s="50"/>
      <c r="G1" s="50" t="s">
        <v>90</v>
      </c>
      <c r="H1" s="49" t="s">
        <v>89</v>
      </c>
      <c r="I1" s="188">
        <f t="array" ref="I1:I126">_xll.qlPiecewiseYieldCurveData(YieldCurve)</f>
        <v>1</v>
      </c>
    </row>
    <row r="2" spans="1:9" x14ac:dyDescent="0.2">
      <c r="A2" s="48" t="s">
        <v>103</v>
      </c>
      <c r="B2" s="47">
        <v>8</v>
      </c>
      <c r="D2" s="40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USD_YCONRH_OND</v>
      </c>
      <c r="E2" s="39">
        <f>_xll.qlRateHelperRate($D2)</f>
        <v>1.5000000000000002E-3</v>
      </c>
      <c r="F2" s="39" t="str">
        <f>IF(ISERROR(_xll.qlSwapRateHelperSpread($D2)),IF(ISERROR(_xll.qlFuturesRateHelperConvexityAdjustment($D2)),"--",_xll.qlFuturesRateHelperConvexityAdjustment($D2)),_xll.qlSwapRateHelperSpread($D2))</f>
        <v>--</v>
      </c>
      <c r="G2" s="38">
        <f>_xll.qlRateHelperEarliestDate($D2)</f>
        <v>41765</v>
      </c>
      <c r="H2" s="37">
        <f>_xll.qlRateHelperLatestDate($D2)</f>
        <v>41766</v>
      </c>
      <c r="I2" s="188">
        <v>0.99999583335069442</v>
      </c>
    </row>
    <row r="3" spans="1:9" x14ac:dyDescent="0.2">
      <c r="A3" s="44" t="s">
        <v>102</v>
      </c>
      <c r="B3" s="46">
        <v>1</v>
      </c>
      <c r="D3" s="40" t="str">
        <v>USD_YCONRH_TND</v>
      </c>
      <c r="E3" s="39">
        <f>_xll.qlRateHelperRate($D3)</f>
        <v>1.5000000000000002E-3</v>
      </c>
      <c r="F3" s="39" t="str">
        <f>IF(ISERROR(_xll.qlSwapRateHelperSpread($D3)),IF(ISERROR(_xll.qlFuturesRateHelperConvexityAdjustment($D3)),"--",_xll.qlFuturesRateHelperConvexityAdjustment($D3)),_xll.qlSwapRateHelperSpread($D3))</f>
        <v>--</v>
      </c>
      <c r="G3" s="38">
        <f>_xll.qlRateHelperEarliestDate($D3)</f>
        <v>41766</v>
      </c>
      <c r="H3" s="37">
        <f>_xll.qlRateHelperLatestDate($D3)</f>
        <v>41767</v>
      </c>
      <c r="I3" s="188">
        <v>0.99999166671874984</v>
      </c>
    </row>
    <row r="4" spans="1:9" x14ac:dyDescent="0.2">
      <c r="A4" s="44" t="s">
        <v>101</v>
      </c>
      <c r="B4" s="46">
        <v>2</v>
      </c>
      <c r="D4" s="40" t="str">
        <v>USD_YCONRH_OISSW</v>
      </c>
      <c r="E4" s="39">
        <f>_xll.qlRateHelperRate($D4)</f>
        <v>8.8999999999999995E-4</v>
      </c>
      <c r="F4" s="39" t="str">
        <f>IF(ISERROR(_xll.qlSwapRateHelperSpread($D4)),IF(ISERROR(_xll.qlFuturesRateHelperConvexityAdjustment($D4)),"--",_xll.qlFuturesRateHelperConvexityAdjustment($D4)),_xll.qlSwapRateHelperSpread($D4))</f>
        <v>--</v>
      </c>
      <c r="G4" s="38">
        <f>_xll.qlRateHelperEarliestDate($D4)</f>
        <v>41767</v>
      </c>
      <c r="H4" s="37">
        <f>_xll.qlRateHelperLatestDate($D4)</f>
        <v>41774</v>
      </c>
      <c r="I4" s="188">
        <v>0.9999743616068808</v>
      </c>
    </row>
    <row r="5" spans="1:9" x14ac:dyDescent="0.2">
      <c r="A5" s="44" t="s">
        <v>100</v>
      </c>
      <c r="B5" s="45" t="s">
        <v>99</v>
      </c>
      <c r="D5" s="40" t="str">
        <v>USD_YCONRH_OIS2W</v>
      </c>
      <c r="E5" s="39">
        <f>_xll.qlRateHelperRate($D5)</f>
        <v>8.8999999999999995E-4</v>
      </c>
      <c r="F5" s="39" t="str">
        <f>IF(ISERROR(_xll.qlSwapRateHelperSpread($D5)),IF(ISERROR(_xll.qlFuturesRateHelperConvexityAdjustment($D5)),"--",_xll.qlFuturesRateHelperConvexityAdjustment($D5)),_xll.qlSwapRateHelperSpread($D5))</f>
        <v>--</v>
      </c>
      <c r="G5" s="38">
        <f>_xll.qlRateHelperEarliestDate($D5)</f>
        <v>41767</v>
      </c>
      <c r="H5" s="37">
        <f>_xll.qlRateHelperLatestDate($D5)</f>
        <v>41781</v>
      </c>
      <c r="I5" s="188">
        <v>0.99995705709407501</v>
      </c>
    </row>
    <row r="6" spans="1:9" x14ac:dyDescent="0.2">
      <c r="A6" s="44" t="s">
        <v>98</v>
      </c>
      <c r="B6" s="43" t="str">
        <f>_xll.ohRangeRetrieveError(Selected!D2)</f>
        <v/>
      </c>
      <c r="D6" s="40" t="str">
        <v>USD_YCONRH_OIS3W</v>
      </c>
      <c r="E6" s="39">
        <f>_xll.qlRateHelperRate($D6)</f>
        <v>8.8999999999999995E-4</v>
      </c>
      <c r="F6" s="39" t="str">
        <f>IF(ISERROR(_xll.qlSwapRateHelperSpread($D6)),IF(ISERROR(_xll.qlFuturesRateHelperConvexityAdjustment($D6)),"--",_xll.qlFuturesRateHelperConvexityAdjustment($D6)),_xll.qlSwapRateHelperSpread($D6))</f>
        <v>--</v>
      </c>
      <c r="G6" s="38">
        <f>_xll.qlRateHelperEarliestDate($D6)</f>
        <v>41767</v>
      </c>
      <c r="H6" s="37">
        <f>_xll.qlRateHelperLatestDate($D6)</f>
        <v>41788</v>
      </c>
      <c r="I6" s="188">
        <v>0.99993975317993988</v>
      </c>
    </row>
    <row r="7" spans="1:9" ht="12" thickBot="1" x14ac:dyDescent="0.25">
      <c r="A7" s="42" t="str">
        <f>_xll.ohGroup(RateHelperPrefix&amp;"_RateHelpersSelected",_xll.ohPack(Selected!D2:D126),TRUE,,ObjectOverwrite)</f>
        <v>USD_YCONRH_RateHelpersSelected#0001</v>
      </c>
      <c r="B7" s="41" t="str">
        <f>_xll.ohRangeRetrieveError(RateHelpersSelected)</f>
        <v/>
      </c>
      <c r="D7" s="40" t="str">
        <v>USD_YCONRH_OIS1M</v>
      </c>
      <c r="E7" s="39">
        <f>_xll.qlRateHelperRate($D7)</f>
        <v>8.8999999999999995E-4</v>
      </c>
      <c r="F7" s="39" t="str">
        <f>IF(ISERROR(_xll.qlSwapRateHelperSpread($D7)),IF(ISERROR(_xll.qlFuturesRateHelperConvexityAdjustment($D7)),"--",_xll.qlFuturesRateHelperConvexityAdjustment($D7)),_xll.qlSwapRateHelperSpread($D7))</f>
        <v>--</v>
      </c>
      <c r="G7" s="38">
        <f>_xll.qlRateHelperEarliestDate($D7)</f>
        <v>41767</v>
      </c>
      <c r="H7" s="37">
        <f>_xll.qlRateHelperLatestDate($D7)</f>
        <v>41799</v>
      </c>
      <c r="I7" s="188">
        <v>0.99991256252499505</v>
      </c>
    </row>
    <row r="8" spans="1:9" x14ac:dyDescent="0.2">
      <c r="D8" s="40" t="str">
        <v>USD_YCONRH_OIS2M</v>
      </c>
      <c r="E8" s="39">
        <f>_xll.qlRateHelperRate($D8)</f>
        <v>9.2000000000000003E-4</v>
      </c>
      <c r="F8" s="39" t="str">
        <f>IF(ISERROR(_xll.qlSwapRateHelperSpread($D8)),IF(ISERROR(_xll.qlFuturesRateHelperConvexityAdjustment($D8)),"--",_xll.qlFuturesRateHelperConvexityAdjustment($D8)),_xll.qlSwapRateHelperSpread($D8))</f>
        <v>--</v>
      </c>
      <c r="G8" s="38">
        <f>_xll.qlRateHelperEarliestDate($D8)</f>
        <v>41767</v>
      </c>
      <c r="H8" s="37">
        <f>_xll.qlRateHelperLatestDate($D8)</f>
        <v>41828</v>
      </c>
      <c r="I8" s="188">
        <v>0.99983580342625455</v>
      </c>
    </row>
    <row r="9" spans="1:9" x14ac:dyDescent="0.2">
      <c r="D9" s="40" t="str">
        <v>USD_YCONRH_OIS3M</v>
      </c>
      <c r="E9" s="39">
        <f>_xll.qlRateHelperRate($D9)</f>
        <v>9.3999999999999997E-4</v>
      </c>
      <c r="F9" s="39" t="str">
        <f>IF(ISERROR(_xll.qlSwapRateHelperSpread($D9)),IF(ISERROR(_xll.qlFuturesRateHelperConvexityAdjustment($D9)),"--",_xll.qlFuturesRateHelperConvexityAdjustment($D9)),_xll.qlSwapRateHelperSpread($D9))</f>
        <v>--</v>
      </c>
      <c r="G9" s="38">
        <f>_xll.qlRateHelperEarliestDate($D9)</f>
        <v>41767</v>
      </c>
      <c r="H9" s="37">
        <f>_xll.qlRateHelperLatestDate($D9)</f>
        <v>41859</v>
      </c>
      <c r="I9" s="188">
        <v>0.9997515041906615</v>
      </c>
    </row>
    <row r="10" spans="1:9" x14ac:dyDescent="0.2">
      <c r="D10" s="40" t="str">
        <v>USD_YCONRH_OIS4M</v>
      </c>
      <c r="E10" s="39">
        <f>_xll.qlRateHelperRate($D10)</f>
        <v>9.6000000000000002E-4</v>
      </c>
      <c r="F10" s="39" t="str">
        <f>IF(ISERROR(_xll.qlSwapRateHelperSpread($D10)),IF(ISERROR(_xll.qlFuturesRateHelperConvexityAdjustment($D10)),"--",_xll.qlFuturesRateHelperConvexityAdjustment($D10)),_xll.qlSwapRateHelperSpread($D10))</f>
        <v>--</v>
      </c>
      <c r="G10" s="38">
        <f>_xll.qlRateHelperEarliestDate($D10)</f>
        <v>41767</v>
      </c>
      <c r="H10" s="37">
        <f>_xll.qlRateHelperLatestDate($D10)</f>
        <v>41890</v>
      </c>
      <c r="I10" s="188">
        <v>0.9996637769996719</v>
      </c>
    </row>
    <row r="11" spans="1:9" x14ac:dyDescent="0.2">
      <c r="D11" s="40" t="str">
        <v>USD_YCONRH_OIS5M</v>
      </c>
      <c r="E11" s="39">
        <f>_xll.qlRateHelperRate($D11)</f>
        <v>9.8999999999999999E-4</v>
      </c>
      <c r="F11" s="39" t="str">
        <f>IF(ISERROR(_xll.qlSwapRateHelperSpread($D11)),IF(ISERROR(_xll.qlFuturesRateHelperConvexityAdjustment($D11)),"--",_xll.qlFuturesRateHelperConvexityAdjustment($D11)),_xll.qlSwapRateHelperSpread($D11))</f>
        <v>--</v>
      </c>
      <c r="G11" s="38">
        <f>_xll.qlRateHelperEarliestDate($D11)</f>
        <v>41767</v>
      </c>
      <c r="H11" s="37">
        <f>_xll.qlRateHelperLatestDate($D11)</f>
        <v>41920</v>
      </c>
      <c r="I11" s="188">
        <v>0.99957109717961146</v>
      </c>
    </row>
    <row r="12" spans="1:9" x14ac:dyDescent="0.2">
      <c r="D12" s="40" t="str">
        <v>USD_YCONRH_OIS6M</v>
      </c>
      <c r="E12" s="39">
        <f>_xll.qlRateHelperRate($D12)</f>
        <v>1.01E-3</v>
      </c>
      <c r="F12" s="39" t="str">
        <f>IF(ISERROR(_xll.qlSwapRateHelperSpread($D12)),IF(ISERROR(_xll.qlFuturesRateHelperConvexityAdjustment($D12)),"--",_xll.qlFuturesRateHelperConvexityAdjustment($D12)),_xll.qlSwapRateHelperSpread($D12))</f>
        <v>--</v>
      </c>
      <c r="G12" s="38">
        <f>_xll.qlRateHelperEarliestDate($D12)</f>
        <v>41767</v>
      </c>
      <c r="H12" s="37">
        <f>_xll.qlRateHelperLatestDate($D12)</f>
        <v>41953</v>
      </c>
      <c r="I12" s="188">
        <v>0.99947010989973384</v>
      </c>
    </row>
    <row r="13" spans="1:9" x14ac:dyDescent="0.2">
      <c r="D13" s="40" t="str">
        <v>USD_YCONRH_OIS7M</v>
      </c>
      <c r="E13" s="39">
        <f>_xll.qlRateHelperRate($D13)</f>
        <v>1.0399999999999999E-3</v>
      </c>
      <c r="F13" s="39" t="str">
        <f>IF(ISERROR(_xll.qlSwapRateHelperSpread($D13)),IF(ISERROR(_xll.qlFuturesRateHelperConvexityAdjustment($D13)),"--",_xll.qlFuturesRateHelperConvexityAdjustment($D13)),_xll.qlSwapRateHelperSpread($D13))</f>
        <v>--</v>
      </c>
      <c r="G13" s="38">
        <f>_xll.qlRateHelperEarliestDate($D13)</f>
        <v>41767</v>
      </c>
      <c r="H13" s="37">
        <f>_xll.qlRateHelperLatestDate($D13)</f>
        <v>41981</v>
      </c>
      <c r="I13" s="188">
        <v>0.99937383160774251</v>
      </c>
    </row>
    <row r="14" spans="1:9" x14ac:dyDescent="0.2">
      <c r="D14" s="40" t="str">
        <v>USD_YCONRH_OIS8M</v>
      </c>
      <c r="E14" s="39">
        <f>_xll.qlRateHelperRate($D14)</f>
        <v>1.08E-3</v>
      </c>
      <c r="F14" s="39" t="str">
        <f>IF(ISERROR(_xll.qlSwapRateHelperSpread($D14)),IF(ISERROR(_xll.qlFuturesRateHelperConvexityAdjustment($D14)),"--",_xll.qlFuturesRateHelperConvexityAdjustment($D14)),_xll.qlSwapRateHelperSpread($D14))</f>
        <v>--</v>
      </c>
      <c r="G14" s="38">
        <f>_xll.qlRateHelperEarliestDate($D14)</f>
        <v>41767</v>
      </c>
      <c r="H14" s="37">
        <f>_xll.qlRateHelperLatestDate($D14)</f>
        <v>42012</v>
      </c>
      <c r="I14" s="188">
        <v>0.99925721266743928</v>
      </c>
    </row>
    <row r="15" spans="1:9" x14ac:dyDescent="0.2">
      <c r="D15" s="40" t="str">
        <v>USD_YCONRH_OIS9M</v>
      </c>
      <c r="E15" s="39">
        <f>_xll.qlRateHelperRate($D15)</f>
        <v>1.1299999999999999E-3</v>
      </c>
      <c r="F15" s="39" t="str">
        <f>IF(ISERROR(_xll.qlSwapRateHelperSpread($D15)),IF(ISERROR(_xll.qlFuturesRateHelperConvexityAdjustment($D15)),"--",_xll.qlFuturesRateHelperConvexityAdjustment($D15)),_xll.qlSwapRateHelperSpread($D15))</f>
        <v>--</v>
      </c>
      <c r="G15" s="38">
        <f>_xll.qlRateHelperEarliestDate($D15)</f>
        <v>41767</v>
      </c>
      <c r="H15" s="37">
        <f>_xll.qlRateHelperLatestDate($D15)</f>
        <v>42044</v>
      </c>
      <c r="I15" s="188">
        <v>0.99912295706100074</v>
      </c>
    </row>
    <row r="16" spans="1:9" x14ac:dyDescent="0.2">
      <c r="D16" s="40" t="str">
        <v>USD_YCONRH_OIS10M</v>
      </c>
      <c r="E16" s="39">
        <f>_xll.qlRateHelperRate($D16)</f>
        <v>1.1799999999999998E-3</v>
      </c>
      <c r="F16" s="39" t="str">
        <f>IF(ISERROR(_xll.qlSwapRateHelperSpread($D16)),IF(ISERROR(_xll.qlFuturesRateHelperConvexityAdjustment($D16)),"--",_xll.qlFuturesRateHelperConvexityAdjustment($D16)),_xll.qlSwapRateHelperSpread($D16))</f>
        <v>--</v>
      </c>
      <c r="G16" s="38">
        <f>_xll.qlRateHelperEarliestDate($D16)</f>
        <v>41767</v>
      </c>
      <c r="H16" s="37">
        <f>_xll.qlRateHelperLatestDate($D16)</f>
        <v>42072</v>
      </c>
      <c r="I16" s="188">
        <v>0.99899295126552634</v>
      </c>
    </row>
    <row r="17" spans="4:9" x14ac:dyDescent="0.2">
      <c r="D17" s="40" t="str">
        <v>USD_YCONRH_OIS11M</v>
      </c>
      <c r="E17" s="39">
        <f>_xll.qlRateHelperRate($D17)</f>
        <v>1.25E-3</v>
      </c>
      <c r="F17" s="39" t="str">
        <f>IF(ISERROR(_xll.qlSwapRateHelperSpread($D17)),IF(ISERROR(_xll.qlFuturesRateHelperConvexityAdjustment($D17)),"--",_xll.qlFuturesRateHelperConvexityAdjustment($D17)),_xll.qlSwapRateHelperSpread($D17))</f>
        <v>--</v>
      </c>
      <c r="G17" s="38">
        <f>_xll.qlRateHelperEarliestDate($D17)</f>
        <v>41767</v>
      </c>
      <c r="H17" s="37">
        <f>_xll.qlRateHelperLatestDate($D17)</f>
        <v>42102</v>
      </c>
      <c r="I17" s="188">
        <v>0.99882983340558729</v>
      </c>
    </row>
    <row r="18" spans="4:9" x14ac:dyDescent="0.2">
      <c r="D18" s="40" t="str">
        <v>USD_YCONRH_OIS1Y</v>
      </c>
      <c r="E18" s="39">
        <f>_xll.qlRateHelperRate($D18)</f>
        <v>1.34E-3</v>
      </c>
      <c r="F18" s="39" t="str">
        <f>IF(ISERROR(_xll.qlSwapRateHelperSpread($D18)),IF(ISERROR(_xll.qlFuturesRateHelperConvexityAdjustment($D18)),"--",_xll.qlFuturesRateHelperConvexityAdjustment($D18)),_xll.qlSwapRateHelperSpread($D18))</f>
        <v>--</v>
      </c>
      <c r="G18" s="38">
        <f>_xll.qlRateHelperEarliestDate($D18)</f>
        <v>41767</v>
      </c>
      <c r="H18" s="37">
        <f>_xll.qlRateHelperLatestDate($D18)</f>
        <v>42132</v>
      </c>
      <c r="I18" s="188">
        <v>0.99863491023376327</v>
      </c>
    </row>
    <row r="19" spans="4:9" x14ac:dyDescent="0.2">
      <c r="D19" s="40" t="str">
        <v>USD_YCONRH_OIS13M</v>
      </c>
      <c r="E19" s="39">
        <f>_xll.qlRateHelperRate($D19)</f>
        <v>1.4500000000000001E-3</v>
      </c>
      <c r="F19" s="39" t="str">
        <f>IF(ISERROR(_xll.qlSwapRateHelperSpread($D19)),IF(ISERROR(_xll.qlFuturesRateHelperConvexityAdjustment($D19)),"--",_xll.qlFuturesRateHelperConvexityAdjustment($D19)),_xll.qlSwapRateHelperSpread($D19))</f>
        <v>--</v>
      </c>
      <c r="G19" s="38">
        <f>_xll.qlRateHelperEarliestDate($D19)</f>
        <v>41767</v>
      </c>
      <c r="H19" s="37">
        <f>_xll.qlRateHelperLatestDate($D19)</f>
        <v>42163</v>
      </c>
      <c r="I19" s="188">
        <v>0.9983988735086885</v>
      </c>
    </row>
    <row r="20" spans="4:9" x14ac:dyDescent="0.2">
      <c r="D20" s="40" t="str">
        <v>USD_YCONRH_OIS14M</v>
      </c>
      <c r="E20" s="39">
        <f>_xll.qlRateHelperRate($D20)</f>
        <v>1.5799999999999998E-3</v>
      </c>
      <c r="F20" s="39" t="str">
        <f>IF(ISERROR(_xll.qlSwapRateHelperSpread($D20)),IF(ISERROR(_xll.qlFuturesRateHelperConvexityAdjustment($D20)),"--",_xll.qlFuturesRateHelperConvexityAdjustment($D20)),_xll.qlSwapRateHelperSpread($D20))</f>
        <v>--</v>
      </c>
      <c r="G20" s="38">
        <f>_xll.qlRateHelperEarliestDate($D20)</f>
        <v>41767</v>
      </c>
      <c r="H20" s="37">
        <f>_xll.qlRateHelperLatestDate($D20)</f>
        <v>42193</v>
      </c>
      <c r="I20" s="188">
        <v>0.99812468891257378</v>
      </c>
    </row>
    <row r="21" spans="4:9" x14ac:dyDescent="0.2">
      <c r="D21" s="40" t="str">
        <v>USD_YCONRH_OIS15M</v>
      </c>
      <c r="E21" s="39">
        <f>_xll.qlRateHelperRate($D21)</f>
        <v>1.7499999999999998E-3</v>
      </c>
      <c r="F21" s="39" t="str">
        <f>IF(ISERROR(_xll.qlSwapRateHelperSpread($D21)),IF(ISERROR(_xll.qlFuturesRateHelperConvexityAdjustment($D21)),"--",_xll.qlFuturesRateHelperConvexityAdjustment($D21)),_xll.qlSwapRateHelperSpread($D21))</f>
        <v>--</v>
      </c>
      <c r="G21" s="38">
        <f>_xll.qlRateHelperEarliestDate($D21)</f>
        <v>41767</v>
      </c>
      <c r="H21" s="37">
        <f>_xll.qlRateHelperLatestDate($D21)</f>
        <v>42226</v>
      </c>
      <c r="I21" s="188">
        <v>0.99776386059658317</v>
      </c>
    </row>
    <row r="22" spans="4:9" x14ac:dyDescent="0.2">
      <c r="D22" s="40" t="str">
        <v>USD_YCONRH_OIS16M</v>
      </c>
      <c r="E22" s="39">
        <f>_xll.qlRateHelperRate($D22)</f>
        <v>1.92E-3</v>
      </c>
      <c r="F22" s="39" t="str">
        <f>IF(ISERROR(_xll.qlSwapRateHelperSpread($D22)),IF(ISERROR(_xll.qlFuturesRateHelperConvexityAdjustment($D22)),"--",_xll.qlFuturesRateHelperConvexityAdjustment($D22)),_xll.qlSwapRateHelperSpread($D22))</f>
        <v>--</v>
      </c>
      <c r="G22" s="38">
        <f>_xll.qlRateHelperEarliestDate($D22)</f>
        <v>41767</v>
      </c>
      <c r="H22" s="37">
        <f>_xll.qlRateHelperLatestDate($D22)</f>
        <v>42255</v>
      </c>
      <c r="I22" s="188">
        <v>0.99739336737782813</v>
      </c>
    </row>
    <row r="23" spans="4:9" x14ac:dyDescent="0.2">
      <c r="D23" s="40" t="str">
        <v>USD_YCONRH_OIS17M</v>
      </c>
      <c r="E23" s="39">
        <f>_xll.qlRateHelperRate($D23)</f>
        <v>2.1200000000000004E-3</v>
      </c>
      <c r="F23" s="39" t="str">
        <f>IF(ISERROR(_xll.qlSwapRateHelperSpread($D23)),IF(ISERROR(_xll.qlFuturesRateHelperConvexityAdjustment($D23)),"--",_xll.qlFuturesRateHelperConvexityAdjustment($D23)),_xll.qlSwapRateHelperSpread($D23))</f>
        <v>--</v>
      </c>
      <c r="G23" s="38">
        <f>_xll.qlRateHelperEarliestDate($D23)</f>
        <v>41767</v>
      </c>
      <c r="H23" s="37">
        <f>_xll.qlRateHelperLatestDate($D23)</f>
        <v>42285</v>
      </c>
      <c r="I23" s="188">
        <v>0.99694690729544644</v>
      </c>
    </row>
    <row r="24" spans="4:9" x14ac:dyDescent="0.2">
      <c r="D24" s="40" t="str">
        <v>USD_YCONRH_OIS18M</v>
      </c>
      <c r="E24" s="39">
        <f>_xll.qlRateHelperRate($D24)</f>
        <v>2.3499999999999997E-3</v>
      </c>
      <c r="F24" s="39" t="str">
        <f>IF(ISERROR(_xll.qlSwapRateHelperSpread($D24)),IF(ISERROR(_xll.qlFuturesRateHelperConvexityAdjustment($D24)),"--",_xll.qlFuturesRateHelperConvexityAdjustment($D24)),_xll.qlSwapRateHelperSpread($D24))</f>
        <v>--</v>
      </c>
      <c r="G24" s="38">
        <f>_xll.qlRateHelperEarliestDate($D24)</f>
        <v>41767</v>
      </c>
      <c r="H24" s="37">
        <f>_xll.qlRateHelperLatestDate($D24)</f>
        <v>42317</v>
      </c>
      <c r="I24" s="188">
        <v>0.9964089781146156</v>
      </c>
    </row>
    <row r="25" spans="4:9" x14ac:dyDescent="0.2">
      <c r="D25" s="40" t="str">
        <v>USD_YCONRH_OIS19M</v>
      </c>
      <c r="E25" s="39">
        <f>_xll.qlRateHelperRate($D25)</f>
        <v>2.5700000000000002E-3</v>
      </c>
      <c r="F25" s="39" t="str">
        <f>IF(ISERROR(_xll.qlSwapRateHelperSpread($D25)),IF(ISERROR(_xll.qlFuturesRateHelperConvexityAdjustment($D25)),"--",_xll.qlFuturesRateHelperConvexityAdjustment($D25)),_xll.qlSwapRateHelperSpread($D25))</f>
        <v>--</v>
      </c>
      <c r="G25" s="38">
        <f>_xll.qlRateHelperEarliestDate($D25)</f>
        <v>41767</v>
      </c>
      <c r="H25" s="37">
        <f>_xll.qlRateHelperLatestDate($D25)</f>
        <v>42346</v>
      </c>
      <c r="I25" s="188">
        <v>0.9958681194246779</v>
      </c>
    </row>
    <row r="26" spans="4:9" x14ac:dyDescent="0.2">
      <c r="D26" s="40" t="str">
        <v>USD_YCONRH_OIS20M</v>
      </c>
      <c r="E26" s="39">
        <f>_xll.qlRateHelperRate($D26)</f>
        <v>2.8300000000000005E-3</v>
      </c>
      <c r="F26" s="39" t="str">
        <f>IF(ISERROR(_xll.qlSwapRateHelperSpread($D26)),IF(ISERROR(_xll.qlFuturesRateHelperConvexityAdjustment($D26)),"--",_xll.qlFuturesRateHelperConvexityAdjustment($D26)),_xll.qlSwapRateHelperSpread($D26))</f>
        <v>--</v>
      </c>
      <c r="G26" s="38">
        <f>_xll.qlRateHelperEarliestDate($D26)</f>
        <v>41767</v>
      </c>
      <c r="H26" s="37">
        <f>_xll.qlRateHelperLatestDate($D26)</f>
        <v>42377</v>
      </c>
      <c r="I26" s="188">
        <v>0.99520953210871255</v>
      </c>
    </row>
    <row r="27" spans="4:9" x14ac:dyDescent="0.2">
      <c r="D27" s="40" t="str">
        <v>USD_YCONRH_OIS21M</v>
      </c>
      <c r="E27" s="39">
        <f>_xll.qlRateHelperRate($D27)</f>
        <v>3.1199999999999999E-3</v>
      </c>
      <c r="F27" s="39" t="str">
        <f>IF(ISERROR(_xll.qlSwapRateHelperSpread($D27)),IF(ISERROR(_xll.qlFuturesRateHelperConvexityAdjustment($D27)),"--",_xll.qlFuturesRateHelperConvexityAdjustment($D27)),_xll.qlSwapRateHelperSpread($D27))</f>
        <v>--</v>
      </c>
      <c r="G27" s="38">
        <f>_xll.qlRateHelperEarliestDate($D27)</f>
        <v>41767</v>
      </c>
      <c r="H27" s="37">
        <f>_xll.qlRateHelperLatestDate($D27)</f>
        <v>42408</v>
      </c>
      <c r="I27" s="188">
        <v>0.99445391784788584</v>
      </c>
    </row>
    <row r="28" spans="4:9" x14ac:dyDescent="0.2">
      <c r="D28" s="40" t="str">
        <v>USD_YCONRH_OIS22M</v>
      </c>
      <c r="E28" s="39">
        <f>_xll.qlRateHelperRate($D28)</f>
        <v>3.3999999999999998E-3</v>
      </c>
      <c r="F28" s="39" t="str">
        <f>IF(ISERROR(_xll.qlSwapRateHelperSpread($D28)),IF(ISERROR(_xll.qlFuturesRateHelperConvexityAdjustment($D28)),"--",_xll.qlFuturesRateHelperConvexityAdjustment($D28)),_xll.qlSwapRateHelperSpread($D28))</f>
        <v>--</v>
      </c>
      <c r="G28" s="38">
        <f>_xll.qlRateHelperEarliestDate($D28)</f>
        <v>41767</v>
      </c>
      <c r="H28" s="37">
        <f>_xll.qlRateHelperLatestDate($D28)</f>
        <v>42437</v>
      </c>
      <c r="I28" s="188">
        <v>0.99368678028886315</v>
      </c>
    </row>
    <row r="29" spans="4:9" x14ac:dyDescent="0.2">
      <c r="D29" s="40" t="str">
        <v>USD_YCONRH_OIS23M</v>
      </c>
      <c r="E29" s="39">
        <f>_xll.qlRateHelperRate($D29)</f>
        <v>3.7099999999999998E-3</v>
      </c>
      <c r="F29" s="39" t="str">
        <f>IF(ISERROR(_xll.qlSwapRateHelperSpread($D29)),IF(ISERROR(_xll.qlFuturesRateHelperConvexityAdjustment($D29)),"--",_xll.qlFuturesRateHelperConvexityAdjustment($D29)),_xll.qlSwapRateHelperSpread($D29))</f>
        <v>--</v>
      </c>
      <c r="G29" s="38">
        <f>_xll.qlRateHelperEarliestDate($D29)</f>
        <v>41767</v>
      </c>
      <c r="H29" s="37">
        <f>_xll.qlRateHelperLatestDate($D29)</f>
        <v>42468</v>
      </c>
      <c r="I29" s="188">
        <v>0.99279754679202459</v>
      </c>
    </row>
    <row r="30" spans="4:9" x14ac:dyDescent="0.2">
      <c r="D30" s="40" t="str">
        <v>USD_YCONRH_OIS2Y</v>
      </c>
      <c r="E30" s="39">
        <f>_xll.qlRateHelperRate($D30)</f>
        <v>4.0400000000000002E-3</v>
      </c>
      <c r="F30" s="39" t="str">
        <f>IF(ISERROR(_xll.qlSwapRateHelperSpread($D30)),IF(ISERROR(_xll.qlFuturesRateHelperConvexityAdjustment($D30)),"--",_xll.qlFuturesRateHelperConvexityAdjustment($D30)),_xll.qlSwapRateHelperSpread($D30))</f>
        <v>--</v>
      </c>
      <c r="G30" s="38">
        <f>_xll.qlRateHelperEarliestDate($D30)</f>
        <v>41767</v>
      </c>
      <c r="H30" s="37">
        <f>_xll.qlRateHelperLatestDate($D30)</f>
        <v>42499</v>
      </c>
      <c r="I30" s="188">
        <v>0.99181629664835103</v>
      </c>
    </row>
    <row r="31" spans="4:9" x14ac:dyDescent="0.2">
      <c r="D31" s="40" t="str">
        <v>USD_YCONRH_OIS3Y</v>
      </c>
      <c r="E31" s="39">
        <f>_xll.qlRateHelperRate($D31)</f>
        <v>8.3299999999999989E-3</v>
      </c>
      <c r="F31" s="39" t="str">
        <f>IF(ISERROR(_xll.qlSwapRateHelperSpread($D31)),IF(ISERROR(_xll.qlFuturesRateHelperConvexityAdjustment($D31)),"--",_xll.qlFuturesRateHelperConvexityAdjustment($D31)),_xll.qlSwapRateHelperSpread($D31))</f>
        <v>--</v>
      </c>
      <c r="G31" s="38">
        <f>_xll.qlRateHelperEarliestDate($D31)</f>
        <v>41767</v>
      </c>
      <c r="H31" s="37">
        <f>_xll.qlRateHelperLatestDate($D31)</f>
        <v>42863</v>
      </c>
      <c r="I31" s="188">
        <v>0.97492367613996134</v>
      </c>
    </row>
    <row r="32" spans="4:9" x14ac:dyDescent="0.2">
      <c r="D32" s="40" t="str">
        <v>USD_YCONRH_OIS4Y</v>
      </c>
      <c r="E32" s="39">
        <f>_xll.qlRateHelperRate($D32)</f>
        <v>1.2269999999999998E-2</v>
      </c>
      <c r="F32" s="39" t="str">
        <f>IF(ISERROR(_xll.qlSwapRateHelperSpread($D32)),IF(ISERROR(_xll.qlFuturesRateHelperConvexityAdjustment($D32)),"--",_xll.qlFuturesRateHelperConvexityAdjustment($D32)),_xll.qlSwapRateHelperSpread($D32))</f>
        <v>--</v>
      </c>
      <c r="G32" s="38">
        <f>_xll.qlRateHelperEarliestDate($D32)</f>
        <v>41767</v>
      </c>
      <c r="H32" s="37">
        <f>_xll.qlRateHelperLatestDate($D32)</f>
        <v>43228</v>
      </c>
      <c r="I32" s="188">
        <v>0.95123305192576624</v>
      </c>
    </row>
    <row r="33" spans="4:9" x14ac:dyDescent="0.2">
      <c r="D33" s="40" t="str">
        <v>USD_YCONRH_OIS5Y</v>
      </c>
      <c r="E33" s="39">
        <f>_xll.qlRateHelperRate($D33)</f>
        <v>1.5579999999999998E-2</v>
      </c>
      <c r="F33" s="39" t="str">
        <f>IF(ISERROR(_xll.qlSwapRateHelperSpread($D33)),IF(ISERROR(_xll.qlFuturesRateHelperConvexityAdjustment($D33)),"--",_xll.qlFuturesRateHelperConvexityAdjustment($D33)),_xll.qlSwapRateHelperSpread($D33))</f>
        <v>--</v>
      </c>
      <c r="G33" s="38">
        <f>_xll.qlRateHelperEarliestDate($D33)</f>
        <v>41767</v>
      </c>
      <c r="H33" s="37">
        <f>_xll.qlRateHelperLatestDate($D33)</f>
        <v>43593</v>
      </c>
      <c r="I33" s="188">
        <v>0.92349191258569907</v>
      </c>
    </row>
    <row r="34" spans="4:9" x14ac:dyDescent="0.2">
      <c r="D34" s="40" t="str">
        <v>USD_YCONRH_OIS6Y</v>
      </c>
      <c r="E34" s="39">
        <f>_xll.qlRateHelperRate($D34)</f>
        <v>1.8260000000000002E-2</v>
      </c>
      <c r="F34" s="39" t="str">
        <f>IF(ISERROR(_xll.qlSwapRateHelperSpread($D34)),IF(ISERROR(_xll.qlFuturesRateHelperConvexityAdjustment($D34)),"--",_xll.qlFuturesRateHelperConvexityAdjustment($D34)),_xll.qlSwapRateHelperSpread($D34))</f>
        <v>--</v>
      </c>
      <c r="G34" s="38">
        <f>_xll.qlRateHelperEarliestDate($D34)</f>
        <v>41767</v>
      </c>
      <c r="H34" s="37">
        <f>_xll.qlRateHelperLatestDate($D34)</f>
        <v>43959</v>
      </c>
      <c r="I34" s="188">
        <v>0.89374106932016273</v>
      </c>
    </row>
    <row r="35" spans="4:9" x14ac:dyDescent="0.2">
      <c r="D35" s="40" t="str">
        <v>USD_YCONRH_OIS7Y</v>
      </c>
      <c r="E35" s="39">
        <f>_xll.qlRateHelperRate($D35)</f>
        <v>2.0389999999999998E-2</v>
      </c>
      <c r="F35" s="39" t="str">
        <f>IF(ISERROR(_xll.qlSwapRateHelperSpread($D35)),IF(ISERROR(_xll.qlFuturesRateHelperConvexityAdjustment($D35)),"--",_xll.qlFuturesRateHelperConvexityAdjustment($D35)),_xll.qlSwapRateHelperSpread($D35))</f>
        <v>--</v>
      </c>
      <c r="G35" s="38">
        <f>_xll.qlRateHelperEarliestDate($D35)</f>
        <v>41767</v>
      </c>
      <c r="H35" s="37">
        <f>_xll.qlRateHelperLatestDate($D35)</f>
        <v>44326</v>
      </c>
      <c r="I35" s="188">
        <v>0.86340006442194894</v>
      </c>
    </row>
    <row r="36" spans="4:9" x14ac:dyDescent="0.2">
      <c r="D36" s="40" t="str">
        <v>USD_YCONRH_OIS8Y</v>
      </c>
      <c r="E36" s="39">
        <f>_xll.qlRateHelperRate($D36)</f>
        <v>2.2099999999999998E-2</v>
      </c>
      <c r="F36" s="39" t="str">
        <f>IF(ISERROR(_xll.qlSwapRateHelperSpread($D36)),IF(ISERROR(_xll.qlFuturesRateHelperConvexityAdjustment($D36)),"--",_xll.qlFuturesRateHelperConvexityAdjustment($D36)),_xll.qlSwapRateHelperSpread($D36))</f>
        <v>--</v>
      </c>
      <c r="G36" s="38">
        <f>_xll.qlRateHelperEarliestDate($D36)</f>
        <v>41767</v>
      </c>
      <c r="H36" s="37">
        <f>_xll.qlRateHelperLatestDate($D36)</f>
        <v>44690</v>
      </c>
      <c r="I36" s="188">
        <v>0.83332377619586473</v>
      </c>
    </row>
    <row r="37" spans="4:9" x14ac:dyDescent="0.2">
      <c r="D37" s="40" t="str">
        <v>USD_YCONRH_OIS9Y</v>
      </c>
      <c r="E37" s="39">
        <f>_xll.qlRateHelperRate($D37)</f>
        <v>2.351E-2</v>
      </c>
      <c r="F37" s="39" t="str">
        <f>IF(ISERROR(_xll.qlSwapRateHelperSpread($D37)),IF(ISERROR(_xll.qlFuturesRateHelperConvexityAdjustment($D37)),"--",_xll.qlFuturesRateHelperConvexityAdjustment($D37)),_xll.qlSwapRateHelperSpread($D37))</f>
        <v>--</v>
      </c>
      <c r="G37" s="38">
        <f>_xll.qlRateHelperEarliestDate($D37)</f>
        <v>41767</v>
      </c>
      <c r="H37" s="37">
        <f>_xll.qlRateHelperLatestDate($D37)</f>
        <v>45054</v>
      </c>
      <c r="I37" s="188">
        <v>0.80358794630316277</v>
      </c>
    </row>
    <row r="38" spans="4:9" x14ac:dyDescent="0.2">
      <c r="D38" s="40" t="str">
        <v>USD_YCONRH_OIS10Y</v>
      </c>
      <c r="E38" s="39">
        <f>_xll.qlRateHelperRate($D38)</f>
        <v>2.4690000000000004E-2</v>
      </c>
      <c r="F38" s="39" t="str">
        <f>IF(ISERROR(_xll.qlSwapRateHelperSpread($D38)),IF(ISERROR(_xll.qlFuturesRateHelperConvexityAdjustment($D38)),"--",_xll.qlFuturesRateHelperConvexityAdjustment($D38)),_xll.qlSwapRateHelperSpread($D38))</f>
        <v>--</v>
      </c>
      <c r="G38" s="38">
        <f>_xll.qlRateHelperEarliestDate($D38)</f>
        <v>41767</v>
      </c>
      <c r="H38" s="37">
        <f>_xll.qlRateHelperLatestDate($D38)</f>
        <v>45420</v>
      </c>
      <c r="I38" s="188">
        <v>0.77429422067614051</v>
      </c>
    </row>
    <row r="39" spans="4:9" x14ac:dyDescent="0.2">
      <c r="D39" s="40" t="str">
        <v>USD_YCONRH_OIS12Y</v>
      </c>
      <c r="E39" s="39">
        <f>_xll.qlRateHelperRate($D39)</f>
        <v>2.6600000000000002E-2</v>
      </c>
      <c r="F39" s="39" t="str">
        <f>IF(ISERROR(_xll.qlSwapRateHelperSpread($D39)),IF(ISERROR(_xll.qlFuturesRateHelperConvexityAdjustment($D39)),"--",_xll.qlFuturesRateHelperConvexityAdjustment($D39)),_xll.qlSwapRateHelperSpread($D39))</f>
        <v>--</v>
      </c>
      <c r="G39" s="38">
        <f>_xll.qlRateHelperEarliestDate($D39)</f>
        <v>41767</v>
      </c>
      <c r="H39" s="37">
        <f>_xll.qlRateHelperLatestDate($D39)</f>
        <v>46150</v>
      </c>
      <c r="I39" s="188">
        <v>0.71737992961971608</v>
      </c>
    </row>
    <row r="40" spans="4:9" x14ac:dyDescent="0.2">
      <c r="D40" s="40" t="str">
        <v>USD_YCONRH_OIS15Y</v>
      </c>
      <c r="E40" s="39">
        <f>_xll.qlRateHelperRate($D40)</f>
        <v>2.8609999999999997E-2</v>
      </c>
      <c r="F40" s="39" t="str">
        <f>IF(ISERROR(_xll.qlSwapRateHelperSpread($D40)),IF(ISERROR(_xll.qlFuturesRateHelperConvexityAdjustment($D40)),"--",_xll.qlFuturesRateHelperConvexityAdjustment($D40)),_xll.qlSwapRateHelperSpread($D40))</f>
        <v>--</v>
      </c>
      <c r="G40" s="38">
        <f>_xll.qlRateHelperEarliestDate($D40)</f>
        <v>41767</v>
      </c>
      <c r="H40" s="37">
        <f>_xll.qlRateHelperLatestDate($D40)</f>
        <v>47246</v>
      </c>
      <c r="I40" s="188">
        <v>0.63820118797805325</v>
      </c>
    </row>
    <row r="41" spans="4:9" x14ac:dyDescent="0.2">
      <c r="D41" s="40" t="str">
        <v>USD_YCONRH_OIS20Y</v>
      </c>
      <c r="E41" s="39">
        <f>_xll.qlRateHelperRate($D41)</f>
        <v>3.0259999999999999E-2</v>
      </c>
      <c r="F41" s="39" t="str">
        <f>IF(ISERROR(_xll.qlSwapRateHelperSpread($D41)),IF(ISERROR(_xll.qlFuturesRateHelperConvexityAdjustment($D41)),"--",_xll.qlFuturesRateHelperConvexityAdjustment($D41)),_xll.qlSwapRateHelperSpread($D41))</f>
        <v>--</v>
      </c>
      <c r="G41" s="38">
        <f>_xll.qlRateHelperEarliestDate($D41)</f>
        <v>41767</v>
      </c>
      <c r="H41" s="37">
        <f>_xll.qlRateHelperLatestDate($D41)</f>
        <v>49072</v>
      </c>
      <c r="I41" s="188">
        <v>0.52969503233041004</v>
      </c>
    </row>
    <row r="42" spans="4:9" x14ac:dyDescent="0.2">
      <c r="D42" s="40" t="str">
        <v>USD_YCONRH_OIS25Y</v>
      </c>
      <c r="E42" s="39">
        <f>_xll.qlRateHelperRate($D42)</f>
        <v>3.1029999999999999E-2</v>
      </c>
      <c r="F42" s="39" t="str">
        <f>IF(ISERROR(_xll.qlSwapRateHelperSpread($D42)),IF(ISERROR(_xll.qlFuturesRateHelperConvexityAdjustment($D42)),"--",_xll.qlFuturesRateHelperConvexityAdjustment($D42)),_xll.qlSwapRateHelperSpread($D42))</f>
        <v>--</v>
      </c>
      <c r="G42" s="38">
        <f>_xll.qlRateHelperEarliestDate($D42)</f>
        <v>41767</v>
      </c>
      <c r="H42" s="37">
        <f>_xll.qlRateHelperLatestDate($D42)</f>
        <v>50899</v>
      </c>
      <c r="I42" s="188">
        <v>0.44277295847761167</v>
      </c>
    </row>
    <row r="43" spans="4:9" x14ac:dyDescent="0.2">
      <c r="D43" s="40" t="str">
        <v>USD_YCONRH_OIS35Y</v>
      </c>
      <c r="E43" s="39">
        <f>_xll.qlRateHelperRate($D43)</f>
        <v>3.141E-2</v>
      </c>
      <c r="F43" s="39" t="str">
        <f>IF(ISERROR(_xll.qlSwapRateHelperSpread($D43)),IF(ISERROR(_xll.qlFuturesRateHelperConvexityAdjustment($D43)),"--",_xll.qlFuturesRateHelperConvexityAdjustment($D43)),_xll.qlSwapRateHelperSpread($D43))</f>
        <v>--</v>
      </c>
      <c r="G43" s="38">
        <f>_xll.qlRateHelperEarliestDate($D43)</f>
        <v>41767</v>
      </c>
      <c r="H43" s="37">
        <f>_xll.qlRateHelperLatestDate($D43)</f>
        <v>54553</v>
      </c>
      <c r="I43" s="188">
        <v>0.31799838678974746</v>
      </c>
    </row>
    <row r="44" spans="4:9" x14ac:dyDescent="0.2">
      <c r="D44" s="40" t="str">
        <v>USD_YCONRH_OIS40Y</v>
      </c>
      <c r="E44" s="39">
        <f>_xll.qlRateHelperRate($D44)</f>
        <v>3.1440000000000003E-2</v>
      </c>
      <c r="F44" s="39" t="str">
        <f>IF(ISERROR(_xll.qlSwapRateHelperSpread($D44)),IF(ISERROR(_xll.qlFuturesRateHelperConvexityAdjustment($D44)),"--",_xll.qlFuturesRateHelperConvexityAdjustment($D44)),_xll.qlSwapRateHelperSpread($D44))</f>
        <v>--</v>
      </c>
      <c r="G44" s="38">
        <f>_xll.qlRateHelperEarliestDate($D44)</f>
        <v>41767</v>
      </c>
      <c r="H44" s="37">
        <f>_xll.qlRateHelperLatestDate($D44)</f>
        <v>56377</v>
      </c>
      <c r="I44" s="188">
        <v>0.27128278309358933</v>
      </c>
    </row>
    <row r="45" spans="4:9" x14ac:dyDescent="0.2">
      <c r="D45" s="40" t="str">
        <v>USD_YCONRH_OIS45Y</v>
      </c>
      <c r="E45" s="39">
        <f>_xll.qlRateHelperRate($D45)</f>
        <v>3.134E-2</v>
      </c>
      <c r="F45" s="39" t="str">
        <f>IF(ISERROR(_xll.qlSwapRateHelperSpread($D45)),IF(ISERROR(_xll.qlFuturesRateHelperConvexityAdjustment($D45)),"--",_xll.qlFuturesRateHelperConvexityAdjustment($D45)),_xll.qlSwapRateHelperSpread($D45))</f>
        <v>--</v>
      </c>
      <c r="G45" s="38">
        <f>_xll.qlRateHelperEarliestDate($D45)</f>
        <v>41767</v>
      </c>
      <c r="H45" s="37">
        <f>_xll.qlRateHelperLatestDate($D45)</f>
        <v>58203</v>
      </c>
      <c r="I45" s="188">
        <v>0.23411646629284413</v>
      </c>
    </row>
    <row r="46" spans="4:9" x14ac:dyDescent="0.2">
      <c r="D46" s="40" t="str">
        <v>USD_YCONRH_OIS50Y</v>
      </c>
      <c r="E46" s="39">
        <f>_xll.qlRateHelperRate($D46)</f>
        <v>3.125E-2</v>
      </c>
      <c r="F46" s="39" t="str">
        <f>IF(ISERROR(_xll.qlSwapRateHelperSpread($D46)),IF(ISERROR(_xll.qlFuturesRateHelperConvexityAdjustment($D46)),"--",_xll.qlFuturesRateHelperConvexityAdjustment($D46)),_xll.qlSwapRateHelperSpread($D46))</f>
        <v>--</v>
      </c>
      <c r="G46" s="38">
        <f>_xll.qlRateHelperEarliestDate($D46)</f>
        <v>41767</v>
      </c>
      <c r="H46" s="37">
        <f>_xll.qlRateHelperLatestDate($D46)</f>
        <v>60030</v>
      </c>
      <c r="I46" s="188">
        <v>0.20227181710883627</v>
      </c>
    </row>
    <row r="47" spans="4:9" x14ac:dyDescent="0.2">
      <c r="D47" s="40" t="e">
        <v>#N/A</v>
      </c>
      <c r="E47" s="39" t="e">
        <f>_xll.qlRateHelperRate($D47)</f>
        <v>#VALUE!</v>
      </c>
      <c r="F47" s="39" t="str">
        <f>IF(ISERROR(_xll.qlSwapRateHelperSpread($D47)),IF(ISERROR(_xll.qlFuturesRateHelperConvexityAdjustment($D47)),"--",_xll.qlFuturesRateHelperConvexityAdjustment($D47)),_xll.qlSwapRateHelperSpread($D47))</f>
        <v>--</v>
      </c>
      <c r="G47" s="38" t="e">
        <f>_xll.qlRateHelperEarliestDate($D47)</f>
        <v>#VALUE!</v>
      </c>
      <c r="H47" s="37" t="e">
        <f>_xll.qlRateHelperLatestDate($D47)</f>
        <v>#VALUE!</v>
      </c>
      <c r="I47" s="188" t="e">
        <v>#N/A</v>
      </c>
    </row>
    <row r="48" spans="4:9" x14ac:dyDescent="0.2">
      <c r="D48" s="40" t="e">
        <v>#N/A</v>
      </c>
      <c r="E48" s="39" t="e">
        <f>_xll.qlRateHelperRate($D48)</f>
        <v>#VALUE!</v>
      </c>
      <c r="F48" s="39" t="str">
        <f>IF(ISERROR(_xll.qlSwapRateHelperSpread($D48)),IF(ISERROR(_xll.qlFuturesRateHelperConvexityAdjustment($D48)),"--",_xll.qlFuturesRateHelperConvexityAdjustment($D48)),_xll.qlSwapRateHelperSpread($D48))</f>
        <v>--</v>
      </c>
      <c r="G48" s="38" t="e">
        <f>_xll.qlRateHelperEarliestDate($D48)</f>
        <v>#VALUE!</v>
      </c>
      <c r="H48" s="37" t="e">
        <f>_xll.qlRateHelperLatestDate($D48)</f>
        <v>#VALUE!</v>
      </c>
      <c r="I48" s="188" t="e">
        <v>#N/A</v>
      </c>
    </row>
    <row r="49" spans="4:9" x14ac:dyDescent="0.2">
      <c r="D49" s="40" t="e">
        <v>#N/A</v>
      </c>
      <c r="E49" s="39" t="e">
        <f>_xll.qlRateHelperRate($D49)</f>
        <v>#VALUE!</v>
      </c>
      <c r="F49" s="39" t="str">
        <f>IF(ISERROR(_xll.qlSwapRateHelperSpread($D49)),IF(ISERROR(_xll.qlFuturesRateHelperConvexityAdjustment($D49)),"--",_xll.qlFuturesRateHelperConvexityAdjustment($D49)),_xll.qlSwapRateHelperSpread($D49))</f>
        <v>--</v>
      </c>
      <c r="G49" s="38" t="e">
        <f>_xll.qlRateHelperEarliestDate($D49)</f>
        <v>#VALUE!</v>
      </c>
      <c r="H49" s="37" t="e">
        <f>_xll.qlRateHelperLatestDate($D49)</f>
        <v>#VALUE!</v>
      </c>
      <c r="I49" s="188" t="e">
        <v>#N/A</v>
      </c>
    </row>
    <row r="50" spans="4:9" x14ac:dyDescent="0.2">
      <c r="D50" s="40" t="e">
        <v>#N/A</v>
      </c>
      <c r="E50" s="39" t="e">
        <f>_xll.qlRateHelperRate($D50)</f>
        <v>#VALUE!</v>
      </c>
      <c r="F50" s="39" t="str">
        <f>IF(ISERROR(_xll.qlSwapRateHelperSpread($D50)),IF(ISERROR(_xll.qlFuturesRateHelperConvexityAdjustment($D50)),"--",_xll.qlFuturesRateHelperConvexityAdjustment($D50)),_xll.qlSwapRateHelperSpread($D50))</f>
        <v>--</v>
      </c>
      <c r="G50" s="38" t="e">
        <f>_xll.qlRateHelperEarliestDate($D50)</f>
        <v>#VALUE!</v>
      </c>
      <c r="H50" s="37" t="e">
        <f>_xll.qlRateHelperLatestDate($D50)</f>
        <v>#VALUE!</v>
      </c>
      <c r="I50" s="188" t="e">
        <v>#N/A</v>
      </c>
    </row>
    <row r="51" spans="4:9" x14ac:dyDescent="0.2">
      <c r="D51" s="40" t="e">
        <v>#N/A</v>
      </c>
      <c r="E51" s="39" t="e">
        <f>_xll.qlRateHelperRate($D51)</f>
        <v>#VALUE!</v>
      </c>
      <c r="F51" s="39" t="str">
        <f>IF(ISERROR(_xll.qlSwapRateHelperSpread($D51)),IF(ISERROR(_xll.qlFuturesRateHelperConvexityAdjustment($D51)),"--",_xll.qlFuturesRateHelperConvexityAdjustment($D51)),_xll.qlSwapRateHelperSpread($D51))</f>
        <v>--</v>
      </c>
      <c r="G51" s="38" t="e">
        <f>_xll.qlRateHelperEarliestDate($D51)</f>
        <v>#VALUE!</v>
      </c>
      <c r="H51" s="37" t="e">
        <f>_xll.qlRateHelperLatestDate($D51)</f>
        <v>#VALUE!</v>
      </c>
      <c r="I51" s="188" t="e">
        <v>#N/A</v>
      </c>
    </row>
    <row r="52" spans="4:9" x14ac:dyDescent="0.2">
      <c r="D52" s="40" t="e">
        <v>#N/A</v>
      </c>
      <c r="E52" s="39" t="e">
        <f>_xll.qlRateHelperRate($D52)</f>
        <v>#VALUE!</v>
      </c>
      <c r="F52" s="39" t="str">
        <f>IF(ISERROR(_xll.qlSwapRateHelperSpread($D52)),IF(ISERROR(_xll.qlFuturesRateHelperConvexityAdjustment($D52)),"--",_xll.qlFuturesRateHelperConvexityAdjustment($D52)),_xll.qlSwapRateHelperSpread($D52))</f>
        <v>--</v>
      </c>
      <c r="G52" s="38" t="e">
        <f>_xll.qlRateHelperEarliestDate($D52)</f>
        <v>#VALUE!</v>
      </c>
      <c r="H52" s="37" t="e">
        <f>_xll.qlRateHelperLatestDate($D52)</f>
        <v>#VALUE!</v>
      </c>
      <c r="I52" s="188" t="e">
        <v>#N/A</v>
      </c>
    </row>
    <row r="53" spans="4:9" x14ac:dyDescent="0.2">
      <c r="D53" s="40" t="e">
        <v>#N/A</v>
      </c>
      <c r="E53" s="39" t="e">
        <f>_xll.qlRateHelperRate($D53)</f>
        <v>#VALUE!</v>
      </c>
      <c r="F53" s="39" t="str">
        <f>IF(ISERROR(_xll.qlSwapRateHelperSpread($D53)),IF(ISERROR(_xll.qlFuturesRateHelperConvexityAdjustment($D53)),"--",_xll.qlFuturesRateHelperConvexityAdjustment($D53)),_xll.qlSwapRateHelperSpread($D53))</f>
        <v>--</v>
      </c>
      <c r="G53" s="38" t="e">
        <f>_xll.qlRateHelperEarliestDate($D53)</f>
        <v>#VALUE!</v>
      </c>
      <c r="H53" s="37" t="e">
        <f>_xll.qlRateHelperLatestDate($D53)</f>
        <v>#VALUE!</v>
      </c>
      <c r="I53" s="188" t="e">
        <v>#N/A</v>
      </c>
    </row>
    <row r="54" spans="4:9" x14ac:dyDescent="0.2">
      <c r="D54" s="40" t="e">
        <v>#N/A</v>
      </c>
      <c r="E54" s="39" t="e">
        <f>_xll.qlRateHelperRate($D54)</f>
        <v>#VALUE!</v>
      </c>
      <c r="F54" s="39" t="str">
        <f>IF(ISERROR(_xll.qlSwapRateHelperSpread($D54)),IF(ISERROR(_xll.qlFuturesRateHelperConvexityAdjustment($D54)),"--",_xll.qlFuturesRateHelperConvexityAdjustment($D54)),_xll.qlSwapRateHelperSpread($D54))</f>
        <v>--</v>
      </c>
      <c r="G54" s="38" t="e">
        <f>_xll.qlRateHelperEarliestDate($D54)</f>
        <v>#VALUE!</v>
      </c>
      <c r="H54" s="37" t="e">
        <f>_xll.qlRateHelperLatestDate($D54)</f>
        <v>#VALUE!</v>
      </c>
      <c r="I54" s="188" t="e">
        <v>#N/A</v>
      </c>
    </row>
    <row r="55" spans="4:9" x14ac:dyDescent="0.2">
      <c r="D55" s="40" t="e">
        <v>#N/A</v>
      </c>
      <c r="E55" s="39" t="e">
        <f>_xll.qlRateHelperRate($D55)</f>
        <v>#VALUE!</v>
      </c>
      <c r="F55" s="39" t="str">
        <f>IF(ISERROR(_xll.qlSwapRateHelperSpread($D55)),IF(ISERROR(_xll.qlFuturesRateHelperConvexityAdjustment($D55)),"--",_xll.qlFuturesRateHelperConvexityAdjustment($D55)),_xll.qlSwapRateHelperSpread($D55))</f>
        <v>--</v>
      </c>
      <c r="G55" s="38" t="e">
        <f>_xll.qlRateHelperEarliestDate($D55)</f>
        <v>#VALUE!</v>
      </c>
      <c r="H55" s="37" t="e">
        <f>_xll.qlRateHelperLatestDate($D55)</f>
        <v>#VALUE!</v>
      </c>
      <c r="I55" s="188" t="e">
        <v>#N/A</v>
      </c>
    </row>
    <row r="56" spans="4:9" x14ac:dyDescent="0.2">
      <c r="D56" s="40" t="e">
        <v>#N/A</v>
      </c>
      <c r="E56" s="39" t="e">
        <f>_xll.qlRateHelperRate($D56)</f>
        <v>#VALUE!</v>
      </c>
      <c r="F56" s="39" t="str">
        <f>IF(ISERROR(_xll.qlSwapRateHelperSpread($D56)),IF(ISERROR(_xll.qlFuturesRateHelperConvexityAdjustment($D56)),"--",_xll.qlFuturesRateHelperConvexityAdjustment($D56)),_xll.qlSwapRateHelperSpread($D56))</f>
        <v>--</v>
      </c>
      <c r="G56" s="38" t="e">
        <f>_xll.qlRateHelperEarliestDate($D56)</f>
        <v>#VALUE!</v>
      </c>
      <c r="H56" s="37" t="e">
        <f>_xll.qlRateHelperLatestDate($D56)</f>
        <v>#VALUE!</v>
      </c>
      <c r="I56" s="188" t="e">
        <v>#N/A</v>
      </c>
    </row>
    <row r="57" spans="4:9" x14ac:dyDescent="0.2">
      <c r="D57" s="40" t="e">
        <v>#N/A</v>
      </c>
      <c r="E57" s="39" t="e">
        <f>_xll.qlRateHelperRate($D57)</f>
        <v>#VALUE!</v>
      </c>
      <c r="F57" s="39" t="str">
        <f>IF(ISERROR(_xll.qlSwapRateHelperSpread($D57)),IF(ISERROR(_xll.qlFuturesRateHelperConvexityAdjustment($D57)),"--",_xll.qlFuturesRateHelperConvexityAdjustment($D57)),_xll.qlSwapRateHelperSpread($D57))</f>
        <v>--</v>
      </c>
      <c r="G57" s="38" t="e">
        <f>_xll.qlRateHelperEarliestDate($D57)</f>
        <v>#VALUE!</v>
      </c>
      <c r="H57" s="37" t="e">
        <f>_xll.qlRateHelperLatestDate($D57)</f>
        <v>#VALUE!</v>
      </c>
      <c r="I57" s="188" t="e">
        <v>#N/A</v>
      </c>
    </row>
    <row r="58" spans="4:9" x14ac:dyDescent="0.2">
      <c r="D58" s="40" t="e">
        <v>#N/A</v>
      </c>
      <c r="E58" s="39" t="e">
        <f>_xll.qlRateHelperRate($D58)</f>
        <v>#VALUE!</v>
      </c>
      <c r="F58" s="39" t="str">
        <f>IF(ISERROR(_xll.qlSwapRateHelperSpread($D58)),IF(ISERROR(_xll.qlFuturesRateHelperConvexityAdjustment($D58)),"--",_xll.qlFuturesRateHelperConvexityAdjustment($D58)),_xll.qlSwapRateHelperSpread($D58))</f>
        <v>--</v>
      </c>
      <c r="G58" s="38" t="e">
        <f>_xll.qlRateHelperEarliestDate($D58)</f>
        <v>#VALUE!</v>
      </c>
      <c r="H58" s="37" t="e">
        <f>_xll.qlRateHelperLatestDate($D58)</f>
        <v>#VALUE!</v>
      </c>
      <c r="I58" s="188" t="e">
        <v>#N/A</v>
      </c>
    </row>
    <row r="59" spans="4:9" x14ac:dyDescent="0.2">
      <c r="D59" s="40" t="e">
        <v>#N/A</v>
      </c>
      <c r="E59" s="39" t="e">
        <f>_xll.qlRateHelperRate($D59)</f>
        <v>#VALUE!</v>
      </c>
      <c r="F59" s="39" t="str">
        <f>IF(ISERROR(_xll.qlSwapRateHelperSpread($D59)),IF(ISERROR(_xll.qlFuturesRateHelperConvexityAdjustment($D59)),"--",_xll.qlFuturesRateHelperConvexityAdjustment($D59)),_xll.qlSwapRateHelperSpread($D59))</f>
        <v>--</v>
      </c>
      <c r="G59" s="38" t="e">
        <f>_xll.qlRateHelperEarliestDate($D59)</f>
        <v>#VALUE!</v>
      </c>
      <c r="H59" s="37" t="e">
        <f>_xll.qlRateHelperLatestDate($D59)</f>
        <v>#VALUE!</v>
      </c>
      <c r="I59" s="188" t="e">
        <v>#N/A</v>
      </c>
    </row>
    <row r="60" spans="4:9" x14ac:dyDescent="0.2">
      <c r="D60" s="40" t="e">
        <v>#N/A</v>
      </c>
      <c r="E60" s="39" t="e">
        <f>_xll.qlRateHelperRate($D60)</f>
        <v>#VALUE!</v>
      </c>
      <c r="F60" s="39" t="str">
        <f>IF(ISERROR(_xll.qlSwapRateHelperSpread($D60)),IF(ISERROR(_xll.qlFuturesRateHelperConvexityAdjustment($D60)),"--",_xll.qlFuturesRateHelperConvexityAdjustment($D60)),_xll.qlSwapRateHelperSpread($D60))</f>
        <v>--</v>
      </c>
      <c r="G60" s="38" t="e">
        <f>_xll.qlRateHelperEarliestDate($D60)</f>
        <v>#VALUE!</v>
      </c>
      <c r="H60" s="37" t="e">
        <f>_xll.qlRateHelperLatestDate($D60)</f>
        <v>#VALUE!</v>
      </c>
      <c r="I60" s="188" t="e">
        <v>#N/A</v>
      </c>
    </row>
    <row r="61" spans="4:9" x14ac:dyDescent="0.2">
      <c r="D61" s="40" t="e">
        <v>#N/A</v>
      </c>
      <c r="E61" s="39" t="e">
        <f>_xll.qlRateHelperRate($D61)</f>
        <v>#VALUE!</v>
      </c>
      <c r="F61" s="39" t="str">
        <f>IF(ISERROR(_xll.qlSwapRateHelperSpread($D61)),IF(ISERROR(_xll.qlFuturesRateHelperConvexityAdjustment($D61)),"--",_xll.qlFuturesRateHelperConvexityAdjustment($D61)),_xll.qlSwapRateHelperSpread($D61))</f>
        <v>--</v>
      </c>
      <c r="G61" s="38" t="e">
        <f>_xll.qlRateHelperEarliestDate($D61)</f>
        <v>#VALUE!</v>
      </c>
      <c r="H61" s="37" t="e">
        <f>_xll.qlRateHelperLatestDate($D61)</f>
        <v>#VALUE!</v>
      </c>
      <c r="I61" s="188" t="e">
        <v>#N/A</v>
      </c>
    </row>
    <row r="62" spans="4:9" x14ac:dyDescent="0.2">
      <c r="D62" s="40" t="e">
        <v>#N/A</v>
      </c>
      <c r="E62" s="39" t="e">
        <f>_xll.qlRateHelperRate($D62)</f>
        <v>#VALUE!</v>
      </c>
      <c r="F62" s="39" t="str">
        <f>IF(ISERROR(_xll.qlSwapRateHelperSpread($D62)),IF(ISERROR(_xll.qlFuturesRateHelperConvexityAdjustment($D62)),"--",_xll.qlFuturesRateHelperConvexityAdjustment($D62)),_xll.qlSwapRateHelperSpread($D62))</f>
        <v>--</v>
      </c>
      <c r="G62" s="38" t="e">
        <f>_xll.qlRateHelperEarliestDate($D62)</f>
        <v>#VALUE!</v>
      </c>
      <c r="H62" s="37" t="e">
        <f>_xll.qlRateHelperLatestDate($D62)</f>
        <v>#VALUE!</v>
      </c>
      <c r="I62" s="188" t="e">
        <v>#N/A</v>
      </c>
    </row>
    <row r="63" spans="4:9" x14ac:dyDescent="0.2">
      <c r="D63" s="40" t="e">
        <v>#N/A</v>
      </c>
      <c r="E63" s="39" t="e">
        <f>_xll.qlRateHelperRate($D63)</f>
        <v>#VALUE!</v>
      </c>
      <c r="F63" s="39" t="str">
        <f>IF(ISERROR(_xll.qlSwapRateHelperSpread($D63)),IF(ISERROR(_xll.qlFuturesRateHelperConvexityAdjustment($D63)),"--",_xll.qlFuturesRateHelperConvexityAdjustment($D63)),_xll.qlSwapRateHelperSpread($D63))</f>
        <v>--</v>
      </c>
      <c r="G63" s="38" t="e">
        <f>_xll.qlRateHelperEarliestDate($D63)</f>
        <v>#VALUE!</v>
      </c>
      <c r="H63" s="37" t="e">
        <f>_xll.qlRateHelperLatestDate($D63)</f>
        <v>#VALUE!</v>
      </c>
      <c r="I63" s="188" t="e">
        <v>#N/A</v>
      </c>
    </row>
    <row r="64" spans="4:9" x14ac:dyDescent="0.2">
      <c r="D64" s="40" t="e">
        <v>#N/A</v>
      </c>
      <c r="E64" s="39" t="e">
        <f>_xll.qlRateHelperRate($D64)</f>
        <v>#VALUE!</v>
      </c>
      <c r="F64" s="39" t="str">
        <f>IF(ISERROR(_xll.qlSwapRateHelperSpread($D64)),IF(ISERROR(_xll.qlFuturesRateHelperConvexityAdjustment($D64)),"--",_xll.qlFuturesRateHelperConvexityAdjustment($D64)),_xll.qlSwapRateHelperSpread($D64))</f>
        <v>--</v>
      </c>
      <c r="G64" s="38" t="e">
        <f>_xll.qlRateHelperEarliestDate($D64)</f>
        <v>#VALUE!</v>
      </c>
      <c r="H64" s="37" t="e">
        <f>_xll.qlRateHelperLatestDate($D64)</f>
        <v>#VALUE!</v>
      </c>
      <c r="I64" s="188" t="e">
        <v>#N/A</v>
      </c>
    </row>
    <row r="65" spans="4:9" x14ac:dyDescent="0.2">
      <c r="D65" s="40" t="e">
        <v>#N/A</v>
      </c>
      <c r="E65" s="39" t="e">
        <f>_xll.qlRateHelperRate($D65)</f>
        <v>#VALUE!</v>
      </c>
      <c r="F65" s="39" t="str">
        <f>IF(ISERROR(_xll.qlSwapRateHelperSpread($D65)),IF(ISERROR(_xll.qlFuturesRateHelperConvexityAdjustment($D65)),"--",_xll.qlFuturesRateHelperConvexityAdjustment($D65)),_xll.qlSwapRateHelperSpread($D65))</f>
        <v>--</v>
      </c>
      <c r="G65" s="38" t="e">
        <f>_xll.qlRateHelperEarliestDate($D65)</f>
        <v>#VALUE!</v>
      </c>
      <c r="H65" s="37" t="e">
        <f>_xll.qlRateHelperLatestDate($D65)</f>
        <v>#VALUE!</v>
      </c>
      <c r="I65" s="188" t="e">
        <v>#N/A</v>
      </c>
    </row>
    <row r="66" spans="4:9" x14ac:dyDescent="0.2">
      <c r="D66" s="40" t="e">
        <v>#N/A</v>
      </c>
      <c r="E66" s="39" t="e">
        <f>_xll.qlRateHelperRate($D66)</f>
        <v>#VALUE!</v>
      </c>
      <c r="F66" s="39" t="str">
        <f>IF(ISERROR(_xll.qlSwapRateHelperSpread($D66)),IF(ISERROR(_xll.qlFuturesRateHelperConvexityAdjustment($D66)),"--",_xll.qlFuturesRateHelperConvexityAdjustment($D66)),_xll.qlSwapRateHelperSpread($D66))</f>
        <v>--</v>
      </c>
      <c r="G66" s="38" t="e">
        <f>_xll.qlRateHelperEarliestDate($D66)</f>
        <v>#VALUE!</v>
      </c>
      <c r="H66" s="37" t="e">
        <f>_xll.qlRateHelperLatestDate($D66)</f>
        <v>#VALUE!</v>
      </c>
      <c r="I66" s="188" t="e">
        <v>#N/A</v>
      </c>
    </row>
    <row r="67" spans="4:9" x14ac:dyDescent="0.2">
      <c r="D67" s="40" t="e">
        <v>#N/A</v>
      </c>
      <c r="E67" s="39" t="e">
        <f>_xll.qlRateHelperRate($D67)</f>
        <v>#VALUE!</v>
      </c>
      <c r="F67" s="39" t="str">
        <f>IF(ISERROR(_xll.qlSwapRateHelperSpread($D67)),IF(ISERROR(_xll.qlFuturesRateHelperConvexityAdjustment($D67)),"--",_xll.qlFuturesRateHelperConvexityAdjustment($D67)),_xll.qlSwapRateHelperSpread($D67))</f>
        <v>--</v>
      </c>
      <c r="G67" s="38" t="e">
        <f>_xll.qlRateHelperEarliestDate($D67)</f>
        <v>#VALUE!</v>
      </c>
      <c r="H67" s="37" t="e">
        <f>_xll.qlRateHelperLatestDate($D67)</f>
        <v>#VALUE!</v>
      </c>
      <c r="I67" s="188" t="e">
        <v>#N/A</v>
      </c>
    </row>
    <row r="68" spans="4:9" x14ac:dyDescent="0.2">
      <c r="D68" s="40" t="e">
        <v>#N/A</v>
      </c>
      <c r="E68" s="39" t="e">
        <f>_xll.qlRateHelperRate($D68)</f>
        <v>#VALUE!</v>
      </c>
      <c r="F68" s="39" t="str">
        <f>IF(ISERROR(_xll.qlSwapRateHelperSpread($D68)),IF(ISERROR(_xll.qlFuturesRateHelperConvexityAdjustment($D68)),"--",_xll.qlFuturesRateHelperConvexityAdjustment($D68)),_xll.qlSwapRateHelperSpread($D68))</f>
        <v>--</v>
      </c>
      <c r="G68" s="38" t="e">
        <f>_xll.qlRateHelperEarliestDate($D68)</f>
        <v>#VALUE!</v>
      </c>
      <c r="H68" s="37" t="e">
        <f>_xll.qlRateHelperLatestDate($D68)</f>
        <v>#VALUE!</v>
      </c>
      <c r="I68" s="188" t="e">
        <v>#N/A</v>
      </c>
    </row>
    <row r="69" spans="4:9" x14ac:dyDescent="0.2">
      <c r="D69" s="40" t="e">
        <v>#N/A</v>
      </c>
      <c r="E69" s="39" t="e">
        <f>_xll.qlRateHelperRate($D69)</f>
        <v>#VALUE!</v>
      </c>
      <c r="F69" s="39" t="str">
        <f>IF(ISERROR(_xll.qlSwapRateHelperSpread($D69)),IF(ISERROR(_xll.qlFuturesRateHelperConvexityAdjustment($D69)),"--",_xll.qlFuturesRateHelperConvexityAdjustment($D69)),_xll.qlSwapRateHelperSpread($D69))</f>
        <v>--</v>
      </c>
      <c r="G69" s="38" t="e">
        <f>_xll.qlRateHelperEarliestDate($D69)</f>
        <v>#VALUE!</v>
      </c>
      <c r="H69" s="37" t="e">
        <f>_xll.qlRateHelperLatestDate($D69)</f>
        <v>#VALUE!</v>
      </c>
      <c r="I69" s="188" t="e">
        <v>#N/A</v>
      </c>
    </row>
    <row r="70" spans="4:9" x14ac:dyDescent="0.2">
      <c r="D70" s="40" t="e">
        <v>#N/A</v>
      </c>
      <c r="E70" s="39" t="e">
        <f>_xll.qlRateHelperRate($D70)</f>
        <v>#VALUE!</v>
      </c>
      <c r="F70" s="39" t="str">
        <f>IF(ISERROR(_xll.qlSwapRateHelperSpread($D70)),IF(ISERROR(_xll.qlFuturesRateHelperConvexityAdjustment($D70)),"--",_xll.qlFuturesRateHelperConvexityAdjustment($D70)),_xll.qlSwapRateHelperSpread($D70))</f>
        <v>--</v>
      </c>
      <c r="G70" s="38" t="e">
        <f>_xll.qlRateHelperEarliestDate($D70)</f>
        <v>#VALUE!</v>
      </c>
      <c r="H70" s="37" t="e">
        <f>_xll.qlRateHelperLatestDate($D70)</f>
        <v>#VALUE!</v>
      </c>
      <c r="I70" s="188" t="e">
        <v>#N/A</v>
      </c>
    </row>
    <row r="71" spans="4:9" x14ac:dyDescent="0.2">
      <c r="D71" s="40" t="e">
        <v>#N/A</v>
      </c>
      <c r="E71" s="39" t="e">
        <f>_xll.qlRateHelperRate($D71)</f>
        <v>#VALUE!</v>
      </c>
      <c r="F71" s="39" t="str">
        <f>IF(ISERROR(_xll.qlSwapRateHelperSpread($D71)),IF(ISERROR(_xll.qlFuturesRateHelperConvexityAdjustment($D71)),"--",_xll.qlFuturesRateHelperConvexityAdjustment($D71)),_xll.qlSwapRateHelperSpread($D71))</f>
        <v>--</v>
      </c>
      <c r="G71" s="38" t="e">
        <f>_xll.qlRateHelperEarliestDate($D71)</f>
        <v>#VALUE!</v>
      </c>
      <c r="H71" s="37" t="e">
        <f>_xll.qlRateHelperLatestDate($D71)</f>
        <v>#VALUE!</v>
      </c>
      <c r="I71" s="188" t="e">
        <v>#N/A</v>
      </c>
    </row>
    <row r="72" spans="4:9" x14ac:dyDescent="0.2">
      <c r="D72" s="40" t="e">
        <v>#N/A</v>
      </c>
      <c r="E72" s="39" t="e">
        <f>_xll.qlRateHelperRate($D72)</f>
        <v>#VALUE!</v>
      </c>
      <c r="F72" s="39" t="str">
        <f>IF(ISERROR(_xll.qlSwapRateHelperSpread($D72)),IF(ISERROR(_xll.qlFuturesRateHelperConvexityAdjustment($D72)),"--",_xll.qlFuturesRateHelperConvexityAdjustment($D72)),_xll.qlSwapRateHelperSpread($D72))</f>
        <v>--</v>
      </c>
      <c r="G72" s="38" t="e">
        <f>_xll.qlRateHelperEarliestDate($D72)</f>
        <v>#VALUE!</v>
      </c>
      <c r="H72" s="37" t="e">
        <f>_xll.qlRateHelperLatestDate($D72)</f>
        <v>#VALUE!</v>
      </c>
      <c r="I72" s="188" t="e">
        <v>#N/A</v>
      </c>
    </row>
    <row r="73" spans="4:9" x14ac:dyDescent="0.2">
      <c r="D73" s="40" t="e">
        <v>#N/A</v>
      </c>
      <c r="E73" s="39" t="e">
        <f>_xll.qlRateHelperRate($D73)</f>
        <v>#VALUE!</v>
      </c>
      <c r="F73" s="39" t="str">
        <f>IF(ISERROR(_xll.qlSwapRateHelperSpread($D73)),IF(ISERROR(_xll.qlFuturesRateHelperConvexityAdjustment($D73)),"--",_xll.qlFuturesRateHelperConvexityAdjustment($D73)),_xll.qlSwapRateHelperSpread($D73))</f>
        <v>--</v>
      </c>
      <c r="G73" s="38" t="e">
        <f>_xll.qlRateHelperEarliestDate($D73)</f>
        <v>#VALUE!</v>
      </c>
      <c r="H73" s="37" t="e">
        <f>_xll.qlRateHelperLatestDate($D73)</f>
        <v>#VALUE!</v>
      </c>
      <c r="I73" s="188" t="e">
        <v>#N/A</v>
      </c>
    </row>
    <row r="74" spans="4:9" x14ac:dyDescent="0.2">
      <c r="D74" s="40" t="e">
        <v>#N/A</v>
      </c>
      <c r="E74" s="39" t="e">
        <f>_xll.qlRateHelperRate($D74)</f>
        <v>#VALUE!</v>
      </c>
      <c r="F74" s="39" t="str">
        <f>IF(ISERROR(_xll.qlSwapRateHelperSpread($D74)),IF(ISERROR(_xll.qlFuturesRateHelperConvexityAdjustment($D74)),"--",_xll.qlFuturesRateHelperConvexityAdjustment($D74)),_xll.qlSwapRateHelperSpread($D74))</f>
        <v>--</v>
      </c>
      <c r="G74" s="38" t="e">
        <f>_xll.qlRateHelperEarliestDate($D74)</f>
        <v>#VALUE!</v>
      </c>
      <c r="H74" s="37" t="e">
        <f>_xll.qlRateHelperLatestDate($D74)</f>
        <v>#VALUE!</v>
      </c>
      <c r="I74" s="188" t="e">
        <v>#N/A</v>
      </c>
    </row>
    <row r="75" spans="4:9" x14ac:dyDescent="0.2">
      <c r="D75" s="40" t="e">
        <v>#N/A</v>
      </c>
      <c r="E75" s="39" t="e">
        <f>_xll.qlRateHelperRate($D75)</f>
        <v>#VALUE!</v>
      </c>
      <c r="F75" s="39" t="str">
        <f>IF(ISERROR(_xll.qlSwapRateHelperSpread($D75)),IF(ISERROR(_xll.qlFuturesRateHelperConvexityAdjustment($D75)),"--",_xll.qlFuturesRateHelperConvexityAdjustment($D75)),_xll.qlSwapRateHelperSpread($D75))</f>
        <v>--</v>
      </c>
      <c r="G75" s="38" t="e">
        <f>_xll.qlRateHelperEarliestDate($D75)</f>
        <v>#VALUE!</v>
      </c>
      <c r="H75" s="37" t="e">
        <f>_xll.qlRateHelperLatestDate($D75)</f>
        <v>#VALUE!</v>
      </c>
      <c r="I75" s="188" t="e">
        <v>#N/A</v>
      </c>
    </row>
    <row r="76" spans="4:9" x14ac:dyDescent="0.2">
      <c r="D76" s="40" t="e">
        <v>#N/A</v>
      </c>
      <c r="E76" s="39" t="e">
        <f>_xll.qlRateHelperRate($D76)</f>
        <v>#VALUE!</v>
      </c>
      <c r="F76" s="39" t="str">
        <f>IF(ISERROR(_xll.qlSwapRateHelperSpread($D76)),IF(ISERROR(_xll.qlFuturesRateHelperConvexityAdjustment($D76)),"--",_xll.qlFuturesRateHelperConvexityAdjustment($D76)),_xll.qlSwapRateHelperSpread($D76))</f>
        <v>--</v>
      </c>
      <c r="G76" s="38" t="e">
        <f>_xll.qlRateHelperEarliestDate($D76)</f>
        <v>#VALUE!</v>
      </c>
      <c r="H76" s="37" t="e">
        <f>_xll.qlRateHelperLatestDate($D76)</f>
        <v>#VALUE!</v>
      </c>
      <c r="I76" s="188" t="e">
        <v>#N/A</v>
      </c>
    </row>
    <row r="77" spans="4:9" x14ac:dyDescent="0.2">
      <c r="D77" s="40" t="e">
        <v>#N/A</v>
      </c>
      <c r="E77" s="39" t="e">
        <f>_xll.qlRateHelperRate($D77)</f>
        <v>#VALUE!</v>
      </c>
      <c r="F77" s="39" t="str">
        <f>IF(ISERROR(_xll.qlSwapRateHelperSpread($D77)),IF(ISERROR(_xll.qlFuturesRateHelperConvexityAdjustment($D77)),"--",_xll.qlFuturesRateHelperConvexityAdjustment($D77)),_xll.qlSwapRateHelperSpread($D77))</f>
        <v>--</v>
      </c>
      <c r="G77" s="38" t="e">
        <f>_xll.qlRateHelperEarliestDate($D77)</f>
        <v>#VALUE!</v>
      </c>
      <c r="H77" s="37" t="e">
        <f>_xll.qlRateHelperLatestDate($D77)</f>
        <v>#VALUE!</v>
      </c>
      <c r="I77" s="188" t="e">
        <v>#N/A</v>
      </c>
    </row>
    <row r="78" spans="4:9" x14ac:dyDescent="0.2">
      <c r="D78" s="40" t="e">
        <v>#N/A</v>
      </c>
      <c r="E78" s="39" t="e">
        <f>_xll.qlRateHelperRate($D78)</f>
        <v>#VALUE!</v>
      </c>
      <c r="F78" s="39" t="str">
        <f>IF(ISERROR(_xll.qlSwapRateHelperSpread($D78)),IF(ISERROR(_xll.qlFuturesRateHelperConvexityAdjustment($D78)),"--",_xll.qlFuturesRateHelperConvexityAdjustment($D78)),_xll.qlSwapRateHelperSpread($D78))</f>
        <v>--</v>
      </c>
      <c r="G78" s="38" t="e">
        <f>_xll.qlRateHelperEarliestDate($D78)</f>
        <v>#VALUE!</v>
      </c>
      <c r="H78" s="37" t="e">
        <f>_xll.qlRateHelperLatestDate($D78)</f>
        <v>#VALUE!</v>
      </c>
      <c r="I78" s="188" t="e">
        <v>#N/A</v>
      </c>
    </row>
    <row r="79" spans="4:9" x14ac:dyDescent="0.2">
      <c r="D79" s="40" t="e">
        <v>#N/A</v>
      </c>
      <c r="E79" s="39" t="e">
        <f>_xll.qlRateHelperRate($D79)</f>
        <v>#VALUE!</v>
      </c>
      <c r="F79" s="39" t="str">
        <f>IF(ISERROR(_xll.qlSwapRateHelperSpread($D79)),IF(ISERROR(_xll.qlFuturesRateHelperConvexityAdjustment($D79)),"--",_xll.qlFuturesRateHelperConvexityAdjustment($D79)),_xll.qlSwapRateHelperSpread($D79))</f>
        <v>--</v>
      </c>
      <c r="G79" s="38" t="e">
        <f>_xll.qlRateHelperEarliestDate($D79)</f>
        <v>#VALUE!</v>
      </c>
      <c r="H79" s="37" t="e">
        <f>_xll.qlRateHelperLatestDate($D79)</f>
        <v>#VALUE!</v>
      </c>
      <c r="I79" s="188" t="e">
        <v>#N/A</v>
      </c>
    </row>
    <row r="80" spans="4:9" x14ac:dyDescent="0.2">
      <c r="D80" s="40" t="e">
        <v>#N/A</v>
      </c>
      <c r="E80" s="39" t="e">
        <f>_xll.qlRateHelperRate($D80)</f>
        <v>#VALUE!</v>
      </c>
      <c r="F80" s="39" t="str">
        <f>IF(ISERROR(_xll.qlSwapRateHelperSpread($D80)),IF(ISERROR(_xll.qlFuturesRateHelperConvexityAdjustment($D80)),"--",_xll.qlFuturesRateHelperConvexityAdjustment($D80)),_xll.qlSwapRateHelperSpread($D80))</f>
        <v>--</v>
      </c>
      <c r="G80" s="38" t="e">
        <f>_xll.qlRateHelperEarliestDate($D80)</f>
        <v>#VALUE!</v>
      </c>
      <c r="H80" s="37" t="e">
        <f>_xll.qlRateHelperLatestDate($D80)</f>
        <v>#VALUE!</v>
      </c>
      <c r="I80" s="188" t="e">
        <v>#N/A</v>
      </c>
    </row>
    <row r="81" spans="4:9" x14ac:dyDescent="0.2">
      <c r="D81" s="40" t="e">
        <v>#N/A</v>
      </c>
      <c r="E81" s="39" t="e">
        <f>_xll.qlRateHelperRate($D81)</f>
        <v>#VALUE!</v>
      </c>
      <c r="F81" s="39" t="str">
        <f>IF(ISERROR(_xll.qlSwapRateHelperSpread($D81)),IF(ISERROR(_xll.qlFuturesRateHelperConvexityAdjustment($D81)),"--",_xll.qlFuturesRateHelperConvexityAdjustment($D81)),_xll.qlSwapRateHelperSpread($D81))</f>
        <v>--</v>
      </c>
      <c r="G81" s="38" t="e">
        <f>_xll.qlRateHelperEarliestDate($D81)</f>
        <v>#VALUE!</v>
      </c>
      <c r="H81" s="37" t="e">
        <f>_xll.qlRateHelperLatestDate($D81)</f>
        <v>#VALUE!</v>
      </c>
      <c r="I81" s="188" t="e">
        <v>#N/A</v>
      </c>
    </row>
    <row r="82" spans="4:9" x14ac:dyDescent="0.2">
      <c r="D82" s="40" t="e">
        <v>#N/A</v>
      </c>
      <c r="E82" s="39" t="e">
        <f>_xll.qlRateHelperRate($D82)</f>
        <v>#VALUE!</v>
      </c>
      <c r="F82" s="39" t="str">
        <f>IF(ISERROR(_xll.qlSwapRateHelperSpread($D82)),IF(ISERROR(_xll.qlFuturesRateHelperConvexityAdjustment($D82)),"--",_xll.qlFuturesRateHelperConvexityAdjustment($D82)),_xll.qlSwapRateHelperSpread($D82))</f>
        <v>--</v>
      </c>
      <c r="G82" s="38" t="e">
        <f>_xll.qlRateHelperEarliestDate($D82)</f>
        <v>#VALUE!</v>
      </c>
      <c r="H82" s="37" t="e">
        <f>_xll.qlRateHelperLatestDate($D82)</f>
        <v>#VALUE!</v>
      </c>
      <c r="I82" s="188" t="e">
        <v>#N/A</v>
      </c>
    </row>
    <row r="83" spans="4:9" x14ac:dyDescent="0.2">
      <c r="D83" s="40" t="e">
        <v>#N/A</v>
      </c>
      <c r="E83" s="39" t="e">
        <f>_xll.qlRateHelperRate($D83)</f>
        <v>#VALUE!</v>
      </c>
      <c r="F83" s="39" t="str">
        <f>IF(ISERROR(_xll.qlSwapRateHelperSpread($D83)),IF(ISERROR(_xll.qlFuturesRateHelperConvexityAdjustment($D83)),"--",_xll.qlFuturesRateHelperConvexityAdjustment($D83)),_xll.qlSwapRateHelperSpread($D83))</f>
        <v>--</v>
      </c>
      <c r="G83" s="38" t="e">
        <f>_xll.qlRateHelperEarliestDate($D83)</f>
        <v>#VALUE!</v>
      </c>
      <c r="H83" s="37" t="e">
        <f>_xll.qlRateHelperLatestDate($D83)</f>
        <v>#VALUE!</v>
      </c>
      <c r="I83" s="188" t="e">
        <v>#N/A</v>
      </c>
    </row>
    <row r="84" spans="4:9" x14ac:dyDescent="0.2">
      <c r="D84" s="40" t="e">
        <v>#N/A</v>
      </c>
      <c r="E84" s="39" t="e">
        <f>_xll.qlRateHelperRate($D84)</f>
        <v>#VALUE!</v>
      </c>
      <c r="F84" s="39" t="str">
        <f>IF(ISERROR(_xll.qlSwapRateHelperSpread($D84)),IF(ISERROR(_xll.qlFuturesRateHelperConvexityAdjustment($D84)),"--",_xll.qlFuturesRateHelperConvexityAdjustment($D84)),_xll.qlSwapRateHelperSpread($D84))</f>
        <v>--</v>
      </c>
      <c r="G84" s="38" t="e">
        <f>_xll.qlRateHelperEarliestDate($D84)</f>
        <v>#VALUE!</v>
      </c>
      <c r="H84" s="37" t="e">
        <f>_xll.qlRateHelperLatestDate($D84)</f>
        <v>#VALUE!</v>
      </c>
      <c r="I84" s="188" t="e">
        <v>#N/A</v>
      </c>
    </row>
    <row r="85" spans="4:9" x14ac:dyDescent="0.2">
      <c r="D85" s="40" t="e">
        <v>#N/A</v>
      </c>
      <c r="E85" s="39" t="e">
        <f>_xll.qlRateHelperRate($D85)</f>
        <v>#VALUE!</v>
      </c>
      <c r="F85" s="39" t="str">
        <f>IF(ISERROR(_xll.qlSwapRateHelperSpread($D85)),IF(ISERROR(_xll.qlFuturesRateHelperConvexityAdjustment($D85)),"--",_xll.qlFuturesRateHelperConvexityAdjustment($D85)),_xll.qlSwapRateHelperSpread($D85))</f>
        <v>--</v>
      </c>
      <c r="G85" s="38" t="e">
        <f>_xll.qlRateHelperEarliestDate($D85)</f>
        <v>#VALUE!</v>
      </c>
      <c r="H85" s="37" t="e">
        <f>_xll.qlRateHelperLatestDate($D85)</f>
        <v>#VALUE!</v>
      </c>
      <c r="I85" s="188" t="e">
        <v>#N/A</v>
      </c>
    </row>
    <row r="86" spans="4:9" x14ac:dyDescent="0.2">
      <c r="D86" s="40" t="e">
        <v>#N/A</v>
      </c>
      <c r="E86" s="39" t="e">
        <f>_xll.qlRateHelperRate($D86)</f>
        <v>#VALUE!</v>
      </c>
      <c r="F86" s="39" t="str">
        <f>IF(ISERROR(_xll.qlSwapRateHelperSpread($D86)),IF(ISERROR(_xll.qlFuturesRateHelperConvexityAdjustment($D86)),"--",_xll.qlFuturesRateHelperConvexityAdjustment($D86)),_xll.qlSwapRateHelperSpread($D86))</f>
        <v>--</v>
      </c>
      <c r="G86" s="38" t="e">
        <f>_xll.qlRateHelperEarliestDate($D86)</f>
        <v>#VALUE!</v>
      </c>
      <c r="H86" s="37" t="e">
        <f>_xll.qlRateHelperLatestDate($D86)</f>
        <v>#VALUE!</v>
      </c>
      <c r="I86" s="188" t="e">
        <v>#N/A</v>
      </c>
    </row>
    <row r="87" spans="4:9" x14ac:dyDescent="0.2">
      <c r="D87" s="40" t="e">
        <v>#N/A</v>
      </c>
      <c r="E87" s="39" t="e">
        <f>_xll.qlRateHelperRate($D87)</f>
        <v>#VALUE!</v>
      </c>
      <c r="F87" s="39" t="str">
        <f>IF(ISERROR(_xll.qlSwapRateHelperSpread($D87)),IF(ISERROR(_xll.qlFuturesRateHelperConvexityAdjustment($D87)),"--",_xll.qlFuturesRateHelperConvexityAdjustment($D87)),_xll.qlSwapRateHelperSpread($D87))</f>
        <v>--</v>
      </c>
      <c r="G87" s="38" t="e">
        <f>_xll.qlRateHelperEarliestDate($D87)</f>
        <v>#VALUE!</v>
      </c>
      <c r="H87" s="37" t="e">
        <f>_xll.qlRateHelperLatestDate($D87)</f>
        <v>#VALUE!</v>
      </c>
      <c r="I87" s="188" t="e">
        <v>#N/A</v>
      </c>
    </row>
    <row r="88" spans="4:9" x14ac:dyDescent="0.2">
      <c r="D88" s="40" t="e">
        <v>#N/A</v>
      </c>
      <c r="E88" s="39" t="e">
        <f>_xll.qlRateHelperRate($D88)</f>
        <v>#VALUE!</v>
      </c>
      <c r="F88" s="39" t="str">
        <f>IF(ISERROR(_xll.qlSwapRateHelperSpread($D88)),IF(ISERROR(_xll.qlFuturesRateHelperConvexityAdjustment($D88)),"--",_xll.qlFuturesRateHelperConvexityAdjustment($D88)),_xll.qlSwapRateHelperSpread($D88))</f>
        <v>--</v>
      </c>
      <c r="G88" s="38" t="e">
        <f>_xll.qlRateHelperEarliestDate($D88)</f>
        <v>#VALUE!</v>
      </c>
      <c r="H88" s="37" t="e">
        <f>_xll.qlRateHelperLatestDate($D88)</f>
        <v>#VALUE!</v>
      </c>
      <c r="I88" s="188" t="e">
        <v>#N/A</v>
      </c>
    </row>
    <row r="89" spans="4:9" x14ac:dyDescent="0.2">
      <c r="D89" s="40" t="e">
        <v>#N/A</v>
      </c>
      <c r="E89" s="39" t="e">
        <f>_xll.qlRateHelperRate($D89)</f>
        <v>#VALUE!</v>
      </c>
      <c r="F89" s="39" t="str">
        <f>IF(ISERROR(_xll.qlSwapRateHelperSpread($D89)),IF(ISERROR(_xll.qlFuturesRateHelperConvexityAdjustment($D89)),"--",_xll.qlFuturesRateHelperConvexityAdjustment($D89)),_xll.qlSwapRateHelperSpread($D89))</f>
        <v>--</v>
      </c>
      <c r="G89" s="38" t="e">
        <f>_xll.qlRateHelperEarliestDate($D89)</f>
        <v>#VALUE!</v>
      </c>
      <c r="H89" s="37" t="e">
        <f>_xll.qlRateHelperLatestDate($D89)</f>
        <v>#VALUE!</v>
      </c>
      <c r="I89" s="188" t="e">
        <v>#N/A</v>
      </c>
    </row>
    <row r="90" spans="4:9" x14ac:dyDescent="0.2">
      <c r="D90" s="40" t="e">
        <v>#N/A</v>
      </c>
      <c r="E90" s="39" t="e">
        <f>_xll.qlRateHelperRate($D90)</f>
        <v>#VALUE!</v>
      </c>
      <c r="F90" s="39" t="str">
        <f>IF(ISERROR(_xll.qlSwapRateHelperSpread($D90)),IF(ISERROR(_xll.qlFuturesRateHelperConvexityAdjustment($D90)),"--",_xll.qlFuturesRateHelperConvexityAdjustment($D90)),_xll.qlSwapRateHelperSpread($D90))</f>
        <v>--</v>
      </c>
      <c r="G90" s="38" t="e">
        <f>_xll.qlRateHelperEarliestDate($D90)</f>
        <v>#VALUE!</v>
      </c>
      <c r="H90" s="37" t="e">
        <f>_xll.qlRateHelperLatestDate($D90)</f>
        <v>#VALUE!</v>
      </c>
      <c r="I90" s="188" t="e">
        <v>#N/A</v>
      </c>
    </row>
    <row r="91" spans="4:9" x14ac:dyDescent="0.2">
      <c r="D91" s="40" t="e">
        <v>#N/A</v>
      </c>
      <c r="E91" s="39" t="e">
        <f>_xll.qlRateHelperRate($D91)</f>
        <v>#VALUE!</v>
      </c>
      <c r="F91" s="39" t="str">
        <f>IF(ISERROR(_xll.qlSwapRateHelperSpread($D91)),IF(ISERROR(_xll.qlFuturesRateHelperConvexityAdjustment($D91)),"--",_xll.qlFuturesRateHelperConvexityAdjustment($D91)),_xll.qlSwapRateHelperSpread($D91))</f>
        <v>--</v>
      </c>
      <c r="G91" s="38" t="e">
        <f>_xll.qlRateHelperEarliestDate($D91)</f>
        <v>#VALUE!</v>
      </c>
      <c r="H91" s="37" t="e">
        <f>_xll.qlRateHelperLatestDate($D91)</f>
        <v>#VALUE!</v>
      </c>
      <c r="I91" s="188" t="e">
        <v>#N/A</v>
      </c>
    </row>
    <row r="92" spans="4:9" x14ac:dyDescent="0.2">
      <c r="D92" s="40" t="e">
        <v>#N/A</v>
      </c>
      <c r="E92" s="39" t="e">
        <f>_xll.qlRateHelperRate($D92)</f>
        <v>#VALUE!</v>
      </c>
      <c r="F92" s="39" t="str">
        <f>IF(ISERROR(_xll.qlSwapRateHelperSpread($D92)),IF(ISERROR(_xll.qlFuturesRateHelperConvexityAdjustment($D92)),"--",_xll.qlFuturesRateHelperConvexityAdjustment($D92)),_xll.qlSwapRateHelperSpread($D92))</f>
        <v>--</v>
      </c>
      <c r="G92" s="38" t="e">
        <f>_xll.qlRateHelperEarliestDate($D92)</f>
        <v>#VALUE!</v>
      </c>
      <c r="H92" s="37" t="e">
        <f>_xll.qlRateHelperLatestDate($D92)</f>
        <v>#VALUE!</v>
      </c>
      <c r="I92" s="188" t="e">
        <v>#N/A</v>
      </c>
    </row>
    <row r="93" spans="4:9" x14ac:dyDescent="0.2">
      <c r="D93" s="40" t="e">
        <v>#N/A</v>
      </c>
      <c r="E93" s="39" t="e">
        <f>_xll.qlRateHelperRate($D93)</f>
        <v>#VALUE!</v>
      </c>
      <c r="F93" s="39" t="str">
        <f>IF(ISERROR(_xll.qlSwapRateHelperSpread($D93)),IF(ISERROR(_xll.qlFuturesRateHelperConvexityAdjustment($D93)),"--",_xll.qlFuturesRateHelperConvexityAdjustment($D93)),_xll.qlSwapRateHelperSpread($D93))</f>
        <v>--</v>
      </c>
      <c r="G93" s="38" t="e">
        <f>_xll.qlRateHelperEarliestDate($D93)</f>
        <v>#VALUE!</v>
      </c>
      <c r="H93" s="37" t="e">
        <f>_xll.qlRateHelperLatestDate($D93)</f>
        <v>#VALUE!</v>
      </c>
      <c r="I93" s="188" t="e">
        <v>#N/A</v>
      </c>
    </row>
    <row r="94" spans="4:9" x14ac:dyDescent="0.2">
      <c r="D94" s="40" t="e">
        <v>#N/A</v>
      </c>
      <c r="E94" s="39" t="e">
        <f>_xll.qlRateHelperRate($D94)</f>
        <v>#VALUE!</v>
      </c>
      <c r="F94" s="39" t="str">
        <f>IF(ISERROR(_xll.qlSwapRateHelperSpread($D94)),IF(ISERROR(_xll.qlFuturesRateHelperConvexityAdjustment($D94)),"--",_xll.qlFuturesRateHelperConvexityAdjustment($D94)),_xll.qlSwapRateHelperSpread($D94))</f>
        <v>--</v>
      </c>
      <c r="G94" s="38" t="e">
        <f>_xll.qlRateHelperEarliestDate($D94)</f>
        <v>#VALUE!</v>
      </c>
      <c r="H94" s="37" t="e">
        <f>_xll.qlRateHelperLatestDate($D94)</f>
        <v>#VALUE!</v>
      </c>
      <c r="I94" s="188" t="e">
        <v>#N/A</v>
      </c>
    </row>
    <row r="95" spans="4:9" x14ac:dyDescent="0.2">
      <c r="D95" s="40" t="e">
        <v>#N/A</v>
      </c>
      <c r="E95" s="39" t="e">
        <f>_xll.qlRateHelperRate($D95)</f>
        <v>#VALUE!</v>
      </c>
      <c r="F95" s="39" t="str">
        <f>IF(ISERROR(_xll.qlSwapRateHelperSpread($D95)),IF(ISERROR(_xll.qlFuturesRateHelperConvexityAdjustment($D95)),"--",_xll.qlFuturesRateHelperConvexityAdjustment($D95)),_xll.qlSwapRateHelperSpread($D95))</f>
        <v>--</v>
      </c>
      <c r="G95" s="38" t="e">
        <f>_xll.qlRateHelperEarliestDate($D95)</f>
        <v>#VALUE!</v>
      </c>
      <c r="H95" s="37" t="e">
        <f>_xll.qlRateHelperLatestDate($D95)</f>
        <v>#VALUE!</v>
      </c>
      <c r="I95" s="188" t="e">
        <v>#N/A</v>
      </c>
    </row>
    <row r="96" spans="4:9" x14ac:dyDescent="0.2">
      <c r="D96" s="40" t="e">
        <v>#N/A</v>
      </c>
      <c r="E96" s="39" t="e">
        <f>_xll.qlRateHelperRate($D96)</f>
        <v>#VALUE!</v>
      </c>
      <c r="F96" s="39" t="str">
        <f>IF(ISERROR(_xll.qlSwapRateHelperSpread($D96)),IF(ISERROR(_xll.qlFuturesRateHelperConvexityAdjustment($D96)),"--",_xll.qlFuturesRateHelperConvexityAdjustment($D96)),_xll.qlSwapRateHelperSpread($D96))</f>
        <v>--</v>
      </c>
      <c r="G96" s="38" t="e">
        <f>_xll.qlRateHelperEarliestDate($D96)</f>
        <v>#VALUE!</v>
      </c>
      <c r="H96" s="37" t="e">
        <f>_xll.qlRateHelperLatestDate($D96)</f>
        <v>#VALUE!</v>
      </c>
      <c r="I96" s="188" t="e">
        <v>#N/A</v>
      </c>
    </row>
    <row r="97" spans="4:9" x14ac:dyDescent="0.2">
      <c r="D97" s="40" t="e">
        <v>#N/A</v>
      </c>
      <c r="E97" s="39" t="e">
        <f>_xll.qlRateHelperRate($D97)</f>
        <v>#VALUE!</v>
      </c>
      <c r="F97" s="39" t="str">
        <f>IF(ISERROR(_xll.qlSwapRateHelperSpread($D97)),IF(ISERROR(_xll.qlFuturesRateHelperConvexityAdjustment($D97)),"--",_xll.qlFuturesRateHelperConvexityAdjustment($D97)),_xll.qlSwapRateHelperSpread($D97))</f>
        <v>--</v>
      </c>
      <c r="G97" s="38" t="e">
        <f>_xll.qlRateHelperEarliestDate($D97)</f>
        <v>#VALUE!</v>
      </c>
      <c r="H97" s="37" t="e">
        <f>_xll.qlRateHelperLatestDate($D97)</f>
        <v>#VALUE!</v>
      </c>
      <c r="I97" s="188" t="e">
        <v>#N/A</v>
      </c>
    </row>
    <row r="98" spans="4:9" x14ac:dyDescent="0.2">
      <c r="D98" s="40" t="e">
        <v>#N/A</v>
      </c>
      <c r="E98" s="39" t="e">
        <f>_xll.qlRateHelperRate($D98)</f>
        <v>#VALUE!</v>
      </c>
      <c r="F98" s="39" t="str">
        <f>IF(ISERROR(_xll.qlSwapRateHelperSpread($D98)),IF(ISERROR(_xll.qlFuturesRateHelperConvexityAdjustment($D98)),"--",_xll.qlFuturesRateHelperConvexityAdjustment($D98)),_xll.qlSwapRateHelperSpread($D98))</f>
        <v>--</v>
      </c>
      <c r="G98" s="38" t="e">
        <f>_xll.qlRateHelperEarliestDate($D98)</f>
        <v>#VALUE!</v>
      </c>
      <c r="H98" s="37" t="e">
        <f>_xll.qlRateHelperLatestDate($D98)</f>
        <v>#VALUE!</v>
      </c>
      <c r="I98" s="188" t="e">
        <v>#N/A</v>
      </c>
    </row>
    <row r="99" spans="4:9" x14ac:dyDescent="0.2">
      <c r="D99" s="40" t="e">
        <v>#N/A</v>
      </c>
      <c r="E99" s="39" t="e">
        <f>_xll.qlRateHelperRate($D99)</f>
        <v>#VALUE!</v>
      </c>
      <c r="F99" s="39" t="str">
        <f>IF(ISERROR(_xll.qlSwapRateHelperSpread($D99)),IF(ISERROR(_xll.qlFuturesRateHelperConvexityAdjustment($D99)),"--",_xll.qlFuturesRateHelperConvexityAdjustment($D99)),_xll.qlSwapRateHelperSpread($D99))</f>
        <v>--</v>
      </c>
      <c r="G99" s="38" t="e">
        <f>_xll.qlRateHelperEarliestDate($D99)</f>
        <v>#VALUE!</v>
      </c>
      <c r="H99" s="37" t="e">
        <f>_xll.qlRateHelperLatestDate($D99)</f>
        <v>#VALUE!</v>
      </c>
      <c r="I99" s="188" t="e">
        <v>#N/A</v>
      </c>
    </row>
    <row r="100" spans="4:9" x14ac:dyDescent="0.2">
      <c r="D100" s="40" t="e">
        <v>#N/A</v>
      </c>
      <c r="E100" s="39" t="e">
        <f>_xll.qlRateHelperRate($D100)</f>
        <v>#VALUE!</v>
      </c>
      <c r="F100" s="39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8" t="e">
        <f>_xll.qlRateHelperEarliestDate($D100)</f>
        <v>#VALUE!</v>
      </c>
      <c r="H100" s="37" t="e">
        <f>_xll.qlRateHelperLatestDate($D100)</f>
        <v>#VALUE!</v>
      </c>
      <c r="I100" s="188" t="e">
        <v>#N/A</v>
      </c>
    </row>
    <row r="101" spans="4:9" x14ac:dyDescent="0.2">
      <c r="D101" s="40" t="e">
        <v>#N/A</v>
      </c>
      <c r="E101" s="39" t="e">
        <f>_xll.qlRateHelperRate($D101)</f>
        <v>#VALUE!</v>
      </c>
      <c r="F101" s="39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8" t="e">
        <f>_xll.qlRateHelperEarliestDate($D101)</f>
        <v>#VALUE!</v>
      </c>
      <c r="H101" s="37" t="e">
        <f>_xll.qlRateHelperLatestDate($D101)</f>
        <v>#VALUE!</v>
      </c>
      <c r="I101" s="188" t="e">
        <v>#N/A</v>
      </c>
    </row>
    <row r="102" spans="4:9" x14ac:dyDescent="0.2">
      <c r="D102" s="40" t="e">
        <v>#N/A</v>
      </c>
      <c r="E102" s="39" t="e">
        <f>_xll.qlRateHelperRate($D102)</f>
        <v>#VALUE!</v>
      </c>
      <c r="F102" s="39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8" t="e">
        <f>_xll.qlRateHelperEarliestDate($D102)</f>
        <v>#VALUE!</v>
      </c>
      <c r="H102" s="37" t="e">
        <f>_xll.qlRateHelperLatestDate($D102)</f>
        <v>#VALUE!</v>
      </c>
      <c r="I102" s="188" t="e">
        <v>#N/A</v>
      </c>
    </row>
    <row r="103" spans="4:9" x14ac:dyDescent="0.2">
      <c r="D103" s="40" t="e">
        <v>#N/A</v>
      </c>
      <c r="E103" s="39" t="e">
        <f>_xll.qlRateHelperRate($D103)</f>
        <v>#VALUE!</v>
      </c>
      <c r="F103" s="39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8" t="e">
        <f>_xll.qlRateHelperEarliestDate($D103)</f>
        <v>#VALUE!</v>
      </c>
      <c r="H103" s="37" t="e">
        <f>_xll.qlRateHelperLatestDate($D103)</f>
        <v>#VALUE!</v>
      </c>
      <c r="I103" s="188" t="e">
        <v>#N/A</v>
      </c>
    </row>
    <row r="104" spans="4:9" x14ac:dyDescent="0.2">
      <c r="D104" s="40" t="e">
        <v>#N/A</v>
      </c>
      <c r="E104" s="39" t="e">
        <f>_xll.qlRateHelperRate($D104)</f>
        <v>#VALUE!</v>
      </c>
      <c r="F104" s="39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8" t="e">
        <f>_xll.qlRateHelperEarliestDate($D104)</f>
        <v>#VALUE!</v>
      </c>
      <c r="H104" s="37" t="e">
        <f>_xll.qlRateHelperLatestDate($D104)</f>
        <v>#VALUE!</v>
      </c>
      <c r="I104" s="188" t="e">
        <v>#N/A</v>
      </c>
    </row>
    <row r="105" spans="4:9" x14ac:dyDescent="0.2">
      <c r="D105" s="40" t="e">
        <v>#N/A</v>
      </c>
      <c r="E105" s="39" t="e">
        <f>_xll.qlRateHelperRate($D105)</f>
        <v>#VALUE!</v>
      </c>
      <c r="F105" s="39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8" t="e">
        <f>_xll.qlRateHelperEarliestDate($D105)</f>
        <v>#VALUE!</v>
      </c>
      <c r="H105" s="37" t="e">
        <f>_xll.qlRateHelperLatestDate($D105)</f>
        <v>#VALUE!</v>
      </c>
      <c r="I105" s="188" t="e">
        <v>#N/A</v>
      </c>
    </row>
    <row r="106" spans="4:9" x14ac:dyDescent="0.2">
      <c r="D106" s="40" t="e">
        <v>#N/A</v>
      </c>
      <c r="E106" s="39" t="e">
        <f>_xll.qlRateHelperRate($D106)</f>
        <v>#VALUE!</v>
      </c>
      <c r="F106" s="39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8" t="e">
        <f>_xll.qlRateHelperEarliestDate($D106)</f>
        <v>#VALUE!</v>
      </c>
      <c r="H106" s="37" t="e">
        <f>_xll.qlRateHelperLatestDate($D106)</f>
        <v>#VALUE!</v>
      </c>
      <c r="I106" s="188" t="e">
        <v>#N/A</v>
      </c>
    </row>
    <row r="107" spans="4:9" x14ac:dyDescent="0.2">
      <c r="D107" s="40" t="e">
        <v>#N/A</v>
      </c>
      <c r="E107" s="39" t="e">
        <f>_xll.qlRateHelperRate($D107)</f>
        <v>#VALUE!</v>
      </c>
      <c r="F107" s="39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8" t="e">
        <f>_xll.qlRateHelperEarliestDate($D107)</f>
        <v>#VALUE!</v>
      </c>
      <c r="H107" s="37" t="e">
        <f>_xll.qlRateHelperLatestDate($D107)</f>
        <v>#VALUE!</v>
      </c>
      <c r="I107" s="188" t="e">
        <v>#N/A</v>
      </c>
    </row>
    <row r="108" spans="4:9" x14ac:dyDescent="0.2">
      <c r="D108" s="40" t="e">
        <v>#N/A</v>
      </c>
      <c r="E108" s="39" t="e">
        <f>_xll.qlRateHelperRate($D108)</f>
        <v>#VALUE!</v>
      </c>
      <c r="F108" s="39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8" t="e">
        <f>_xll.qlRateHelperEarliestDate($D108)</f>
        <v>#VALUE!</v>
      </c>
      <c r="H108" s="37" t="e">
        <f>_xll.qlRateHelperLatestDate($D108)</f>
        <v>#VALUE!</v>
      </c>
      <c r="I108" s="188" t="e">
        <v>#N/A</v>
      </c>
    </row>
    <row r="109" spans="4:9" x14ac:dyDescent="0.2">
      <c r="D109" s="40" t="e">
        <v>#N/A</v>
      </c>
      <c r="E109" s="39" t="e">
        <f>_xll.qlRateHelperRate($D109)</f>
        <v>#VALUE!</v>
      </c>
      <c r="F109" s="39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8" t="e">
        <f>_xll.qlRateHelperEarliestDate($D109)</f>
        <v>#VALUE!</v>
      </c>
      <c r="H109" s="37" t="e">
        <f>_xll.qlRateHelperLatestDate($D109)</f>
        <v>#VALUE!</v>
      </c>
      <c r="I109" s="188" t="e">
        <v>#N/A</v>
      </c>
    </row>
    <row r="110" spans="4:9" x14ac:dyDescent="0.2">
      <c r="D110" s="40" t="e">
        <v>#N/A</v>
      </c>
      <c r="E110" s="39" t="e">
        <f>_xll.qlRateHelperRate($D110)</f>
        <v>#VALUE!</v>
      </c>
      <c r="F110" s="39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8" t="e">
        <f>_xll.qlRateHelperEarliestDate($D110)</f>
        <v>#VALUE!</v>
      </c>
      <c r="H110" s="37" t="e">
        <f>_xll.qlRateHelperLatestDate($D110)</f>
        <v>#VALUE!</v>
      </c>
      <c r="I110" s="188" t="e">
        <v>#N/A</v>
      </c>
    </row>
    <row r="111" spans="4:9" x14ac:dyDescent="0.2">
      <c r="D111" s="40" t="e">
        <v>#N/A</v>
      </c>
      <c r="E111" s="39" t="e">
        <f>_xll.qlRateHelperRate($D111)</f>
        <v>#VALUE!</v>
      </c>
      <c r="F111" s="39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8" t="e">
        <f>_xll.qlRateHelperEarliestDate($D111)</f>
        <v>#VALUE!</v>
      </c>
      <c r="H111" s="37" t="e">
        <f>_xll.qlRateHelperLatestDate($D111)</f>
        <v>#VALUE!</v>
      </c>
      <c r="I111" s="188" t="e">
        <v>#N/A</v>
      </c>
    </row>
    <row r="112" spans="4:9" x14ac:dyDescent="0.2">
      <c r="D112" s="40" t="e">
        <v>#N/A</v>
      </c>
      <c r="E112" s="39" t="e">
        <f>_xll.qlRateHelperRate($D112)</f>
        <v>#VALUE!</v>
      </c>
      <c r="F112" s="39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8" t="e">
        <f>_xll.qlRateHelperEarliestDate($D112)</f>
        <v>#VALUE!</v>
      </c>
      <c r="H112" s="37" t="e">
        <f>_xll.qlRateHelperLatestDate($D112)</f>
        <v>#VALUE!</v>
      </c>
      <c r="I112" s="188" t="e">
        <v>#N/A</v>
      </c>
    </row>
    <row r="113" spans="4:9" x14ac:dyDescent="0.2">
      <c r="D113" s="40" t="e">
        <v>#N/A</v>
      </c>
      <c r="E113" s="39" t="e">
        <f>_xll.qlRateHelperRate($D113)</f>
        <v>#VALUE!</v>
      </c>
      <c r="F113" s="39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8" t="e">
        <f>_xll.qlRateHelperEarliestDate($D113)</f>
        <v>#VALUE!</v>
      </c>
      <c r="H113" s="37" t="e">
        <f>_xll.qlRateHelperLatestDate($D113)</f>
        <v>#VALUE!</v>
      </c>
      <c r="I113" s="188" t="e">
        <v>#N/A</v>
      </c>
    </row>
    <row r="114" spans="4:9" x14ac:dyDescent="0.2">
      <c r="D114" s="40" t="e">
        <v>#N/A</v>
      </c>
      <c r="E114" s="39" t="e">
        <f>_xll.qlRateHelperRate($D114)</f>
        <v>#VALUE!</v>
      </c>
      <c r="F114" s="39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8" t="e">
        <f>_xll.qlRateHelperEarliestDate($D114)</f>
        <v>#VALUE!</v>
      </c>
      <c r="H114" s="37" t="e">
        <f>_xll.qlRateHelperLatestDate($D114)</f>
        <v>#VALUE!</v>
      </c>
      <c r="I114" s="188" t="e">
        <v>#N/A</v>
      </c>
    </row>
    <row r="115" spans="4:9" x14ac:dyDescent="0.2">
      <c r="D115" s="40" t="e">
        <v>#N/A</v>
      </c>
      <c r="E115" s="39" t="e">
        <f>_xll.qlRateHelperRate($D115)</f>
        <v>#VALUE!</v>
      </c>
      <c r="F115" s="39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8" t="e">
        <f>_xll.qlRateHelperEarliestDate($D115)</f>
        <v>#VALUE!</v>
      </c>
      <c r="H115" s="37" t="e">
        <f>_xll.qlRateHelperLatestDate($D115)</f>
        <v>#VALUE!</v>
      </c>
      <c r="I115" s="188" t="e">
        <v>#N/A</v>
      </c>
    </row>
    <row r="116" spans="4:9" x14ac:dyDescent="0.2">
      <c r="D116" s="40" t="e">
        <v>#N/A</v>
      </c>
      <c r="E116" s="39" t="e">
        <f>_xll.qlRateHelperRate($D116)</f>
        <v>#VALUE!</v>
      </c>
      <c r="F116" s="39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8" t="e">
        <f>_xll.qlRateHelperEarliestDate($D116)</f>
        <v>#VALUE!</v>
      </c>
      <c r="H116" s="37" t="e">
        <f>_xll.qlRateHelperLatestDate($D116)</f>
        <v>#VALUE!</v>
      </c>
      <c r="I116" s="188" t="e">
        <v>#N/A</v>
      </c>
    </row>
    <row r="117" spans="4:9" x14ac:dyDescent="0.2">
      <c r="D117" s="40" t="e">
        <v>#N/A</v>
      </c>
      <c r="E117" s="39" t="e">
        <f>_xll.qlRateHelperRate($D117)</f>
        <v>#VALUE!</v>
      </c>
      <c r="F117" s="39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8" t="e">
        <f>_xll.qlRateHelperEarliestDate($D117)</f>
        <v>#VALUE!</v>
      </c>
      <c r="H117" s="37" t="e">
        <f>_xll.qlRateHelperLatestDate($D117)</f>
        <v>#VALUE!</v>
      </c>
      <c r="I117" s="188" t="e">
        <v>#N/A</v>
      </c>
    </row>
    <row r="118" spans="4:9" x14ac:dyDescent="0.2">
      <c r="D118" s="40" t="e">
        <v>#N/A</v>
      </c>
      <c r="E118" s="39" t="e">
        <f>_xll.qlRateHelperRate($D118)</f>
        <v>#VALUE!</v>
      </c>
      <c r="F118" s="39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8" t="e">
        <f>_xll.qlRateHelperEarliestDate($D118)</f>
        <v>#VALUE!</v>
      </c>
      <c r="H118" s="37" t="e">
        <f>_xll.qlRateHelperLatestDate($D118)</f>
        <v>#VALUE!</v>
      </c>
      <c r="I118" s="188" t="e">
        <v>#N/A</v>
      </c>
    </row>
    <row r="119" spans="4:9" x14ac:dyDescent="0.2">
      <c r="D119" s="40" t="e">
        <v>#N/A</v>
      </c>
      <c r="E119" s="39" t="e">
        <f>_xll.qlRateHelperRate($D119)</f>
        <v>#VALUE!</v>
      </c>
      <c r="F119" s="39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8" t="e">
        <f>_xll.qlRateHelperEarliestDate($D119)</f>
        <v>#VALUE!</v>
      </c>
      <c r="H119" s="37" t="e">
        <f>_xll.qlRateHelperLatestDate($D119)</f>
        <v>#VALUE!</v>
      </c>
      <c r="I119" s="188" t="e">
        <v>#N/A</v>
      </c>
    </row>
    <row r="120" spans="4:9" x14ac:dyDescent="0.2">
      <c r="D120" s="40" t="e">
        <v>#N/A</v>
      </c>
      <c r="E120" s="39" t="e">
        <f>_xll.qlRateHelperRate($D120)</f>
        <v>#VALUE!</v>
      </c>
      <c r="F120" s="39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8" t="e">
        <f>_xll.qlRateHelperEarliestDate($D120)</f>
        <v>#VALUE!</v>
      </c>
      <c r="H120" s="37" t="e">
        <f>_xll.qlRateHelperLatestDate($D120)</f>
        <v>#VALUE!</v>
      </c>
      <c r="I120" s="188" t="e">
        <v>#N/A</v>
      </c>
    </row>
    <row r="121" spans="4:9" x14ac:dyDescent="0.2">
      <c r="D121" s="40" t="e">
        <v>#N/A</v>
      </c>
      <c r="E121" s="39" t="e">
        <f>_xll.qlRateHelperRate($D121)</f>
        <v>#VALUE!</v>
      </c>
      <c r="F121" s="39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8" t="e">
        <f>_xll.qlRateHelperEarliestDate($D121)</f>
        <v>#VALUE!</v>
      </c>
      <c r="H121" s="37" t="e">
        <f>_xll.qlRateHelperLatestDate($D121)</f>
        <v>#VALUE!</v>
      </c>
      <c r="I121" s="188" t="e">
        <v>#N/A</v>
      </c>
    </row>
    <row r="122" spans="4:9" x14ac:dyDescent="0.2">
      <c r="D122" s="40" t="e">
        <v>#N/A</v>
      </c>
      <c r="E122" s="39" t="e">
        <f>_xll.qlRateHelperRate($D122)</f>
        <v>#VALUE!</v>
      </c>
      <c r="F122" s="39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8" t="e">
        <f>_xll.qlRateHelperEarliestDate($D122)</f>
        <v>#VALUE!</v>
      </c>
      <c r="H122" s="37" t="e">
        <f>_xll.qlRateHelperLatestDate($D122)</f>
        <v>#VALUE!</v>
      </c>
      <c r="I122" s="188" t="e">
        <v>#N/A</v>
      </c>
    </row>
    <row r="123" spans="4:9" x14ac:dyDescent="0.2">
      <c r="D123" s="40" t="e">
        <v>#N/A</v>
      </c>
      <c r="E123" s="39" t="e">
        <f>_xll.qlRateHelperRate($D123)</f>
        <v>#VALUE!</v>
      </c>
      <c r="F123" s="39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8" t="e">
        <f>_xll.qlRateHelperEarliestDate($D123)</f>
        <v>#VALUE!</v>
      </c>
      <c r="H123" s="37" t="e">
        <f>_xll.qlRateHelperLatestDate($D123)</f>
        <v>#VALUE!</v>
      </c>
      <c r="I123" s="188" t="e">
        <v>#N/A</v>
      </c>
    </row>
    <row r="124" spans="4:9" x14ac:dyDescent="0.2">
      <c r="D124" s="40" t="e">
        <v>#N/A</v>
      </c>
      <c r="E124" s="39" t="e">
        <f>_xll.qlRateHelperRate($D124)</f>
        <v>#VALUE!</v>
      </c>
      <c r="F124" s="39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8" t="e">
        <f>_xll.qlRateHelperEarliestDate($D124)</f>
        <v>#VALUE!</v>
      </c>
      <c r="H124" s="37" t="e">
        <f>_xll.qlRateHelperLatestDate($D124)</f>
        <v>#VALUE!</v>
      </c>
      <c r="I124" s="188" t="e">
        <v>#N/A</v>
      </c>
    </row>
    <row r="125" spans="4:9" x14ac:dyDescent="0.2">
      <c r="D125" s="40" t="e">
        <v>#N/A</v>
      </c>
      <c r="E125" s="39" t="e">
        <f>_xll.qlRateHelperRate($D125)</f>
        <v>#VALUE!</v>
      </c>
      <c r="F125" s="39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8" t="e">
        <f>_xll.qlRateHelperEarliestDate($D125)</f>
        <v>#VALUE!</v>
      </c>
      <c r="H125" s="37" t="e">
        <f>_xll.qlRateHelperLatestDate($D125)</f>
        <v>#VALUE!</v>
      </c>
      <c r="I125" s="188" t="e">
        <v>#N/A</v>
      </c>
    </row>
    <row r="126" spans="4:9" ht="12" thickBot="1" x14ac:dyDescent="0.25">
      <c r="D126" s="36" t="e">
        <v>#N/A</v>
      </c>
      <c r="E126" s="35" t="e">
        <f>_xll.qlRateHelperRate($D126)</f>
        <v>#VALUE!</v>
      </c>
      <c r="F126" s="35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4" t="e">
        <f>_xll.qlRateHelperEarliestDate($D126)</f>
        <v>#VALUE!</v>
      </c>
      <c r="H126" s="33" t="e">
        <f>_xll.qlRateHelperLatestDate($D126)</f>
        <v>#VALUE!</v>
      </c>
      <c r="I126" s="188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F2" sqref="F2"/>
    </sheetView>
  </sheetViews>
  <sheetFormatPr defaultRowHeight="12.75" x14ac:dyDescent="0.2"/>
  <cols>
    <col min="1" max="1" width="3" style="97" customWidth="1"/>
    <col min="2" max="2" width="4.140625" style="97" bestFit="1" customWidth="1"/>
    <col min="3" max="3" width="10.5703125" style="97" bestFit="1" customWidth="1"/>
    <col min="4" max="4" width="13.140625" style="97" bestFit="1" customWidth="1"/>
    <col min="5" max="5" width="22" style="97" bestFit="1" customWidth="1"/>
    <col min="6" max="6" width="20.28515625" style="97" bestFit="1" customWidth="1"/>
    <col min="7" max="7" width="54" style="97" customWidth="1"/>
    <col min="8" max="8" width="4.7109375" style="97" customWidth="1"/>
    <col min="9" max="16384" width="9.140625" style="97"/>
  </cols>
  <sheetData>
    <row r="1" spans="1:8" x14ac:dyDescent="0.2">
      <c r="A1" s="116" t="s">
        <v>151</v>
      </c>
      <c r="B1" s="115"/>
      <c r="C1" s="115"/>
      <c r="D1" s="114" t="s">
        <v>131</v>
      </c>
      <c r="E1" s="113" t="str">
        <f>Currency&amp;"_YC"&amp;$D$1&amp;"RH"</f>
        <v>USD_YCONRH</v>
      </c>
      <c r="F1" s="112"/>
      <c r="G1" s="112"/>
      <c r="H1" s="101"/>
    </row>
    <row r="2" spans="1:8" ht="23.25" customHeight="1" x14ac:dyDescent="0.2">
      <c r="A2" s="107"/>
      <c r="B2" s="111"/>
      <c r="C2" s="111" t="s">
        <v>140</v>
      </c>
      <c r="D2" s="111" t="s">
        <v>139</v>
      </c>
      <c r="E2" s="110" t="str">
        <f>$E$1&amp;"_Deposits.xml"</f>
        <v>USD_YCONRH_Deposits.xml</v>
      </c>
      <c r="F2" s="109" t="str">
        <f>IF(Serialize,_xll.ohObjectSave(F3,SerializationPath&amp;E2,FileOverwrite,Serialize),"---")</f>
        <v>---</v>
      </c>
      <c r="G2" s="108" t="str">
        <f>_xll.ohRangeRetrieveError(F2)</f>
        <v/>
      </c>
      <c r="H2" s="101"/>
    </row>
    <row r="3" spans="1:8" x14ac:dyDescent="0.2">
      <c r="A3" s="107"/>
      <c r="B3" s="106" t="s">
        <v>131</v>
      </c>
      <c r="C3" s="105" t="s">
        <v>174</v>
      </c>
      <c r="D3" s="104" t="str">
        <f>Currency&amp;$B3&amp;"D"&amp;QuoteSuffix</f>
        <v>USDOND_Quote</v>
      </c>
      <c r="E3" s="104" t="str">
        <f>$E$1&amp;"_"&amp;$B3&amp;"D"</f>
        <v>USD_YCONRH_OND</v>
      </c>
      <c r="F3" s="103" t="str">
        <f>_xll.qlDepositRateHelper(E3,D3,C3,Permanent,Trigger,ObjectOverwrite)</f>
        <v>USD_YCONRH_OND#0001</v>
      </c>
      <c r="G3" s="102" t="str">
        <f>_xll.ohRangeRetrieveError(F3)</f>
        <v/>
      </c>
      <c r="H3" s="101"/>
    </row>
    <row r="4" spans="1:8" ht="13.5" thickBot="1" x14ac:dyDescent="0.25">
      <c r="A4" s="100"/>
      <c r="B4" s="99"/>
      <c r="C4" s="99"/>
      <c r="D4" s="99"/>
      <c r="E4" s="99"/>
      <c r="F4" s="99"/>
      <c r="G4" s="99"/>
      <c r="H4" s="98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7"/>
  <sheetViews>
    <sheetView workbookViewId="0">
      <selection activeCell="H2" sqref="H2"/>
    </sheetView>
  </sheetViews>
  <sheetFormatPr defaultRowHeight="11.25" x14ac:dyDescent="0.2"/>
  <cols>
    <col min="1" max="1" width="3.7109375" style="112" customWidth="1"/>
    <col min="2" max="2" width="3" style="112" bestFit="1" customWidth="1"/>
    <col min="3" max="3" width="5" style="112" customWidth="1"/>
    <col min="4" max="4" width="3.5703125" style="138" bestFit="1" customWidth="1"/>
    <col min="5" max="5" width="10.85546875" style="138" bestFit="1" customWidth="1"/>
    <col min="6" max="6" width="14.7109375" style="112" bestFit="1" customWidth="1"/>
    <col min="7" max="7" width="19.5703125" style="112" bestFit="1" customWidth="1"/>
    <col min="8" max="8" width="19.85546875" style="137" bestFit="1" customWidth="1"/>
    <col min="9" max="9" width="38.28515625" style="112" customWidth="1"/>
    <col min="10" max="10" width="3" style="112" customWidth="1"/>
    <col min="11" max="16384" width="9.140625" style="112"/>
  </cols>
  <sheetData>
    <row r="1" spans="1:10" x14ac:dyDescent="0.2">
      <c r="A1" s="156" t="s">
        <v>156</v>
      </c>
      <c r="B1" s="155"/>
      <c r="C1" s="155"/>
      <c r="D1" s="155"/>
      <c r="E1" s="154" t="s">
        <v>131</v>
      </c>
      <c r="G1" s="153" t="str">
        <f>Currency&amp;"_YC"&amp;$E$1&amp;"RH"</f>
        <v>USD_YCONRH</v>
      </c>
      <c r="H1" s="152"/>
      <c r="I1" s="151"/>
      <c r="J1" s="150"/>
    </row>
    <row r="2" spans="1:10" ht="23.25" customHeight="1" x14ac:dyDescent="0.2">
      <c r="A2" s="107"/>
      <c r="B2" s="118"/>
      <c r="C2" s="118"/>
      <c r="D2" s="149"/>
      <c r="E2" s="111" t="s">
        <v>140</v>
      </c>
      <c r="F2" s="111" t="s">
        <v>139</v>
      </c>
      <c r="G2" s="110" t="str">
        <f>$G$1&amp;"_FRAs.xml"</f>
        <v>USD_YCONRH_FRAs.xml</v>
      </c>
      <c r="H2" s="148" t="str">
        <f>IF(Serialize,_xll.ohObjectSave(H3:H4,SerializationPath&amp;G2,FileOverwrite,Serialize),"---")</f>
        <v>---</v>
      </c>
      <c r="I2" s="147" t="str">
        <f>_xll.ohRangeRetrieveError(H2)</f>
        <v/>
      </c>
      <c r="J2" s="101"/>
    </row>
    <row r="3" spans="1:10" x14ac:dyDescent="0.2">
      <c r="A3" s="107"/>
      <c r="B3" s="146" t="s">
        <v>155</v>
      </c>
      <c r="C3" s="146" t="s">
        <v>154</v>
      </c>
      <c r="D3" s="145" t="s">
        <v>152</v>
      </c>
      <c r="E3" s="144" t="s">
        <v>175</v>
      </c>
      <c r="F3" s="144" t="str">
        <f>Currency&amp;C3&amp;D3&amp;"_Quote"</f>
        <v>USDTND_Quote</v>
      </c>
      <c r="G3" s="144" t="str">
        <f>$G$1&amp;"_"&amp;$C3&amp;$D3</f>
        <v>USD_YCONRH_TND</v>
      </c>
      <c r="H3" s="144" t="str">
        <f>_xll.qlFraRateHelper(G3,F3,B3,E3,Permanent,Trigger,ObjectOverwrite)</f>
        <v>USD_YCONRH_TND#0001</v>
      </c>
      <c r="I3" s="143" t="str">
        <f>_xll.ohRangeRetrieveError(H3)</f>
        <v/>
      </c>
      <c r="J3" s="101"/>
    </row>
    <row r="4" spans="1:10" x14ac:dyDescent="0.2">
      <c r="A4" s="107"/>
      <c r="B4" s="142" t="s">
        <v>153</v>
      </c>
      <c r="C4" s="142" t="s">
        <v>141</v>
      </c>
      <c r="D4" s="117" t="s">
        <v>152</v>
      </c>
      <c r="E4" s="141" t="s">
        <v>175</v>
      </c>
      <c r="F4" s="141" t="str">
        <f>Currency&amp;C4&amp;D4&amp;"_Quote"</f>
        <v>USDSND_Quote</v>
      </c>
      <c r="G4" s="141" t="str">
        <f>$G$1&amp;"_"&amp;$C4&amp;$D4</f>
        <v>USD_YCONRH_SND</v>
      </c>
      <c r="H4" s="141" t="str">
        <f>_xll.qlFraRateHelper(G4,F4,B4,E4,Permanent,Trigger,ObjectOverwrite)</f>
        <v>USD_YCONRH_SND#0001</v>
      </c>
      <c r="I4" s="140" t="str">
        <f>_xll.ohRangeRetrieveError(H4)</f>
        <v/>
      </c>
      <c r="J4" s="101"/>
    </row>
    <row r="5" spans="1:10" ht="12" thickBot="1" x14ac:dyDescent="0.25">
      <c r="A5" s="100"/>
      <c r="B5" s="99"/>
      <c r="C5" s="99"/>
      <c r="D5" s="99"/>
      <c r="E5" s="99"/>
      <c r="F5" s="99"/>
      <c r="G5" s="99"/>
      <c r="H5" s="139"/>
      <c r="I5" s="139"/>
      <c r="J5" s="98"/>
    </row>
    <row r="7" spans="1:10" x14ac:dyDescent="0.2">
      <c r="D7" s="112"/>
      <c r="E7" s="112"/>
      <c r="H7" s="112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Q96"/>
  <sheetViews>
    <sheetView topLeftCell="E1" workbookViewId="0">
      <selection activeCell="L3" sqref="L3"/>
    </sheetView>
  </sheetViews>
  <sheetFormatPr defaultRowHeight="11.25" x14ac:dyDescent="0.2"/>
  <cols>
    <col min="1" max="1" width="1.7109375" style="1" customWidth="1"/>
    <col min="2" max="2" width="17.28515625" style="1" bestFit="1" customWidth="1"/>
    <col min="3" max="3" width="7.140625" style="1" customWidth="1"/>
    <col min="4" max="6" width="7" style="1" bestFit="1" customWidth="1"/>
    <col min="7" max="7" width="19.28515625" style="1" bestFit="1" customWidth="1"/>
    <col min="8" max="8" width="11" style="1" bestFit="1" customWidth="1"/>
    <col min="9" max="9" width="8" style="1" bestFit="1" customWidth="1"/>
    <col min="10" max="10" width="21.42578125" style="1" bestFit="1" customWidth="1"/>
    <col min="11" max="11" width="23.42578125" style="1" bestFit="1" customWidth="1"/>
    <col min="12" max="12" width="28.5703125" style="2" bestFit="1" customWidth="1"/>
    <col min="13" max="13" width="19.42578125" style="1" customWidth="1"/>
    <col min="14" max="14" width="3.7109375" style="1" customWidth="1"/>
    <col min="15" max="15" width="4.28515625" style="1" customWidth="1"/>
    <col min="16" max="17" width="17.28515625" style="1" bestFit="1" customWidth="1"/>
    <col min="18" max="16384" width="9.140625" style="1"/>
  </cols>
  <sheetData>
    <row r="1" spans="1:17" x14ac:dyDescent="0.2">
      <c r="A1" s="156" t="s">
        <v>170</v>
      </c>
      <c r="B1" s="175"/>
      <c r="C1" s="175"/>
      <c r="D1" s="175"/>
      <c r="E1" s="175"/>
      <c r="F1" s="175"/>
      <c r="G1" s="175"/>
      <c r="H1" s="175"/>
      <c r="I1" s="175"/>
      <c r="J1" s="175"/>
      <c r="K1" s="176"/>
      <c r="L1" s="175"/>
      <c r="M1" s="175"/>
      <c r="N1" s="174"/>
    </row>
    <row r="2" spans="1:17" x14ac:dyDescent="0.2">
      <c r="A2" s="92"/>
      <c r="B2" s="95"/>
      <c r="C2" s="95"/>
      <c r="D2" s="95"/>
      <c r="E2" s="95"/>
      <c r="F2" s="95"/>
      <c r="G2" s="95"/>
      <c r="H2" s="95"/>
      <c r="I2" s="95"/>
      <c r="J2" s="6" t="s">
        <v>131</v>
      </c>
      <c r="K2" s="6" t="str">
        <f>Currency&amp;"_YC"&amp;$J$2&amp;"RH"</f>
        <v>USD_YCONRH</v>
      </c>
      <c r="L2" s="115" t="e">
        <f>NA()</f>
        <v>#N/A</v>
      </c>
      <c r="M2" s="95"/>
      <c r="N2" s="159"/>
    </row>
    <row r="3" spans="1:17" ht="36" customHeight="1" x14ac:dyDescent="0.2">
      <c r="A3" s="92"/>
      <c r="B3" s="94" t="s">
        <v>162</v>
      </c>
      <c r="C3" s="94" t="s">
        <v>167</v>
      </c>
      <c r="D3" s="94"/>
      <c r="E3" s="94"/>
      <c r="F3" s="94" t="s">
        <v>161</v>
      </c>
      <c r="G3" s="94" t="s">
        <v>160</v>
      </c>
      <c r="H3" s="94" t="s">
        <v>159</v>
      </c>
      <c r="I3" s="94" t="s">
        <v>158</v>
      </c>
      <c r="J3" s="94" t="s">
        <v>139</v>
      </c>
      <c r="K3" s="173" t="str">
        <f>K2&amp;"_Swaps.xml"</f>
        <v>USD_YCONRH_Swaps.xml</v>
      </c>
      <c r="L3" s="172" t="str">
        <f>IF(Serialize,_xll.ohObjectSave(_xll.ohPack(L4:L95),SerializationPath&amp;K3,FileOverwrite,Serialize),"---")</f>
        <v>---</v>
      </c>
      <c r="M3" s="93" t="str">
        <f>_xll.ohRangeRetrieveError(L3)</f>
        <v/>
      </c>
      <c r="N3" s="159"/>
    </row>
    <row r="4" spans="1:17" x14ac:dyDescent="0.2">
      <c r="A4" s="96"/>
      <c r="B4" s="95"/>
      <c r="C4" s="95"/>
      <c r="D4" s="95"/>
      <c r="E4" s="95"/>
      <c r="F4" s="95"/>
      <c r="G4" s="95"/>
      <c r="H4" s="95"/>
      <c r="I4" s="95"/>
      <c r="J4" s="95"/>
      <c r="K4" s="171" t="str">
        <f>$K$2&amp;"_"&amp;$D6&amp;"_"&amp;FamilyName&amp;$J$2</f>
        <v>USD_YCONRH_OIS_LiborON</v>
      </c>
      <c r="L4" s="170" t="str">
        <f>_xll.qlOvernightIndex(K4,"usd-no-fix",0,"USD",Calendar,"act/360",,Permanent,Trigger,ObjectOverwrite)</f>
        <v>USD_YCONRH_OIS_LiborON#0001</v>
      </c>
      <c r="M4" s="169" t="str">
        <f>_xll.ohRangeRetrieveError(L4)</f>
        <v/>
      </c>
      <c r="N4" s="159"/>
    </row>
    <row r="5" spans="1:17" x14ac:dyDescent="0.2">
      <c r="A5" s="96"/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159"/>
    </row>
    <row r="6" spans="1:17" x14ac:dyDescent="0.2">
      <c r="A6" s="92"/>
      <c r="B6" s="167"/>
      <c r="C6" s="166" t="s">
        <v>166</v>
      </c>
      <c r="D6" s="167" t="s">
        <v>73</v>
      </c>
      <c r="E6" s="166" t="s">
        <v>68</v>
      </c>
      <c r="F6" s="165" t="s">
        <v>164</v>
      </c>
      <c r="G6" s="165" t="s">
        <v>163</v>
      </c>
      <c r="H6" s="165">
        <f t="shared" ref="H6:H37" si="0">DayCounter</f>
        <v>0</v>
      </c>
      <c r="I6" s="164">
        <v>0</v>
      </c>
      <c r="J6" s="163" t="str">
        <f t="shared" ref="J6:J37" si="1">Currency&amp;$D6&amp;$E6&amp;QuoteSuffix</f>
        <v>USDOISSW_Quote</v>
      </c>
      <c r="K6" s="163" t="str">
        <f t="shared" ref="K6:K37" si="2">$K$2&amp;"_"&amp;$D6&amp;$E6</f>
        <v>USD_YCONRH_OISSW</v>
      </c>
      <c r="L6" s="162" t="str">
        <f>_xll.qlOISRateHelper(K6,2,C6,J6,$L$4,,Permanent,,ObjectOverwrite)</f>
        <v>USD_YCONRH_OISSW#0001</v>
      </c>
      <c r="M6" s="93" t="str">
        <f>_xll.ohRangeRetrieveError(L6)</f>
        <v/>
      </c>
      <c r="N6" s="159"/>
      <c r="P6" s="161">
        <f>_xll.qlRateHelperEarliestDate($L6)</f>
        <v>41767</v>
      </c>
      <c r="Q6" s="161">
        <f>_xll.qlRateHelperLatestDate($L6)</f>
        <v>41774</v>
      </c>
    </row>
    <row r="7" spans="1:17" x14ac:dyDescent="0.2">
      <c r="A7" s="92"/>
      <c r="B7" s="167"/>
      <c r="C7" s="166" t="s">
        <v>67</v>
      </c>
      <c r="D7" s="167" t="s">
        <v>73</v>
      </c>
      <c r="E7" s="166" t="str">
        <f t="shared" ref="E7:E38" si="3">C7</f>
        <v>2W</v>
      </c>
      <c r="F7" s="165" t="s">
        <v>164</v>
      </c>
      <c r="G7" s="165" t="s">
        <v>163</v>
      </c>
      <c r="H7" s="165">
        <f t="shared" si="0"/>
        <v>0</v>
      </c>
      <c r="I7" s="164">
        <v>0</v>
      </c>
      <c r="J7" s="163" t="str">
        <f t="shared" si="1"/>
        <v>USDOIS2W_Quote</v>
      </c>
      <c r="K7" s="163" t="str">
        <f t="shared" si="2"/>
        <v>USD_YCONRH_OIS2W</v>
      </c>
      <c r="L7" s="162" t="str">
        <f>_xll.qlOISRateHelper(K7,2,C7,J7,$L$4,,Permanent,,ObjectOverwrite)</f>
        <v>USD_YCONRH_OIS2W#0001</v>
      </c>
      <c r="M7" s="93" t="str">
        <f>_xll.ohRangeRetrieveError(L7)</f>
        <v/>
      </c>
      <c r="N7" s="159"/>
      <c r="P7" s="161">
        <f>_xll.qlRateHelperEarliestDate(L7)</f>
        <v>41767</v>
      </c>
      <c r="Q7" s="161">
        <f>_xll.qlRateHelperLatestDate($L7)</f>
        <v>41781</v>
      </c>
    </row>
    <row r="8" spans="1:17" x14ac:dyDescent="0.2">
      <c r="A8" s="92"/>
      <c r="B8" s="167"/>
      <c r="C8" s="166" t="s">
        <v>66</v>
      </c>
      <c r="D8" s="167" t="s">
        <v>73</v>
      </c>
      <c r="E8" s="166" t="str">
        <f t="shared" si="3"/>
        <v>3W</v>
      </c>
      <c r="F8" s="165" t="s">
        <v>164</v>
      </c>
      <c r="G8" s="165" t="s">
        <v>163</v>
      </c>
      <c r="H8" s="165">
        <f t="shared" si="0"/>
        <v>0</v>
      </c>
      <c r="I8" s="164">
        <v>0</v>
      </c>
      <c r="J8" s="163" t="str">
        <f t="shared" si="1"/>
        <v>USDOIS3W_Quote</v>
      </c>
      <c r="K8" s="163" t="str">
        <f t="shared" si="2"/>
        <v>USD_YCONRH_OIS3W</v>
      </c>
      <c r="L8" s="162" t="str">
        <f>_xll.qlOISRateHelper(K8,2,C8,J8,$L$4,,Permanent,,ObjectOverwrite)</f>
        <v>USD_YCONRH_OIS3W#0001</v>
      </c>
      <c r="M8" s="93" t="str">
        <f>_xll.ohRangeRetrieveError(L8)</f>
        <v/>
      </c>
      <c r="N8" s="159"/>
      <c r="P8" s="161">
        <f>_xll.qlRateHelperEarliestDate(L8)</f>
        <v>41767</v>
      </c>
      <c r="Q8" s="161">
        <f>_xll.qlRateHelperLatestDate($L8)</f>
        <v>41788</v>
      </c>
    </row>
    <row r="9" spans="1:17" x14ac:dyDescent="0.2">
      <c r="A9" s="92"/>
      <c r="B9" s="167"/>
      <c r="C9" s="166" t="s">
        <v>65</v>
      </c>
      <c r="D9" s="167" t="s">
        <v>73</v>
      </c>
      <c r="E9" s="166" t="str">
        <f t="shared" si="3"/>
        <v>1M</v>
      </c>
      <c r="F9" s="165" t="s">
        <v>164</v>
      </c>
      <c r="G9" s="165" t="s">
        <v>157</v>
      </c>
      <c r="H9" s="165">
        <f t="shared" si="0"/>
        <v>0</v>
      </c>
      <c r="I9" s="164">
        <v>0</v>
      </c>
      <c r="J9" s="163" t="str">
        <f t="shared" si="1"/>
        <v>USDOIS1M_Quote</v>
      </c>
      <c r="K9" s="163" t="str">
        <f t="shared" si="2"/>
        <v>USD_YCONRH_OIS1M</v>
      </c>
      <c r="L9" s="162" t="str">
        <f>_xll.qlOISRateHelper(K9,2,C9,J9,$L$4,,Permanent,,ObjectOverwrite)</f>
        <v>USD_YCONRH_OIS1M#0001</v>
      </c>
      <c r="M9" s="93" t="str">
        <f>_xll.ohRangeRetrieveError(L9)</f>
        <v/>
      </c>
      <c r="N9" s="159"/>
      <c r="P9" s="161">
        <f>_xll.qlRateHelperEarliestDate(L9)</f>
        <v>41767</v>
      </c>
      <c r="Q9" s="161">
        <f>_xll.qlRateHelperLatestDate($L9)</f>
        <v>41799</v>
      </c>
    </row>
    <row r="10" spans="1:17" x14ac:dyDescent="0.2">
      <c r="A10" s="92"/>
      <c r="B10" s="167"/>
      <c r="C10" s="166" t="s">
        <v>64</v>
      </c>
      <c r="D10" s="167" t="s">
        <v>73</v>
      </c>
      <c r="E10" s="166" t="str">
        <f t="shared" si="3"/>
        <v>2M</v>
      </c>
      <c r="F10" s="165" t="s">
        <v>164</v>
      </c>
      <c r="G10" s="165" t="s">
        <v>157</v>
      </c>
      <c r="H10" s="165">
        <f t="shared" si="0"/>
        <v>0</v>
      </c>
      <c r="I10" s="164">
        <v>0</v>
      </c>
      <c r="J10" s="163" t="str">
        <f t="shared" si="1"/>
        <v>USDOIS2M_Quote</v>
      </c>
      <c r="K10" s="163" t="str">
        <f t="shared" si="2"/>
        <v>USD_YCONRH_OIS2M</v>
      </c>
      <c r="L10" s="162" t="str">
        <f>_xll.qlOISRateHelper(K10,2,C10,J10,$L$4,,Permanent,,ObjectOverwrite)</f>
        <v>USD_YCONRH_OIS2M#0001</v>
      </c>
      <c r="M10" s="93" t="str">
        <f>_xll.ohRangeRetrieveError(L10)</f>
        <v/>
      </c>
      <c r="N10" s="159"/>
      <c r="P10" s="161">
        <f>_xll.qlRateHelperEarliestDate(L10)</f>
        <v>41767</v>
      </c>
      <c r="Q10" s="161">
        <f>_xll.qlRateHelperLatestDate($L10)</f>
        <v>41828</v>
      </c>
    </row>
    <row r="11" spans="1:17" x14ac:dyDescent="0.2">
      <c r="A11" s="92"/>
      <c r="B11" s="167"/>
      <c r="C11" s="166" t="s">
        <v>63</v>
      </c>
      <c r="D11" s="167" t="s">
        <v>73</v>
      </c>
      <c r="E11" s="166" t="str">
        <f t="shared" si="3"/>
        <v>3M</v>
      </c>
      <c r="F11" s="165" t="s">
        <v>164</v>
      </c>
      <c r="G11" s="165" t="s">
        <v>157</v>
      </c>
      <c r="H11" s="165">
        <f t="shared" si="0"/>
        <v>0</v>
      </c>
      <c r="I11" s="164">
        <v>0</v>
      </c>
      <c r="J11" s="163" t="str">
        <f t="shared" si="1"/>
        <v>USDOIS3M_Quote</v>
      </c>
      <c r="K11" s="163" t="str">
        <f t="shared" si="2"/>
        <v>USD_YCONRH_OIS3M</v>
      </c>
      <c r="L11" s="162" t="str">
        <f>_xll.qlOISRateHelper(K11,2,C11,J11,$L$4,,Permanent,,ObjectOverwrite)</f>
        <v>USD_YCONRH_OIS3M#0001</v>
      </c>
      <c r="M11" s="93" t="str">
        <f>_xll.ohRangeRetrieveError(L11)</f>
        <v/>
      </c>
      <c r="N11" s="159"/>
      <c r="P11" s="161">
        <f>_xll.qlRateHelperEarliestDate(L11)</f>
        <v>41767</v>
      </c>
      <c r="Q11" s="161">
        <f>_xll.qlRateHelperLatestDate($L11)</f>
        <v>41859</v>
      </c>
    </row>
    <row r="12" spans="1:17" x14ac:dyDescent="0.2">
      <c r="A12" s="92"/>
      <c r="B12" s="167"/>
      <c r="C12" s="166" t="s">
        <v>62</v>
      </c>
      <c r="D12" s="167" t="s">
        <v>73</v>
      </c>
      <c r="E12" s="166" t="str">
        <f t="shared" si="3"/>
        <v>4M</v>
      </c>
      <c r="F12" s="165" t="s">
        <v>164</v>
      </c>
      <c r="G12" s="165" t="s">
        <v>157</v>
      </c>
      <c r="H12" s="165">
        <f t="shared" si="0"/>
        <v>0</v>
      </c>
      <c r="I12" s="164">
        <v>0</v>
      </c>
      <c r="J12" s="163" t="str">
        <f t="shared" si="1"/>
        <v>USDOIS4M_Quote</v>
      </c>
      <c r="K12" s="163" t="str">
        <f t="shared" si="2"/>
        <v>USD_YCONRH_OIS4M</v>
      </c>
      <c r="L12" s="162" t="str">
        <f>_xll.qlOISRateHelper(K12,2,C12,J12,$L$4,,Permanent,,ObjectOverwrite)</f>
        <v>USD_YCONRH_OIS4M#0001</v>
      </c>
      <c r="M12" s="93" t="str">
        <f>_xll.ohRangeRetrieveError(L12)</f>
        <v/>
      </c>
      <c r="N12" s="159"/>
      <c r="P12" s="161">
        <f>_xll.qlRateHelperEarliestDate(L12)</f>
        <v>41767</v>
      </c>
      <c r="Q12" s="161">
        <f>_xll.qlRateHelperLatestDate($L12)</f>
        <v>41890</v>
      </c>
    </row>
    <row r="13" spans="1:17" x14ac:dyDescent="0.2">
      <c r="A13" s="92"/>
      <c r="B13" s="167"/>
      <c r="C13" s="166" t="s">
        <v>61</v>
      </c>
      <c r="D13" s="167" t="s">
        <v>73</v>
      </c>
      <c r="E13" s="166" t="str">
        <f t="shared" si="3"/>
        <v>5M</v>
      </c>
      <c r="F13" s="165" t="s">
        <v>164</v>
      </c>
      <c r="G13" s="165" t="s">
        <v>157</v>
      </c>
      <c r="H13" s="165">
        <f t="shared" si="0"/>
        <v>0</v>
      </c>
      <c r="I13" s="164">
        <v>0</v>
      </c>
      <c r="J13" s="163" t="str">
        <f t="shared" si="1"/>
        <v>USDOIS5M_Quote</v>
      </c>
      <c r="K13" s="163" t="str">
        <f t="shared" si="2"/>
        <v>USD_YCONRH_OIS5M</v>
      </c>
      <c r="L13" s="162" t="str">
        <f>_xll.qlOISRateHelper(K13,2,C13,J13,$L$4,,Permanent,,ObjectOverwrite)</f>
        <v>USD_YCONRH_OIS5M#0001</v>
      </c>
      <c r="M13" s="93" t="str">
        <f>_xll.ohRangeRetrieveError(L13)</f>
        <v/>
      </c>
      <c r="N13" s="159"/>
      <c r="P13" s="161">
        <f>_xll.qlRateHelperEarliestDate(L13)</f>
        <v>41767</v>
      </c>
      <c r="Q13" s="161">
        <f>_xll.qlRateHelperLatestDate($L13)</f>
        <v>41920</v>
      </c>
    </row>
    <row r="14" spans="1:17" x14ac:dyDescent="0.2">
      <c r="A14" s="92"/>
      <c r="B14" s="167"/>
      <c r="C14" s="166" t="s">
        <v>60</v>
      </c>
      <c r="D14" s="167" t="s">
        <v>73</v>
      </c>
      <c r="E14" s="166" t="str">
        <f t="shared" si="3"/>
        <v>6M</v>
      </c>
      <c r="F14" s="165" t="s">
        <v>164</v>
      </c>
      <c r="G14" s="165" t="s">
        <v>157</v>
      </c>
      <c r="H14" s="165">
        <f t="shared" si="0"/>
        <v>0</v>
      </c>
      <c r="I14" s="164">
        <v>0</v>
      </c>
      <c r="J14" s="163" t="str">
        <f t="shared" si="1"/>
        <v>USDOIS6M_Quote</v>
      </c>
      <c r="K14" s="163" t="str">
        <f t="shared" si="2"/>
        <v>USD_YCONRH_OIS6M</v>
      </c>
      <c r="L14" s="162" t="str">
        <f>_xll.qlOISRateHelper(K14,2,C14,J14,$L$4,,Permanent,,ObjectOverwrite)</f>
        <v>USD_YCONRH_OIS6M#0001</v>
      </c>
      <c r="M14" s="93" t="str">
        <f>_xll.ohRangeRetrieveError(L14)</f>
        <v/>
      </c>
      <c r="N14" s="159"/>
      <c r="P14" s="161">
        <f>_xll.qlRateHelperEarliestDate(L14)</f>
        <v>41767</v>
      </c>
      <c r="Q14" s="161">
        <f>_xll.qlRateHelperLatestDate($L14)</f>
        <v>41953</v>
      </c>
    </row>
    <row r="15" spans="1:17" x14ac:dyDescent="0.2">
      <c r="A15" s="92"/>
      <c r="B15" s="167"/>
      <c r="C15" s="166" t="s">
        <v>59</v>
      </c>
      <c r="D15" s="167" t="s">
        <v>73</v>
      </c>
      <c r="E15" s="166" t="str">
        <f t="shared" si="3"/>
        <v>7M</v>
      </c>
      <c r="F15" s="165" t="s">
        <v>164</v>
      </c>
      <c r="G15" s="165" t="s">
        <v>157</v>
      </c>
      <c r="H15" s="165">
        <f t="shared" si="0"/>
        <v>0</v>
      </c>
      <c r="I15" s="164">
        <v>0</v>
      </c>
      <c r="J15" s="163" t="str">
        <f t="shared" si="1"/>
        <v>USDOIS7M_Quote</v>
      </c>
      <c r="K15" s="163" t="str">
        <f t="shared" si="2"/>
        <v>USD_YCONRH_OIS7M</v>
      </c>
      <c r="L15" s="162" t="str">
        <f>_xll.qlOISRateHelper(K15,2,C15,J15,$L$4,,Permanent,,ObjectOverwrite)</f>
        <v>USD_YCONRH_OIS7M#0001</v>
      </c>
      <c r="M15" s="93" t="str">
        <f>_xll.ohRangeRetrieveError(L15)</f>
        <v/>
      </c>
      <c r="N15" s="159"/>
      <c r="P15" s="161">
        <f>_xll.qlRateHelperEarliestDate(L15)</f>
        <v>41767</v>
      </c>
      <c r="Q15" s="161">
        <f>_xll.qlRateHelperLatestDate($L15)</f>
        <v>41981</v>
      </c>
    </row>
    <row r="16" spans="1:17" x14ac:dyDescent="0.2">
      <c r="A16" s="92"/>
      <c r="B16" s="167"/>
      <c r="C16" s="166" t="s">
        <v>58</v>
      </c>
      <c r="D16" s="167" t="s">
        <v>73</v>
      </c>
      <c r="E16" s="166" t="str">
        <f t="shared" si="3"/>
        <v>8M</v>
      </c>
      <c r="F16" s="165" t="s">
        <v>164</v>
      </c>
      <c r="G16" s="165" t="s">
        <v>157</v>
      </c>
      <c r="H16" s="165">
        <f t="shared" si="0"/>
        <v>0</v>
      </c>
      <c r="I16" s="164">
        <v>0</v>
      </c>
      <c r="J16" s="163" t="str">
        <f t="shared" si="1"/>
        <v>USDOIS8M_Quote</v>
      </c>
      <c r="K16" s="163" t="str">
        <f t="shared" si="2"/>
        <v>USD_YCONRH_OIS8M</v>
      </c>
      <c r="L16" s="162" t="str">
        <f>_xll.qlOISRateHelper(K16,2,C16,J16,$L$4,,Permanent,,ObjectOverwrite)</f>
        <v>USD_YCONRH_OIS8M#0001</v>
      </c>
      <c r="M16" s="93" t="str">
        <f>_xll.ohRangeRetrieveError(L16)</f>
        <v/>
      </c>
      <c r="N16" s="159"/>
      <c r="P16" s="161">
        <f>_xll.qlRateHelperEarliestDate(L16)</f>
        <v>41767</v>
      </c>
      <c r="Q16" s="161">
        <f>_xll.qlRateHelperLatestDate($L16)</f>
        <v>42012</v>
      </c>
    </row>
    <row r="17" spans="1:17" x14ac:dyDescent="0.2">
      <c r="A17" s="92"/>
      <c r="B17" s="167"/>
      <c r="C17" s="166" t="s">
        <v>57</v>
      </c>
      <c r="D17" s="167" t="s">
        <v>73</v>
      </c>
      <c r="E17" s="166" t="str">
        <f t="shared" si="3"/>
        <v>9M</v>
      </c>
      <c r="F17" s="165" t="s">
        <v>164</v>
      </c>
      <c r="G17" s="165" t="s">
        <v>157</v>
      </c>
      <c r="H17" s="165">
        <f t="shared" si="0"/>
        <v>0</v>
      </c>
      <c r="I17" s="164">
        <v>0</v>
      </c>
      <c r="J17" s="163" t="str">
        <f t="shared" si="1"/>
        <v>USDOIS9M_Quote</v>
      </c>
      <c r="K17" s="163" t="str">
        <f t="shared" si="2"/>
        <v>USD_YCONRH_OIS9M</v>
      </c>
      <c r="L17" s="162" t="str">
        <f>_xll.qlOISRateHelper(K17,2,C17,J17,$L$4,,Permanent,,ObjectOverwrite)</f>
        <v>USD_YCONRH_OIS9M#0001</v>
      </c>
      <c r="M17" s="93" t="str">
        <f>_xll.ohRangeRetrieveError(L17)</f>
        <v/>
      </c>
      <c r="N17" s="159"/>
      <c r="P17" s="161">
        <f>_xll.qlRateHelperEarliestDate(L17)</f>
        <v>41767</v>
      </c>
      <c r="Q17" s="161">
        <f>_xll.qlRateHelperLatestDate($L17)</f>
        <v>42044</v>
      </c>
    </row>
    <row r="18" spans="1:17" x14ac:dyDescent="0.2">
      <c r="A18" s="92"/>
      <c r="B18" s="167"/>
      <c r="C18" s="166" t="s">
        <v>56</v>
      </c>
      <c r="D18" s="167" t="s">
        <v>73</v>
      </c>
      <c r="E18" s="166" t="str">
        <f t="shared" si="3"/>
        <v>10M</v>
      </c>
      <c r="F18" s="165" t="s">
        <v>164</v>
      </c>
      <c r="G18" s="165" t="s">
        <v>157</v>
      </c>
      <c r="H18" s="165">
        <f t="shared" si="0"/>
        <v>0</v>
      </c>
      <c r="I18" s="164">
        <v>0</v>
      </c>
      <c r="J18" s="163" t="str">
        <f t="shared" si="1"/>
        <v>USDOIS10M_Quote</v>
      </c>
      <c r="K18" s="163" t="str">
        <f t="shared" si="2"/>
        <v>USD_YCONRH_OIS10M</v>
      </c>
      <c r="L18" s="162" t="str">
        <f>_xll.qlOISRateHelper(K18,2,C18,J18,$L$4,,Permanent,,ObjectOverwrite)</f>
        <v>USD_YCONRH_OIS10M#0001</v>
      </c>
      <c r="M18" s="93" t="str">
        <f>_xll.ohRangeRetrieveError(L18)</f>
        <v/>
      </c>
      <c r="N18" s="159"/>
      <c r="P18" s="161">
        <f>_xll.qlRateHelperEarliestDate(L18)</f>
        <v>41767</v>
      </c>
      <c r="Q18" s="161">
        <f>_xll.qlRateHelperLatestDate($L18)</f>
        <v>42072</v>
      </c>
    </row>
    <row r="19" spans="1:17" x14ac:dyDescent="0.2">
      <c r="A19" s="92"/>
      <c r="B19" s="167"/>
      <c r="C19" s="166" t="s">
        <v>55</v>
      </c>
      <c r="D19" s="167" t="s">
        <v>73</v>
      </c>
      <c r="E19" s="166" t="str">
        <f t="shared" si="3"/>
        <v>11M</v>
      </c>
      <c r="F19" s="165" t="s">
        <v>164</v>
      </c>
      <c r="G19" s="165" t="s">
        <v>157</v>
      </c>
      <c r="H19" s="165">
        <f t="shared" si="0"/>
        <v>0</v>
      </c>
      <c r="I19" s="164">
        <v>0</v>
      </c>
      <c r="J19" s="163" t="str">
        <f t="shared" si="1"/>
        <v>USDOIS11M_Quote</v>
      </c>
      <c r="K19" s="163" t="str">
        <f t="shared" si="2"/>
        <v>USD_YCONRH_OIS11M</v>
      </c>
      <c r="L19" s="162" t="str">
        <f>_xll.qlOISRateHelper(K19,2,C19,J19,$L$4,,Permanent,,ObjectOverwrite)</f>
        <v>USD_YCONRH_OIS11M#0001</v>
      </c>
      <c r="M19" s="93" t="str">
        <f>_xll.ohRangeRetrieveError(L19)</f>
        <v/>
      </c>
      <c r="N19" s="159"/>
      <c r="P19" s="161">
        <f>_xll.qlRateHelperEarliestDate(L19)</f>
        <v>41767</v>
      </c>
      <c r="Q19" s="161">
        <f>_xll.qlRateHelperLatestDate($L19)</f>
        <v>42102</v>
      </c>
    </row>
    <row r="20" spans="1:17" x14ac:dyDescent="0.2">
      <c r="A20" s="92"/>
      <c r="B20" s="167"/>
      <c r="C20" s="166" t="s">
        <v>36</v>
      </c>
      <c r="D20" s="167" t="s">
        <v>73</v>
      </c>
      <c r="E20" s="166" t="str">
        <f t="shared" si="3"/>
        <v>1Y</v>
      </c>
      <c r="F20" s="165" t="s">
        <v>164</v>
      </c>
      <c r="G20" s="165" t="s">
        <v>157</v>
      </c>
      <c r="H20" s="165">
        <f t="shared" si="0"/>
        <v>0</v>
      </c>
      <c r="I20" s="164">
        <v>0</v>
      </c>
      <c r="J20" s="163" t="str">
        <f t="shared" si="1"/>
        <v>USDOIS1Y_Quote</v>
      </c>
      <c r="K20" s="163" t="str">
        <f t="shared" si="2"/>
        <v>USD_YCONRH_OIS1Y</v>
      </c>
      <c r="L20" s="162" t="str">
        <f>_xll.qlOISRateHelper(K20,2,C20,J20,$L$4,,Permanent,,ObjectOverwrite)</f>
        <v>USD_YCONRH_OIS1Y#0001</v>
      </c>
      <c r="M20" s="93" t="str">
        <f>_xll.ohRangeRetrieveError(L20)</f>
        <v/>
      </c>
      <c r="N20" s="159"/>
      <c r="P20" s="161">
        <f>_xll.qlRateHelperEarliestDate(L20)</f>
        <v>41767</v>
      </c>
      <c r="Q20" s="161">
        <f>_xll.qlRateHelperLatestDate($L20)</f>
        <v>42132</v>
      </c>
    </row>
    <row r="21" spans="1:17" x14ac:dyDescent="0.2">
      <c r="A21" s="92"/>
      <c r="B21" s="167"/>
      <c r="C21" s="166" t="s">
        <v>54</v>
      </c>
      <c r="D21" s="167" t="s">
        <v>73</v>
      </c>
      <c r="E21" s="166" t="str">
        <f t="shared" si="3"/>
        <v>13M</v>
      </c>
      <c r="F21" s="165" t="s">
        <v>164</v>
      </c>
      <c r="G21" s="165" t="s">
        <v>157</v>
      </c>
      <c r="H21" s="165">
        <f t="shared" si="0"/>
        <v>0</v>
      </c>
      <c r="I21" s="164">
        <v>0</v>
      </c>
      <c r="J21" s="163" t="str">
        <f t="shared" si="1"/>
        <v>USDOIS13M_Quote</v>
      </c>
      <c r="K21" s="163" t="str">
        <f t="shared" si="2"/>
        <v>USD_YCONRH_OIS13M</v>
      </c>
      <c r="L21" s="162" t="str">
        <f>_xll.qlOISRateHelper(K21,2,C21,J21,$L$4,,Permanent,,ObjectOverwrite)</f>
        <v>USD_YCONRH_OIS13M#0001</v>
      </c>
      <c r="M21" s="93" t="str">
        <f>_xll.ohRangeRetrieveError(L21)</f>
        <v/>
      </c>
      <c r="N21" s="159"/>
      <c r="P21" s="161">
        <f>_xll.qlRateHelperEarliestDate(L21)</f>
        <v>41767</v>
      </c>
      <c r="Q21" s="161">
        <f>_xll.qlRateHelperLatestDate($L21)</f>
        <v>42163</v>
      </c>
    </row>
    <row r="22" spans="1:17" x14ac:dyDescent="0.2">
      <c r="A22" s="92"/>
      <c r="B22" s="167"/>
      <c r="C22" s="166" t="s">
        <v>53</v>
      </c>
      <c r="D22" s="167" t="s">
        <v>73</v>
      </c>
      <c r="E22" s="166" t="str">
        <f t="shared" si="3"/>
        <v>14M</v>
      </c>
      <c r="F22" s="165" t="s">
        <v>164</v>
      </c>
      <c r="G22" s="165" t="s">
        <v>157</v>
      </c>
      <c r="H22" s="165">
        <f t="shared" si="0"/>
        <v>0</v>
      </c>
      <c r="I22" s="164">
        <v>0</v>
      </c>
      <c r="J22" s="163" t="str">
        <f t="shared" si="1"/>
        <v>USDOIS14M_Quote</v>
      </c>
      <c r="K22" s="163" t="str">
        <f t="shared" si="2"/>
        <v>USD_YCONRH_OIS14M</v>
      </c>
      <c r="L22" s="162" t="str">
        <f>_xll.qlOISRateHelper(K22,2,C22,J22,$L$4,,Permanent,,ObjectOverwrite)</f>
        <v>USD_YCONRH_OIS14M#0001</v>
      </c>
      <c r="M22" s="93" t="str">
        <f>_xll.ohRangeRetrieveError(L22)</f>
        <v/>
      </c>
      <c r="N22" s="159"/>
      <c r="P22" s="161">
        <f>_xll.qlRateHelperEarliestDate(L22)</f>
        <v>41767</v>
      </c>
      <c r="Q22" s="161">
        <f>_xll.qlRateHelperLatestDate($L22)</f>
        <v>42193</v>
      </c>
    </row>
    <row r="23" spans="1:17" x14ac:dyDescent="0.2">
      <c r="A23" s="92"/>
      <c r="B23" s="167"/>
      <c r="C23" s="166" t="s">
        <v>35</v>
      </c>
      <c r="D23" s="167" t="s">
        <v>73</v>
      </c>
      <c r="E23" s="166" t="str">
        <f t="shared" si="3"/>
        <v>15M</v>
      </c>
      <c r="F23" s="165" t="s">
        <v>164</v>
      </c>
      <c r="G23" s="165" t="s">
        <v>157</v>
      </c>
      <c r="H23" s="165">
        <f t="shared" si="0"/>
        <v>0</v>
      </c>
      <c r="I23" s="164">
        <v>0</v>
      </c>
      <c r="J23" s="163" t="str">
        <f t="shared" si="1"/>
        <v>USDOIS15M_Quote</v>
      </c>
      <c r="K23" s="163" t="str">
        <f t="shared" si="2"/>
        <v>USD_YCONRH_OIS15M</v>
      </c>
      <c r="L23" s="162" t="str">
        <f>_xll.qlOISRateHelper(K23,2,C23,J23,$L$4,,Permanent,,ObjectOverwrite)</f>
        <v>USD_YCONRH_OIS15M#0001</v>
      </c>
      <c r="M23" s="93" t="str">
        <f>_xll.ohRangeRetrieveError(L23)</f>
        <v/>
      </c>
      <c r="N23" s="159"/>
      <c r="P23" s="161">
        <f>_xll.qlRateHelperEarliestDate(L23)</f>
        <v>41767</v>
      </c>
      <c r="Q23" s="161">
        <f>_xll.qlRateHelperLatestDate($L23)</f>
        <v>42226</v>
      </c>
    </row>
    <row r="24" spans="1:17" x14ac:dyDescent="0.2">
      <c r="A24" s="92"/>
      <c r="B24" s="167"/>
      <c r="C24" s="166" t="s">
        <v>52</v>
      </c>
      <c r="D24" s="167" t="s">
        <v>73</v>
      </c>
      <c r="E24" s="166" t="str">
        <f t="shared" si="3"/>
        <v>16M</v>
      </c>
      <c r="F24" s="165" t="s">
        <v>164</v>
      </c>
      <c r="G24" s="165" t="s">
        <v>157</v>
      </c>
      <c r="H24" s="165">
        <f t="shared" si="0"/>
        <v>0</v>
      </c>
      <c r="I24" s="164">
        <v>0</v>
      </c>
      <c r="J24" s="163" t="str">
        <f t="shared" si="1"/>
        <v>USDOIS16M_Quote</v>
      </c>
      <c r="K24" s="163" t="str">
        <f t="shared" si="2"/>
        <v>USD_YCONRH_OIS16M</v>
      </c>
      <c r="L24" s="162" t="str">
        <f>_xll.qlOISRateHelper(K24,2,C24,J24,$L$4,,Permanent,,ObjectOverwrite)</f>
        <v>USD_YCONRH_OIS16M#0001</v>
      </c>
      <c r="M24" s="93" t="str">
        <f>_xll.ohRangeRetrieveError(L24)</f>
        <v/>
      </c>
      <c r="N24" s="159"/>
      <c r="P24" s="161">
        <f>_xll.qlRateHelperEarliestDate(L24)</f>
        <v>41767</v>
      </c>
      <c r="Q24" s="161">
        <f>_xll.qlRateHelperLatestDate($L24)</f>
        <v>42255</v>
      </c>
    </row>
    <row r="25" spans="1:17" x14ac:dyDescent="0.2">
      <c r="A25" s="92"/>
      <c r="B25" s="167"/>
      <c r="C25" s="166" t="s">
        <v>51</v>
      </c>
      <c r="D25" s="167" t="s">
        <v>73</v>
      </c>
      <c r="E25" s="166" t="str">
        <f t="shared" si="3"/>
        <v>17M</v>
      </c>
      <c r="F25" s="165" t="s">
        <v>164</v>
      </c>
      <c r="G25" s="165" t="s">
        <v>157</v>
      </c>
      <c r="H25" s="165">
        <f t="shared" si="0"/>
        <v>0</v>
      </c>
      <c r="I25" s="164">
        <v>0</v>
      </c>
      <c r="J25" s="163" t="str">
        <f t="shared" si="1"/>
        <v>USDOIS17M_Quote</v>
      </c>
      <c r="K25" s="163" t="str">
        <f t="shared" si="2"/>
        <v>USD_YCONRH_OIS17M</v>
      </c>
      <c r="L25" s="162" t="str">
        <f>_xll.qlOISRateHelper(K25,2,C25,J25,$L$4,,Permanent,,ObjectOverwrite)</f>
        <v>USD_YCONRH_OIS17M#0001</v>
      </c>
      <c r="M25" s="93" t="str">
        <f>_xll.ohRangeRetrieveError(L25)</f>
        <v/>
      </c>
      <c r="N25" s="159"/>
      <c r="P25" s="161">
        <f>_xll.qlRateHelperEarliestDate(L25)</f>
        <v>41767</v>
      </c>
      <c r="Q25" s="161">
        <f>_xll.qlRateHelperLatestDate($L25)</f>
        <v>42285</v>
      </c>
    </row>
    <row r="26" spans="1:17" x14ac:dyDescent="0.2">
      <c r="A26" s="92"/>
      <c r="B26" s="167"/>
      <c r="C26" s="166" t="s">
        <v>34</v>
      </c>
      <c r="D26" s="167" t="s">
        <v>73</v>
      </c>
      <c r="E26" s="166" t="str">
        <f t="shared" si="3"/>
        <v>18M</v>
      </c>
      <c r="F26" s="165" t="s">
        <v>164</v>
      </c>
      <c r="G26" s="165" t="s">
        <v>157</v>
      </c>
      <c r="H26" s="165">
        <f t="shared" si="0"/>
        <v>0</v>
      </c>
      <c r="I26" s="164">
        <v>0</v>
      </c>
      <c r="J26" s="163" t="str">
        <f t="shared" si="1"/>
        <v>USDOIS18M_Quote</v>
      </c>
      <c r="K26" s="163" t="str">
        <f t="shared" si="2"/>
        <v>USD_YCONRH_OIS18M</v>
      </c>
      <c r="L26" s="162" t="str">
        <f>_xll.qlOISRateHelper(K26,2,C26,J26,$L$4,,Permanent,,ObjectOverwrite)</f>
        <v>USD_YCONRH_OIS18M#0001</v>
      </c>
      <c r="M26" s="93" t="str">
        <f>_xll.ohRangeRetrieveError(L26)</f>
        <v/>
      </c>
      <c r="N26" s="159"/>
      <c r="P26" s="161">
        <f>_xll.qlRateHelperEarliestDate(L26)</f>
        <v>41767</v>
      </c>
      <c r="Q26" s="161">
        <f>_xll.qlRateHelperLatestDate($L26)</f>
        <v>42317</v>
      </c>
    </row>
    <row r="27" spans="1:17" x14ac:dyDescent="0.2">
      <c r="A27" s="92"/>
      <c r="B27" s="167"/>
      <c r="C27" s="166" t="s">
        <v>50</v>
      </c>
      <c r="D27" s="167" t="s">
        <v>73</v>
      </c>
      <c r="E27" s="166" t="str">
        <f t="shared" si="3"/>
        <v>19M</v>
      </c>
      <c r="F27" s="165" t="s">
        <v>164</v>
      </c>
      <c r="G27" s="165" t="s">
        <v>157</v>
      </c>
      <c r="H27" s="165">
        <f t="shared" si="0"/>
        <v>0</v>
      </c>
      <c r="I27" s="164">
        <v>0</v>
      </c>
      <c r="J27" s="163" t="str">
        <f t="shared" si="1"/>
        <v>USDOIS19M_Quote</v>
      </c>
      <c r="K27" s="163" t="str">
        <f t="shared" si="2"/>
        <v>USD_YCONRH_OIS19M</v>
      </c>
      <c r="L27" s="162" t="str">
        <f>_xll.qlOISRateHelper(K27,2,C27,J27,$L$4,,Permanent,,ObjectOverwrite)</f>
        <v>USD_YCONRH_OIS19M#0001</v>
      </c>
      <c r="M27" s="93" t="str">
        <f>_xll.ohRangeRetrieveError(L27)</f>
        <v/>
      </c>
      <c r="N27" s="159"/>
      <c r="P27" s="161">
        <f>_xll.qlRateHelperEarliestDate(L27)</f>
        <v>41767</v>
      </c>
      <c r="Q27" s="161">
        <f>_xll.qlRateHelperLatestDate($L27)</f>
        <v>42346</v>
      </c>
    </row>
    <row r="28" spans="1:17" x14ac:dyDescent="0.2">
      <c r="A28" s="92"/>
      <c r="B28" s="167"/>
      <c r="C28" s="166" t="s">
        <v>49</v>
      </c>
      <c r="D28" s="167" t="s">
        <v>73</v>
      </c>
      <c r="E28" s="166" t="str">
        <f t="shared" si="3"/>
        <v>20M</v>
      </c>
      <c r="F28" s="165" t="s">
        <v>164</v>
      </c>
      <c r="G28" s="165" t="s">
        <v>157</v>
      </c>
      <c r="H28" s="165">
        <f t="shared" si="0"/>
        <v>0</v>
      </c>
      <c r="I28" s="164">
        <v>0</v>
      </c>
      <c r="J28" s="163" t="str">
        <f t="shared" si="1"/>
        <v>USDOIS20M_Quote</v>
      </c>
      <c r="K28" s="163" t="str">
        <f t="shared" si="2"/>
        <v>USD_YCONRH_OIS20M</v>
      </c>
      <c r="L28" s="162" t="str">
        <f>_xll.qlOISRateHelper(K28,2,C28,J28,$L$4,,Permanent,,ObjectOverwrite)</f>
        <v>USD_YCONRH_OIS20M#0001</v>
      </c>
      <c r="M28" s="93" t="str">
        <f>_xll.ohRangeRetrieveError(L28)</f>
        <v/>
      </c>
      <c r="N28" s="159"/>
      <c r="P28" s="161">
        <f>_xll.qlRateHelperEarliestDate(L28)</f>
        <v>41767</v>
      </c>
      <c r="Q28" s="161">
        <f>_xll.qlRateHelperLatestDate($L28)</f>
        <v>42377</v>
      </c>
    </row>
    <row r="29" spans="1:17" x14ac:dyDescent="0.2">
      <c r="A29" s="92"/>
      <c r="B29" s="167"/>
      <c r="C29" s="166" t="s">
        <v>33</v>
      </c>
      <c r="D29" s="167" t="s">
        <v>73</v>
      </c>
      <c r="E29" s="166" t="str">
        <f t="shared" si="3"/>
        <v>21M</v>
      </c>
      <c r="F29" s="165" t="s">
        <v>164</v>
      </c>
      <c r="G29" s="165" t="s">
        <v>157</v>
      </c>
      <c r="H29" s="165">
        <f t="shared" si="0"/>
        <v>0</v>
      </c>
      <c r="I29" s="164">
        <v>0</v>
      </c>
      <c r="J29" s="163" t="str">
        <f t="shared" si="1"/>
        <v>USDOIS21M_Quote</v>
      </c>
      <c r="K29" s="163" t="str">
        <f t="shared" si="2"/>
        <v>USD_YCONRH_OIS21M</v>
      </c>
      <c r="L29" s="162" t="str">
        <f>_xll.qlOISRateHelper(K29,2,C29,J29,$L$4,,Permanent,,ObjectOverwrite)</f>
        <v>USD_YCONRH_OIS21M#0001</v>
      </c>
      <c r="M29" s="93" t="str">
        <f>_xll.ohRangeRetrieveError(L29)</f>
        <v/>
      </c>
      <c r="N29" s="159"/>
      <c r="P29" s="161">
        <f>_xll.qlRateHelperEarliestDate(L29)</f>
        <v>41767</v>
      </c>
      <c r="Q29" s="161">
        <f>_xll.qlRateHelperLatestDate($L29)</f>
        <v>42408</v>
      </c>
    </row>
    <row r="30" spans="1:17" x14ac:dyDescent="0.2">
      <c r="A30" s="92"/>
      <c r="B30" s="167"/>
      <c r="C30" s="166" t="s">
        <v>48</v>
      </c>
      <c r="D30" s="167" t="s">
        <v>73</v>
      </c>
      <c r="E30" s="166" t="str">
        <f t="shared" si="3"/>
        <v>22M</v>
      </c>
      <c r="F30" s="165" t="s">
        <v>164</v>
      </c>
      <c r="G30" s="165" t="s">
        <v>157</v>
      </c>
      <c r="H30" s="165">
        <f t="shared" si="0"/>
        <v>0</v>
      </c>
      <c r="I30" s="164">
        <v>0</v>
      </c>
      <c r="J30" s="163" t="str">
        <f t="shared" si="1"/>
        <v>USDOIS22M_Quote</v>
      </c>
      <c r="K30" s="163" t="str">
        <f t="shared" si="2"/>
        <v>USD_YCONRH_OIS22M</v>
      </c>
      <c r="L30" s="162" t="str">
        <f>_xll.qlOISRateHelper(K30,2,C30,J30,$L$4,,Permanent,,ObjectOverwrite)</f>
        <v>USD_YCONRH_OIS22M#0001</v>
      </c>
      <c r="M30" s="93" t="str">
        <f>_xll.ohRangeRetrieveError(L30)</f>
        <v/>
      </c>
      <c r="N30" s="159"/>
      <c r="P30" s="161">
        <f>_xll.qlRateHelperEarliestDate(L30)</f>
        <v>41767</v>
      </c>
      <c r="Q30" s="161">
        <f>_xll.qlRateHelperLatestDate($L30)</f>
        <v>42437</v>
      </c>
    </row>
    <row r="31" spans="1:17" x14ac:dyDescent="0.2">
      <c r="A31" s="92"/>
      <c r="B31" s="167"/>
      <c r="C31" s="166" t="s">
        <v>47</v>
      </c>
      <c r="D31" s="167" t="s">
        <v>73</v>
      </c>
      <c r="E31" s="166" t="str">
        <f t="shared" si="3"/>
        <v>23M</v>
      </c>
      <c r="F31" s="165" t="s">
        <v>164</v>
      </c>
      <c r="G31" s="165" t="s">
        <v>157</v>
      </c>
      <c r="H31" s="165">
        <f t="shared" si="0"/>
        <v>0</v>
      </c>
      <c r="I31" s="164">
        <v>0</v>
      </c>
      <c r="J31" s="163" t="str">
        <f t="shared" si="1"/>
        <v>USDOIS23M_Quote</v>
      </c>
      <c r="K31" s="163" t="str">
        <f t="shared" si="2"/>
        <v>USD_YCONRH_OIS23M</v>
      </c>
      <c r="L31" s="162" t="str">
        <f>_xll.qlOISRateHelper(K31,2,C31,J31,$L$4,,Permanent,,ObjectOverwrite)</f>
        <v>USD_YCONRH_OIS23M#0001</v>
      </c>
      <c r="M31" s="93" t="str">
        <f>_xll.ohRangeRetrieveError(L31)</f>
        <v/>
      </c>
      <c r="N31" s="159"/>
      <c r="P31" s="161">
        <f>_xll.qlRateHelperEarliestDate(L31)</f>
        <v>41767</v>
      </c>
      <c r="Q31" s="161">
        <f>_xll.qlRateHelperLatestDate($L31)</f>
        <v>42468</v>
      </c>
    </row>
    <row r="32" spans="1:17" x14ac:dyDescent="0.2">
      <c r="A32" s="92"/>
      <c r="B32" s="167"/>
      <c r="C32" s="166" t="s">
        <v>32</v>
      </c>
      <c r="D32" s="167" t="s">
        <v>73</v>
      </c>
      <c r="E32" s="166" t="str">
        <f t="shared" si="3"/>
        <v>2Y</v>
      </c>
      <c r="F32" s="165" t="s">
        <v>164</v>
      </c>
      <c r="G32" s="165" t="s">
        <v>157</v>
      </c>
      <c r="H32" s="165">
        <f t="shared" si="0"/>
        <v>0</v>
      </c>
      <c r="I32" s="164">
        <v>0</v>
      </c>
      <c r="J32" s="163" t="str">
        <f t="shared" si="1"/>
        <v>USDOIS2Y_Quote</v>
      </c>
      <c r="K32" s="163" t="str">
        <f t="shared" si="2"/>
        <v>USD_YCONRH_OIS2Y</v>
      </c>
      <c r="L32" s="162" t="str">
        <f>_xll.qlOISRateHelper(K32,2,C32,J32,$L$4,,Permanent,,ObjectOverwrite)</f>
        <v>USD_YCONRH_OIS2Y#0001</v>
      </c>
      <c r="M32" s="93" t="str">
        <f>_xll.ohRangeRetrieveError(L32)</f>
        <v/>
      </c>
      <c r="N32" s="159"/>
      <c r="P32" s="161">
        <f>_xll.qlRateHelperEarliestDate(L32)</f>
        <v>41767</v>
      </c>
      <c r="Q32" s="161">
        <f>_xll.qlRateHelperLatestDate($L32)</f>
        <v>42499</v>
      </c>
    </row>
    <row r="33" spans="1:17" x14ac:dyDescent="0.2">
      <c r="A33" s="92"/>
      <c r="B33" s="167"/>
      <c r="C33" s="166" t="s">
        <v>46</v>
      </c>
      <c r="D33" s="167" t="s">
        <v>73</v>
      </c>
      <c r="E33" s="166" t="str">
        <f t="shared" si="3"/>
        <v>27M</v>
      </c>
      <c r="F33" s="165" t="s">
        <v>164</v>
      </c>
      <c r="G33" s="165" t="s">
        <v>157</v>
      </c>
      <c r="H33" s="165">
        <f t="shared" si="0"/>
        <v>0</v>
      </c>
      <c r="I33" s="164">
        <v>0</v>
      </c>
      <c r="J33" s="163" t="str">
        <f t="shared" si="1"/>
        <v>USDOIS27M_Quote</v>
      </c>
      <c r="K33" s="163" t="str">
        <f t="shared" si="2"/>
        <v>USD_YCONRH_OIS27M</v>
      </c>
      <c r="L33" s="162" t="str">
        <f>_xll.qlOISRateHelper(K33,2,C33,J33,$L$4,,Permanent,,ObjectOverwrite)</f>
        <v>USD_YCONRH_OIS27M#0001</v>
      </c>
      <c r="M33" s="93" t="str">
        <f>_xll.ohRangeRetrieveError(L33)</f>
        <v/>
      </c>
      <c r="N33" s="159"/>
      <c r="P33" s="161">
        <f>_xll.qlRateHelperEarliestDate(L33)</f>
        <v>41767</v>
      </c>
      <c r="Q33" s="161">
        <f>_xll.qlRateHelperLatestDate($L33)</f>
        <v>42590</v>
      </c>
    </row>
    <row r="34" spans="1:17" x14ac:dyDescent="0.2">
      <c r="A34" s="92"/>
      <c r="B34" s="167"/>
      <c r="C34" s="166" t="s">
        <v>45</v>
      </c>
      <c r="D34" s="167" t="s">
        <v>73</v>
      </c>
      <c r="E34" s="166" t="str">
        <f t="shared" si="3"/>
        <v>30M</v>
      </c>
      <c r="F34" s="165" t="s">
        <v>164</v>
      </c>
      <c r="G34" s="165" t="s">
        <v>157</v>
      </c>
      <c r="H34" s="165">
        <f t="shared" si="0"/>
        <v>0</v>
      </c>
      <c r="I34" s="164">
        <v>0</v>
      </c>
      <c r="J34" s="163" t="str">
        <f t="shared" si="1"/>
        <v>USDOIS30M_Quote</v>
      </c>
      <c r="K34" s="163" t="str">
        <f t="shared" si="2"/>
        <v>USD_YCONRH_OIS30M</v>
      </c>
      <c r="L34" s="162" t="str">
        <f>_xll.qlOISRateHelper(K34,2,C34,J34,$L$4,,Permanent,,ObjectOverwrite)</f>
        <v>USD_YCONRH_OIS30M#0001</v>
      </c>
      <c r="M34" s="93" t="str">
        <f>_xll.ohRangeRetrieveError(L34)</f>
        <v/>
      </c>
      <c r="N34" s="159"/>
      <c r="P34" s="161">
        <f>_xll.qlRateHelperEarliestDate(L34)</f>
        <v>41767</v>
      </c>
      <c r="Q34" s="161">
        <f>_xll.qlRateHelperLatestDate($L34)</f>
        <v>42682</v>
      </c>
    </row>
    <row r="35" spans="1:17" x14ac:dyDescent="0.2">
      <c r="A35" s="92"/>
      <c r="B35" s="167"/>
      <c r="C35" s="166" t="s">
        <v>44</v>
      </c>
      <c r="D35" s="167" t="s">
        <v>73</v>
      </c>
      <c r="E35" s="166" t="str">
        <f t="shared" si="3"/>
        <v>33M</v>
      </c>
      <c r="F35" s="165" t="s">
        <v>164</v>
      </c>
      <c r="G35" s="165" t="s">
        <v>157</v>
      </c>
      <c r="H35" s="165">
        <f t="shared" si="0"/>
        <v>0</v>
      </c>
      <c r="I35" s="164">
        <v>0</v>
      </c>
      <c r="J35" s="163" t="str">
        <f t="shared" si="1"/>
        <v>USDOIS33M_Quote</v>
      </c>
      <c r="K35" s="163" t="str">
        <f t="shared" si="2"/>
        <v>USD_YCONRH_OIS33M</v>
      </c>
      <c r="L35" s="162" t="str">
        <f>_xll.qlOISRateHelper(K35,2,C35,J35,$L$4,,Permanent,,ObjectOverwrite)</f>
        <v>USD_YCONRH_OIS33M#0001</v>
      </c>
      <c r="M35" s="93" t="str">
        <f>_xll.ohRangeRetrieveError(L35)</f>
        <v/>
      </c>
      <c r="N35" s="159"/>
      <c r="P35" s="161">
        <f>_xll.qlRateHelperEarliestDate(L35)</f>
        <v>41767</v>
      </c>
      <c r="Q35" s="161">
        <f>_xll.qlRateHelperLatestDate($L35)</f>
        <v>42774</v>
      </c>
    </row>
    <row r="36" spans="1:17" x14ac:dyDescent="0.2">
      <c r="A36" s="92"/>
      <c r="B36" s="167"/>
      <c r="C36" s="166" t="s">
        <v>31</v>
      </c>
      <c r="D36" s="167" t="s">
        <v>73</v>
      </c>
      <c r="E36" s="166" t="str">
        <f t="shared" si="3"/>
        <v>3Y</v>
      </c>
      <c r="F36" s="165" t="s">
        <v>164</v>
      </c>
      <c r="G36" s="165" t="s">
        <v>157</v>
      </c>
      <c r="H36" s="165">
        <f t="shared" si="0"/>
        <v>0</v>
      </c>
      <c r="I36" s="164">
        <v>0</v>
      </c>
      <c r="J36" s="163" t="str">
        <f t="shared" si="1"/>
        <v>USDOIS3Y_Quote</v>
      </c>
      <c r="K36" s="163" t="str">
        <f t="shared" si="2"/>
        <v>USD_YCONRH_OIS3Y</v>
      </c>
      <c r="L36" s="162" t="str">
        <f>_xll.qlOISRateHelper(K36,2,C36,J36,$L$4,,Permanent,,ObjectOverwrite)</f>
        <v>USD_YCONRH_OIS3Y#0001</v>
      </c>
      <c r="M36" s="93" t="str">
        <f>_xll.ohRangeRetrieveError(L36)</f>
        <v/>
      </c>
      <c r="N36" s="159"/>
      <c r="P36" s="161">
        <f>_xll.qlRateHelperEarliestDate(L36)</f>
        <v>41767</v>
      </c>
      <c r="Q36" s="161">
        <f>_xll.qlRateHelperLatestDate($L36)</f>
        <v>42863</v>
      </c>
    </row>
    <row r="37" spans="1:17" x14ac:dyDescent="0.2">
      <c r="A37" s="92"/>
      <c r="B37" s="167"/>
      <c r="C37" s="166" t="s">
        <v>43</v>
      </c>
      <c r="D37" s="167" t="s">
        <v>73</v>
      </c>
      <c r="E37" s="166" t="str">
        <f t="shared" si="3"/>
        <v>39M</v>
      </c>
      <c r="F37" s="165" t="s">
        <v>164</v>
      </c>
      <c r="G37" s="165" t="s">
        <v>157</v>
      </c>
      <c r="H37" s="165">
        <f t="shared" si="0"/>
        <v>0</v>
      </c>
      <c r="I37" s="164">
        <v>0</v>
      </c>
      <c r="J37" s="163" t="str">
        <f t="shared" si="1"/>
        <v>USDOIS39M_Quote</v>
      </c>
      <c r="K37" s="163" t="str">
        <f t="shared" si="2"/>
        <v>USD_YCONRH_OIS39M</v>
      </c>
      <c r="L37" s="162" t="str">
        <f>_xll.qlOISRateHelper(K37,2,C37,J37,$L$4,,Permanent,,ObjectOverwrite)</f>
        <v>USD_YCONRH_OIS39M#0001</v>
      </c>
      <c r="M37" s="93" t="str">
        <f>_xll.ohRangeRetrieveError(L37)</f>
        <v/>
      </c>
      <c r="N37" s="159"/>
      <c r="P37" s="161">
        <f>_xll.qlRateHelperEarliestDate(L37)</f>
        <v>41767</v>
      </c>
      <c r="Q37" s="161">
        <f>_xll.qlRateHelperLatestDate($L37)</f>
        <v>42955</v>
      </c>
    </row>
    <row r="38" spans="1:17" x14ac:dyDescent="0.2">
      <c r="A38" s="92"/>
      <c r="B38" s="167"/>
      <c r="C38" s="166" t="s">
        <v>42</v>
      </c>
      <c r="D38" s="167" t="s">
        <v>73</v>
      </c>
      <c r="E38" s="166" t="str">
        <f t="shared" si="3"/>
        <v>42M</v>
      </c>
      <c r="F38" s="165" t="s">
        <v>164</v>
      </c>
      <c r="G38" s="165" t="s">
        <v>157</v>
      </c>
      <c r="H38" s="165">
        <f t="shared" ref="H38:H59" si="4">DayCounter</f>
        <v>0</v>
      </c>
      <c r="I38" s="164">
        <v>0</v>
      </c>
      <c r="J38" s="163" t="str">
        <f t="shared" ref="J38:J59" si="5">Currency&amp;$D38&amp;$E38&amp;QuoteSuffix</f>
        <v>USDOIS42M_Quote</v>
      </c>
      <c r="K38" s="163" t="str">
        <f t="shared" ref="K38:K59" si="6">$K$2&amp;"_"&amp;$D38&amp;$E38</f>
        <v>USD_YCONRH_OIS42M</v>
      </c>
      <c r="L38" s="162" t="str">
        <f>_xll.qlOISRateHelper(K38,2,C38,J38,$L$4,,Permanent,,ObjectOverwrite)</f>
        <v>USD_YCONRH_OIS42M#0001</v>
      </c>
      <c r="M38" s="93" t="str">
        <f>_xll.ohRangeRetrieveError(L38)</f>
        <v/>
      </c>
      <c r="N38" s="159"/>
      <c r="P38" s="161"/>
      <c r="Q38" s="161"/>
    </row>
    <row r="39" spans="1:17" x14ac:dyDescent="0.2">
      <c r="A39" s="92"/>
      <c r="B39" s="167"/>
      <c r="C39" s="166" t="s">
        <v>41</v>
      </c>
      <c r="D39" s="167" t="s">
        <v>73</v>
      </c>
      <c r="E39" s="166" t="str">
        <f t="shared" ref="E39:E59" si="7">C39</f>
        <v>45M</v>
      </c>
      <c r="F39" s="165" t="s">
        <v>164</v>
      </c>
      <c r="G39" s="165" t="s">
        <v>157</v>
      </c>
      <c r="H39" s="165">
        <f t="shared" si="4"/>
        <v>0</v>
      </c>
      <c r="I39" s="164">
        <v>0</v>
      </c>
      <c r="J39" s="163" t="str">
        <f t="shared" si="5"/>
        <v>USDOIS45M_Quote</v>
      </c>
      <c r="K39" s="163" t="str">
        <f t="shared" si="6"/>
        <v>USD_YCONRH_OIS45M</v>
      </c>
      <c r="L39" s="162" t="str">
        <f>_xll.qlOISRateHelper(K39,2,C39,J39,$L$4,,Permanent,,ObjectOverwrite)</f>
        <v>USD_YCONRH_OIS45M#0001</v>
      </c>
      <c r="M39" s="93" t="str">
        <f>_xll.ohRangeRetrieveError(L39)</f>
        <v/>
      </c>
      <c r="N39" s="159"/>
      <c r="P39" s="161"/>
      <c r="Q39" s="161"/>
    </row>
    <row r="40" spans="1:17" x14ac:dyDescent="0.2">
      <c r="A40" s="92"/>
      <c r="B40" s="167"/>
      <c r="C40" s="166" t="s">
        <v>30</v>
      </c>
      <c r="D40" s="167" t="s">
        <v>73</v>
      </c>
      <c r="E40" s="166" t="str">
        <f t="shared" si="7"/>
        <v>4Y</v>
      </c>
      <c r="F40" s="165" t="s">
        <v>164</v>
      </c>
      <c r="G40" s="165" t="s">
        <v>157</v>
      </c>
      <c r="H40" s="165">
        <f t="shared" si="4"/>
        <v>0</v>
      </c>
      <c r="I40" s="164">
        <v>0</v>
      </c>
      <c r="J40" s="163" t="str">
        <f t="shared" si="5"/>
        <v>USDOIS4Y_Quote</v>
      </c>
      <c r="K40" s="163" t="str">
        <f t="shared" si="6"/>
        <v>USD_YCONRH_OIS4Y</v>
      </c>
      <c r="L40" s="162" t="str">
        <f>_xll.qlOISRateHelper(K40,2,C40,J40,$L$4,,Permanent,,ObjectOverwrite)</f>
        <v>USD_YCONRH_OIS4Y#0001</v>
      </c>
      <c r="M40" s="93" t="str">
        <f>_xll.ohRangeRetrieveError(L40)</f>
        <v/>
      </c>
      <c r="N40" s="159"/>
      <c r="P40" s="161"/>
      <c r="Q40" s="161"/>
    </row>
    <row r="41" spans="1:17" x14ac:dyDescent="0.2">
      <c r="A41" s="92"/>
      <c r="B41" s="167"/>
      <c r="C41" s="166" t="s">
        <v>40</v>
      </c>
      <c r="D41" s="167" t="s">
        <v>73</v>
      </c>
      <c r="E41" s="166" t="str">
        <f t="shared" si="7"/>
        <v>51M</v>
      </c>
      <c r="F41" s="165" t="s">
        <v>164</v>
      </c>
      <c r="G41" s="165" t="s">
        <v>157</v>
      </c>
      <c r="H41" s="165">
        <f t="shared" si="4"/>
        <v>0</v>
      </c>
      <c r="I41" s="164">
        <v>0</v>
      </c>
      <c r="J41" s="163" t="str">
        <f t="shared" si="5"/>
        <v>USDOIS51M_Quote</v>
      </c>
      <c r="K41" s="163" t="str">
        <f t="shared" si="6"/>
        <v>USD_YCONRH_OIS51M</v>
      </c>
      <c r="L41" s="162" t="str">
        <f>_xll.qlOISRateHelper(K41,2,C41,J41,$L$4,,Permanent,,ObjectOverwrite)</f>
        <v>USD_YCONRH_OIS51M#0001</v>
      </c>
      <c r="M41" s="93" t="str">
        <f>_xll.ohRangeRetrieveError(L41)</f>
        <v/>
      </c>
      <c r="N41" s="159"/>
      <c r="P41" s="161"/>
      <c r="Q41" s="161"/>
    </row>
    <row r="42" spans="1:17" x14ac:dyDescent="0.2">
      <c r="A42" s="92"/>
      <c r="B42" s="167"/>
      <c r="C42" s="166" t="s">
        <v>39</v>
      </c>
      <c r="D42" s="167" t="s">
        <v>73</v>
      </c>
      <c r="E42" s="166" t="str">
        <f t="shared" si="7"/>
        <v>54M</v>
      </c>
      <c r="F42" s="165" t="s">
        <v>164</v>
      </c>
      <c r="G42" s="165" t="s">
        <v>157</v>
      </c>
      <c r="H42" s="165">
        <f t="shared" si="4"/>
        <v>0</v>
      </c>
      <c r="I42" s="164">
        <v>0</v>
      </c>
      <c r="J42" s="163" t="str">
        <f t="shared" si="5"/>
        <v>USDOIS54M_Quote</v>
      </c>
      <c r="K42" s="163" t="str">
        <f t="shared" si="6"/>
        <v>USD_YCONRH_OIS54M</v>
      </c>
      <c r="L42" s="162" t="str">
        <f>_xll.qlOISRateHelper(K42,2,C42,J42,$L$4,,Permanent,,ObjectOverwrite)</f>
        <v>USD_YCONRH_OIS54M#0001</v>
      </c>
      <c r="M42" s="93" t="str">
        <f>_xll.ohRangeRetrieveError(L42)</f>
        <v/>
      </c>
      <c r="N42" s="159"/>
      <c r="P42" s="161"/>
      <c r="Q42" s="161"/>
    </row>
    <row r="43" spans="1:17" x14ac:dyDescent="0.2">
      <c r="A43" s="92"/>
      <c r="B43" s="167"/>
      <c r="C43" s="166" t="s">
        <v>38</v>
      </c>
      <c r="D43" s="167" t="s">
        <v>73</v>
      </c>
      <c r="E43" s="166" t="str">
        <f t="shared" si="7"/>
        <v>57M</v>
      </c>
      <c r="F43" s="165" t="s">
        <v>164</v>
      </c>
      <c r="G43" s="165" t="s">
        <v>157</v>
      </c>
      <c r="H43" s="165">
        <f t="shared" si="4"/>
        <v>0</v>
      </c>
      <c r="I43" s="164">
        <v>0</v>
      </c>
      <c r="J43" s="163" t="str">
        <f t="shared" si="5"/>
        <v>USDOIS57M_Quote</v>
      </c>
      <c r="K43" s="163" t="str">
        <f t="shared" si="6"/>
        <v>USD_YCONRH_OIS57M</v>
      </c>
      <c r="L43" s="162" t="str">
        <f>_xll.qlOISRateHelper(K43,2,C43,J43,$L$4,,Permanent,,ObjectOverwrite)</f>
        <v>USD_YCONRH_OIS57M#0001</v>
      </c>
      <c r="M43" s="93" t="str">
        <f>_xll.ohRangeRetrieveError(L43)</f>
        <v/>
      </c>
      <c r="N43" s="159"/>
      <c r="P43" s="161"/>
      <c r="Q43" s="161"/>
    </row>
    <row r="44" spans="1:17" x14ac:dyDescent="0.2">
      <c r="A44" s="92"/>
      <c r="B44" s="167"/>
      <c r="C44" s="166" t="s">
        <v>29</v>
      </c>
      <c r="D44" s="167" t="s">
        <v>73</v>
      </c>
      <c r="E44" s="166" t="str">
        <f t="shared" si="7"/>
        <v>5Y</v>
      </c>
      <c r="F44" s="165" t="s">
        <v>164</v>
      </c>
      <c r="G44" s="165" t="s">
        <v>157</v>
      </c>
      <c r="H44" s="165">
        <f t="shared" si="4"/>
        <v>0</v>
      </c>
      <c r="I44" s="164">
        <v>0</v>
      </c>
      <c r="J44" s="163" t="str">
        <f t="shared" si="5"/>
        <v>USDOIS5Y_Quote</v>
      </c>
      <c r="K44" s="163" t="str">
        <f t="shared" si="6"/>
        <v>USD_YCONRH_OIS5Y</v>
      </c>
      <c r="L44" s="162" t="str">
        <f>_xll.qlOISRateHelper(K44,2,C44,J44,$L$4,,Permanent,,ObjectOverwrite)</f>
        <v>USD_YCONRH_OIS5Y#0001</v>
      </c>
      <c r="M44" s="93" t="str">
        <f>_xll.ohRangeRetrieveError(L44)</f>
        <v/>
      </c>
      <c r="N44" s="159"/>
      <c r="P44" s="161"/>
      <c r="Q44" s="161"/>
    </row>
    <row r="45" spans="1:17" x14ac:dyDescent="0.2">
      <c r="A45" s="92"/>
      <c r="B45" s="167"/>
      <c r="C45" s="166" t="s">
        <v>28</v>
      </c>
      <c r="D45" s="167" t="s">
        <v>73</v>
      </c>
      <c r="E45" s="166" t="str">
        <f t="shared" si="7"/>
        <v>6Y</v>
      </c>
      <c r="F45" s="165" t="s">
        <v>164</v>
      </c>
      <c r="G45" s="165" t="s">
        <v>157</v>
      </c>
      <c r="H45" s="165">
        <f t="shared" si="4"/>
        <v>0</v>
      </c>
      <c r="I45" s="164">
        <v>0</v>
      </c>
      <c r="J45" s="163" t="str">
        <f t="shared" si="5"/>
        <v>USDOIS6Y_Quote</v>
      </c>
      <c r="K45" s="163" t="str">
        <f t="shared" si="6"/>
        <v>USD_YCONRH_OIS6Y</v>
      </c>
      <c r="L45" s="162" t="str">
        <f>_xll.qlOISRateHelper(K45,2,C45,J45,$L$4,,Permanent,,ObjectOverwrite)</f>
        <v>USD_YCONRH_OIS6Y#0001</v>
      </c>
      <c r="M45" s="93" t="str">
        <f>_xll.ohRangeRetrieveError(L45)</f>
        <v/>
      </c>
      <c r="N45" s="159"/>
      <c r="P45" s="161"/>
      <c r="Q45" s="161"/>
    </row>
    <row r="46" spans="1:17" x14ac:dyDescent="0.2">
      <c r="A46" s="92"/>
      <c r="B46" s="167"/>
      <c r="C46" s="166" t="s">
        <v>27</v>
      </c>
      <c r="D46" s="167" t="s">
        <v>73</v>
      </c>
      <c r="E46" s="166" t="str">
        <f t="shared" si="7"/>
        <v>7Y</v>
      </c>
      <c r="F46" s="165" t="s">
        <v>164</v>
      </c>
      <c r="G46" s="165" t="s">
        <v>157</v>
      </c>
      <c r="H46" s="165">
        <f t="shared" si="4"/>
        <v>0</v>
      </c>
      <c r="I46" s="164">
        <v>0</v>
      </c>
      <c r="J46" s="163" t="str">
        <f t="shared" si="5"/>
        <v>USDOIS7Y_Quote</v>
      </c>
      <c r="K46" s="163" t="str">
        <f t="shared" si="6"/>
        <v>USD_YCONRH_OIS7Y</v>
      </c>
      <c r="L46" s="162" t="str">
        <f>_xll.qlOISRateHelper(K46,2,C46,J46,$L$4,,Permanent,,ObjectOverwrite)</f>
        <v>USD_YCONRH_OIS7Y#0001</v>
      </c>
      <c r="M46" s="93" t="str">
        <f>_xll.ohRangeRetrieveError(L46)</f>
        <v/>
      </c>
      <c r="N46" s="159"/>
      <c r="P46" s="161"/>
      <c r="Q46" s="161"/>
    </row>
    <row r="47" spans="1:17" x14ac:dyDescent="0.2">
      <c r="A47" s="92"/>
      <c r="B47" s="167"/>
      <c r="C47" s="166" t="s">
        <v>26</v>
      </c>
      <c r="D47" s="167" t="s">
        <v>73</v>
      </c>
      <c r="E47" s="166" t="str">
        <f t="shared" si="7"/>
        <v>8Y</v>
      </c>
      <c r="F47" s="165" t="s">
        <v>164</v>
      </c>
      <c r="G47" s="165" t="s">
        <v>157</v>
      </c>
      <c r="H47" s="165">
        <f t="shared" si="4"/>
        <v>0</v>
      </c>
      <c r="I47" s="164">
        <v>0</v>
      </c>
      <c r="J47" s="163" t="str">
        <f t="shared" si="5"/>
        <v>USDOIS8Y_Quote</v>
      </c>
      <c r="K47" s="163" t="str">
        <f t="shared" si="6"/>
        <v>USD_YCONRH_OIS8Y</v>
      </c>
      <c r="L47" s="162" t="str">
        <f>_xll.qlOISRateHelper(K47,2,C47,J47,$L$4,,Permanent,,ObjectOverwrite)</f>
        <v>USD_YCONRH_OIS8Y#0001</v>
      </c>
      <c r="M47" s="93" t="str">
        <f>_xll.ohRangeRetrieveError(L47)</f>
        <v/>
      </c>
      <c r="N47" s="159"/>
      <c r="P47" s="161"/>
      <c r="Q47" s="161"/>
    </row>
    <row r="48" spans="1:17" x14ac:dyDescent="0.2">
      <c r="A48" s="92"/>
      <c r="B48" s="167"/>
      <c r="C48" s="166" t="s">
        <v>25</v>
      </c>
      <c r="D48" s="167" t="s">
        <v>73</v>
      </c>
      <c r="E48" s="166" t="str">
        <f t="shared" si="7"/>
        <v>9Y</v>
      </c>
      <c r="F48" s="165" t="s">
        <v>164</v>
      </c>
      <c r="G48" s="165" t="s">
        <v>157</v>
      </c>
      <c r="H48" s="165">
        <f t="shared" si="4"/>
        <v>0</v>
      </c>
      <c r="I48" s="164">
        <v>0</v>
      </c>
      <c r="J48" s="163" t="str">
        <f t="shared" si="5"/>
        <v>USDOIS9Y_Quote</v>
      </c>
      <c r="K48" s="163" t="str">
        <f t="shared" si="6"/>
        <v>USD_YCONRH_OIS9Y</v>
      </c>
      <c r="L48" s="162" t="str">
        <f>_xll.qlOISRateHelper(K48,2,C48,J48,$L$4,,Permanent,,ObjectOverwrite)</f>
        <v>USD_YCONRH_OIS9Y#0001</v>
      </c>
      <c r="M48" s="93" t="str">
        <f>_xll.ohRangeRetrieveError(L48)</f>
        <v/>
      </c>
      <c r="N48" s="159"/>
      <c r="P48" s="161"/>
      <c r="Q48" s="161"/>
    </row>
    <row r="49" spans="1:17" x14ac:dyDescent="0.2">
      <c r="A49" s="92"/>
      <c r="B49" s="167"/>
      <c r="C49" s="166" t="s">
        <v>24</v>
      </c>
      <c r="D49" s="167" t="s">
        <v>73</v>
      </c>
      <c r="E49" s="166" t="str">
        <f t="shared" si="7"/>
        <v>10Y</v>
      </c>
      <c r="F49" s="165" t="s">
        <v>164</v>
      </c>
      <c r="G49" s="165" t="s">
        <v>157</v>
      </c>
      <c r="H49" s="165">
        <f t="shared" si="4"/>
        <v>0</v>
      </c>
      <c r="I49" s="164">
        <v>0</v>
      </c>
      <c r="J49" s="163" t="str">
        <f t="shared" si="5"/>
        <v>USDOIS10Y_Quote</v>
      </c>
      <c r="K49" s="163" t="str">
        <f t="shared" si="6"/>
        <v>USD_YCONRH_OIS10Y</v>
      </c>
      <c r="L49" s="162" t="str">
        <f>_xll.qlOISRateHelper(K49,2,C49,J49,$L$4,,Permanent,,ObjectOverwrite)</f>
        <v>USD_YCONRH_OIS10Y#0001</v>
      </c>
      <c r="M49" s="93" t="str">
        <f>_xll.ohRangeRetrieveError(L49)</f>
        <v/>
      </c>
      <c r="N49" s="159"/>
      <c r="P49" s="161"/>
      <c r="Q49" s="161"/>
    </row>
    <row r="50" spans="1:17" x14ac:dyDescent="0.2">
      <c r="A50" s="92"/>
      <c r="B50" s="167"/>
      <c r="C50" s="166" t="s">
        <v>22</v>
      </c>
      <c r="D50" s="167" t="s">
        <v>73</v>
      </c>
      <c r="E50" s="166" t="str">
        <f t="shared" si="7"/>
        <v>12Y</v>
      </c>
      <c r="F50" s="165" t="s">
        <v>164</v>
      </c>
      <c r="G50" s="165" t="s">
        <v>157</v>
      </c>
      <c r="H50" s="165">
        <f t="shared" si="4"/>
        <v>0</v>
      </c>
      <c r="I50" s="164">
        <v>0</v>
      </c>
      <c r="J50" s="163" t="str">
        <f t="shared" si="5"/>
        <v>USDOIS12Y_Quote</v>
      </c>
      <c r="K50" s="163" t="str">
        <f t="shared" si="6"/>
        <v>USD_YCONRH_OIS12Y</v>
      </c>
      <c r="L50" s="162" t="str">
        <f>_xll.qlOISRateHelper(K50,2,C50,J50,$L$4,,Permanent,,ObjectOverwrite)</f>
        <v>USD_YCONRH_OIS12Y#0001</v>
      </c>
      <c r="M50" s="93" t="str">
        <f>_xll.ohRangeRetrieveError(L50)</f>
        <v/>
      </c>
      <c r="N50" s="159"/>
      <c r="P50" s="161"/>
      <c r="Q50" s="161"/>
    </row>
    <row r="51" spans="1:17" x14ac:dyDescent="0.2">
      <c r="A51" s="92"/>
      <c r="B51" s="167"/>
      <c r="C51" s="166" t="s">
        <v>19</v>
      </c>
      <c r="D51" s="167" t="s">
        <v>73</v>
      </c>
      <c r="E51" s="166" t="str">
        <f t="shared" si="7"/>
        <v>15Y</v>
      </c>
      <c r="F51" s="165" t="s">
        <v>164</v>
      </c>
      <c r="G51" s="165" t="s">
        <v>157</v>
      </c>
      <c r="H51" s="165">
        <f t="shared" si="4"/>
        <v>0</v>
      </c>
      <c r="I51" s="164">
        <v>0</v>
      </c>
      <c r="J51" s="163" t="str">
        <f t="shared" si="5"/>
        <v>USDOIS15Y_Quote</v>
      </c>
      <c r="K51" s="163" t="str">
        <f t="shared" si="6"/>
        <v>USD_YCONRH_OIS15Y</v>
      </c>
      <c r="L51" s="162" t="str">
        <f>_xll.qlOISRateHelper(K51,2,C51,J51,$L$4,,Permanent,,ObjectOverwrite)</f>
        <v>USD_YCONRH_OIS15Y#0001</v>
      </c>
      <c r="M51" s="93" t="str">
        <f>_xll.ohRangeRetrieveError(L51)</f>
        <v/>
      </c>
      <c r="N51" s="159"/>
      <c r="P51" s="161"/>
      <c r="Q51" s="161"/>
    </row>
    <row r="52" spans="1:17" x14ac:dyDescent="0.2">
      <c r="A52" s="92"/>
      <c r="B52" s="167"/>
      <c r="C52" s="166" t="s">
        <v>14</v>
      </c>
      <c r="D52" s="167" t="s">
        <v>73</v>
      </c>
      <c r="E52" s="166" t="str">
        <f t="shared" si="7"/>
        <v>20Y</v>
      </c>
      <c r="F52" s="165" t="s">
        <v>164</v>
      </c>
      <c r="G52" s="165" t="s">
        <v>157</v>
      </c>
      <c r="H52" s="165">
        <f t="shared" si="4"/>
        <v>0</v>
      </c>
      <c r="I52" s="164">
        <v>0</v>
      </c>
      <c r="J52" s="163" t="str">
        <f t="shared" si="5"/>
        <v>USDOIS20Y_Quote</v>
      </c>
      <c r="K52" s="163" t="str">
        <f t="shared" si="6"/>
        <v>USD_YCONRH_OIS20Y</v>
      </c>
      <c r="L52" s="162" t="str">
        <f>_xll.qlOISRateHelper(K52,2,C52,J52,$L$4,,Permanent,,ObjectOverwrite)</f>
        <v>USD_YCONRH_OIS20Y#0001</v>
      </c>
      <c r="M52" s="93" t="str">
        <f>_xll.ohRangeRetrieveError(L52)</f>
        <v/>
      </c>
      <c r="N52" s="159"/>
      <c r="P52" s="161"/>
      <c r="Q52" s="161"/>
    </row>
    <row r="53" spans="1:17" x14ac:dyDescent="0.2">
      <c r="A53" s="92"/>
      <c r="B53" s="167"/>
      <c r="C53" s="166" t="s">
        <v>9</v>
      </c>
      <c r="D53" s="167" t="s">
        <v>73</v>
      </c>
      <c r="E53" s="166" t="str">
        <f t="shared" si="7"/>
        <v>25Y</v>
      </c>
      <c r="F53" s="165" t="s">
        <v>164</v>
      </c>
      <c r="G53" s="165" t="s">
        <v>157</v>
      </c>
      <c r="H53" s="165">
        <f t="shared" si="4"/>
        <v>0</v>
      </c>
      <c r="I53" s="164">
        <v>0</v>
      </c>
      <c r="J53" s="163" t="str">
        <f t="shared" si="5"/>
        <v>USDOIS25Y_Quote</v>
      </c>
      <c r="K53" s="163" t="str">
        <f t="shared" si="6"/>
        <v>USD_YCONRH_OIS25Y</v>
      </c>
      <c r="L53" s="162" t="str">
        <f>_xll.qlOISRateHelper(K53,2,C53,J53,$L$4,,Permanent,,ObjectOverwrite)</f>
        <v>USD_YCONRH_OIS25Y#0001</v>
      </c>
      <c r="M53" s="93" t="str">
        <f>_xll.ohRangeRetrieveError(L53)</f>
        <v/>
      </c>
      <c r="N53" s="159"/>
      <c r="P53" s="161"/>
      <c r="Q53" s="161"/>
    </row>
    <row r="54" spans="1:17" x14ac:dyDescent="0.2">
      <c r="A54" s="92"/>
      <c r="B54" s="167"/>
      <c r="C54" s="166" t="s">
        <v>7</v>
      </c>
      <c r="D54" s="167" t="s">
        <v>73</v>
      </c>
      <c r="E54" s="166" t="str">
        <f t="shared" si="7"/>
        <v>27Y</v>
      </c>
      <c r="F54" s="165" t="s">
        <v>164</v>
      </c>
      <c r="G54" s="165" t="s">
        <v>157</v>
      </c>
      <c r="H54" s="165">
        <f t="shared" si="4"/>
        <v>0</v>
      </c>
      <c r="I54" s="164">
        <v>0</v>
      </c>
      <c r="J54" s="163" t="str">
        <f t="shared" si="5"/>
        <v>USDOIS27Y_Quote</v>
      </c>
      <c r="K54" s="163" t="str">
        <f t="shared" si="6"/>
        <v>USD_YCONRH_OIS27Y</v>
      </c>
      <c r="L54" s="162" t="str">
        <f>_xll.qlOISRateHelper(K54,2,C54,J54,$L$4,,Permanent,,ObjectOverwrite)</f>
        <v>USD_YCONRH_OIS27Y#0001</v>
      </c>
      <c r="M54" s="93" t="str">
        <f>_xll.ohRangeRetrieveError(L54)</f>
        <v/>
      </c>
      <c r="N54" s="159"/>
      <c r="P54" s="161"/>
      <c r="Q54" s="161"/>
    </row>
    <row r="55" spans="1:17" x14ac:dyDescent="0.2">
      <c r="A55" s="92"/>
      <c r="B55" s="167"/>
      <c r="C55" s="166" t="s">
        <v>4</v>
      </c>
      <c r="D55" s="167" t="s">
        <v>73</v>
      </c>
      <c r="E55" s="166" t="str">
        <f t="shared" si="7"/>
        <v>30Y</v>
      </c>
      <c r="F55" s="165" t="s">
        <v>164</v>
      </c>
      <c r="G55" s="165" t="s">
        <v>157</v>
      </c>
      <c r="H55" s="165">
        <f t="shared" si="4"/>
        <v>0</v>
      </c>
      <c r="I55" s="164">
        <v>0</v>
      </c>
      <c r="J55" s="163" t="str">
        <f t="shared" si="5"/>
        <v>USDOIS30Y_Quote</v>
      </c>
      <c r="K55" s="163" t="str">
        <f t="shared" si="6"/>
        <v>USD_YCONRH_OIS30Y</v>
      </c>
      <c r="L55" s="162" t="str">
        <f>_xll.qlOISRateHelper(K55,2,C55,J55,$L$4,,Permanent,,ObjectOverwrite)</f>
        <v>USD_YCONRH_OIS30Y#0001</v>
      </c>
      <c r="M55" s="93" t="str">
        <f>_xll.ohRangeRetrieveError(L55)</f>
        <v/>
      </c>
      <c r="N55" s="159"/>
      <c r="P55" s="161"/>
      <c r="Q55" s="161"/>
    </row>
    <row r="56" spans="1:17" x14ac:dyDescent="0.2">
      <c r="A56" s="92"/>
      <c r="B56" s="167"/>
      <c r="C56" s="166" t="s">
        <v>3</v>
      </c>
      <c r="D56" s="167" t="s">
        <v>73</v>
      </c>
      <c r="E56" s="166" t="str">
        <f t="shared" si="7"/>
        <v>35Y</v>
      </c>
      <c r="F56" s="165" t="s">
        <v>164</v>
      </c>
      <c r="G56" s="165" t="s">
        <v>157</v>
      </c>
      <c r="H56" s="165">
        <f t="shared" si="4"/>
        <v>0</v>
      </c>
      <c r="I56" s="164">
        <v>0</v>
      </c>
      <c r="J56" s="163" t="str">
        <f t="shared" si="5"/>
        <v>USDOIS35Y_Quote</v>
      </c>
      <c r="K56" s="163" t="str">
        <f t="shared" si="6"/>
        <v>USD_YCONRH_OIS35Y</v>
      </c>
      <c r="L56" s="162" t="str">
        <f>_xll.qlOISRateHelper(K56,2,C56,J56,$L$4,,Permanent,,ObjectOverwrite)</f>
        <v>USD_YCONRH_OIS35Y#0001</v>
      </c>
      <c r="M56" s="93" t="str">
        <f>_xll.ohRangeRetrieveError(L56)</f>
        <v/>
      </c>
      <c r="N56" s="159"/>
      <c r="P56" s="161"/>
      <c r="Q56" s="161"/>
    </row>
    <row r="57" spans="1:17" x14ac:dyDescent="0.2">
      <c r="A57" s="92"/>
      <c r="B57" s="167"/>
      <c r="C57" s="166" t="s">
        <v>2</v>
      </c>
      <c r="D57" s="167" t="s">
        <v>73</v>
      </c>
      <c r="E57" s="166" t="str">
        <f t="shared" si="7"/>
        <v>40Y</v>
      </c>
      <c r="F57" s="165" t="s">
        <v>164</v>
      </c>
      <c r="G57" s="165" t="s">
        <v>157</v>
      </c>
      <c r="H57" s="165">
        <f t="shared" si="4"/>
        <v>0</v>
      </c>
      <c r="I57" s="164">
        <v>0</v>
      </c>
      <c r="J57" s="163" t="str">
        <f t="shared" si="5"/>
        <v>USDOIS40Y_Quote</v>
      </c>
      <c r="K57" s="163" t="str">
        <f t="shared" si="6"/>
        <v>USD_YCONRH_OIS40Y</v>
      </c>
      <c r="L57" s="162" t="str">
        <f>_xll.qlOISRateHelper(K57,2,C57,J57,$L$4,,Permanent,,ObjectOverwrite)</f>
        <v>USD_YCONRH_OIS40Y#0001</v>
      </c>
      <c r="M57" s="93" t="str">
        <f>_xll.ohRangeRetrieveError(L57)</f>
        <v/>
      </c>
      <c r="N57" s="159"/>
      <c r="P57" s="161"/>
      <c r="Q57" s="161"/>
    </row>
    <row r="58" spans="1:17" x14ac:dyDescent="0.2">
      <c r="A58" s="92"/>
      <c r="B58" s="167"/>
      <c r="C58" s="166" t="s">
        <v>37</v>
      </c>
      <c r="D58" s="167" t="s">
        <v>73</v>
      </c>
      <c r="E58" s="166" t="str">
        <f t="shared" si="7"/>
        <v>45Y</v>
      </c>
      <c r="F58" s="165" t="s">
        <v>164</v>
      </c>
      <c r="G58" s="165" t="s">
        <v>157</v>
      </c>
      <c r="H58" s="165">
        <f t="shared" si="4"/>
        <v>0</v>
      </c>
      <c r="I58" s="164">
        <v>0</v>
      </c>
      <c r="J58" s="163" t="str">
        <f t="shared" si="5"/>
        <v>USDOIS45Y_Quote</v>
      </c>
      <c r="K58" s="163" t="str">
        <f t="shared" si="6"/>
        <v>USD_YCONRH_OIS45Y</v>
      </c>
      <c r="L58" s="162" t="str">
        <f>_xll.qlOISRateHelper(K58,2,C58,J58,$L$4,,Permanent,,ObjectOverwrite)</f>
        <v>USD_YCONRH_OIS45Y#0001</v>
      </c>
      <c r="M58" s="93" t="str">
        <f>_xll.ohRangeRetrieveError(L58)</f>
        <v/>
      </c>
      <c r="N58" s="159"/>
      <c r="P58" s="161"/>
      <c r="Q58" s="161"/>
    </row>
    <row r="59" spans="1:17" x14ac:dyDescent="0.2">
      <c r="A59" s="92"/>
      <c r="B59" s="167"/>
      <c r="C59" s="166" t="s">
        <v>1</v>
      </c>
      <c r="D59" s="167" t="s">
        <v>73</v>
      </c>
      <c r="E59" s="166" t="str">
        <f t="shared" si="7"/>
        <v>50Y</v>
      </c>
      <c r="F59" s="165" t="s">
        <v>164</v>
      </c>
      <c r="G59" s="165" t="s">
        <v>157</v>
      </c>
      <c r="H59" s="165">
        <f t="shared" si="4"/>
        <v>0</v>
      </c>
      <c r="I59" s="164">
        <v>0</v>
      </c>
      <c r="J59" s="163" t="str">
        <f t="shared" si="5"/>
        <v>USDOIS50Y_Quote</v>
      </c>
      <c r="K59" s="163" t="str">
        <f t="shared" si="6"/>
        <v>USD_YCONRH_OIS50Y</v>
      </c>
      <c r="L59" s="162" t="str">
        <f>_xll.qlOISRateHelper(K59,2,C59,J59,$L$4,,Permanent,,ObjectOverwrite)</f>
        <v>USD_YCONRH_OIS50Y#0001</v>
      </c>
      <c r="M59" s="93" t="str">
        <f>_xll.ohRangeRetrieveError(L59)</f>
        <v/>
      </c>
      <c r="N59" s="159"/>
      <c r="P59" s="161">
        <f>_xll.qlRateHelperEarliestDate(L59)</f>
        <v>41767</v>
      </c>
      <c r="Q59" s="161">
        <f>_xll.qlRateHelperLatestDate($L59)</f>
        <v>60030</v>
      </c>
    </row>
    <row r="60" spans="1:17" x14ac:dyDescent="0.2">
      <c r="A60" s="92"/>
      <c r="B60" s="15"/>
      <c r="C60" s="15"/>
      <c r="D60" s="15"/>
      <c r="E60" s="15"/>
      <c r="F60" s="6"/>
      <c r="G60" s="6"/>
      <c r="H60" s="6"/>
      <c r="I60" s="39"/>
      <c r="J60" s="160"/>
      <c r="K60" s="160"/>
      <c r="L60" s="160"/>
      <c r="M60" s="160"/>
      <c r="N60" s="159"/>
      <c r="P60" s="161"/>
      <c r="Q60" s="161"/>
    </row>
    <row r="61" spans="1:17" x14ac:dyDescent="0.2">
      <c r="A61" s="92"/>
      <c r="B61" s="168">
        <f>_xll.qlECBdate(E61,,Trigger)</f>
        <v>41402</v>
      </c>
      <c r="C61" s="166"/>
      <c r="D61" s="167" t="s">
        <v>165</v>
      </c>
      <c r="E61" s="166" t="str">
        <f>_xll.qlECBNextCode(_xll.qlSettingsEvaluationDate(Trigger)-365)</f>
        <v>MAY13</v>
      </c>
      <c r="F61" s="165" t="s">
        <v>164</v>
      </c>
      <c r="G61" s="165" t="s">
        <v>163</v>
      </c>
      <c r="H61" s="165">
        <f t="shared" ref="H61:H95" si="8">DayCounter</f>
        <v>0</v>
      </c>
      <c r="I61" s="164">
        <v>0</v>
      </c>
      <c r="J61" s="163" t="str">
        <f t="shared" ref="J61:J95" si="9">Currency&amp;$D61&amp;$E61&amp;QuoteSuffix</f>
        <v>USDECBOISMAY13_Quote</v>
      </c>
      <c r="K61" s="163" t="str">
        <f t="shared" ref="K61:K95" si="10">$K$2&amp;"_"&amp;$D61&amp;$E61</f>
        <v>USD_YCONRH_ECBOISMAY13</v>
      </c>
      <c r="L61" s="162" t="e">
        <f>_xll.qlDatedOISRateHelper(K61,B61,B62,J61,$L$4,,Permanent,,ObjectOverwrite)</f>
        <v>#NUM!</v>
      </c>
      <c r="M61" s="93" t="str">
        <f ca="1">_xll.ohRangeRetrieveError(L61)</f>
        <v>qlDatedOISRateHelper - Error converting parameter 'FixedRate' : 'ObjectHandler error: attempt to retrieve object with unknown ID 'USDECBOISMAY13_Quote'</v>
      </c>
      <c r="N61" s="159"/>
      <c r="P61" s="161" t="e">
        <f>_xll.qlRateHelperEarliestDate(L61)</f>
        <v>#VALUE!</v>
      </c>
      <c r="Q61" s="161" t="e">
        <f>_xll.qlRateHelperLatestDate($L61)</f>
        <v>#VALUE!</v>
      </c>
    </row>
    <row r="62" spans="1:17" x14ac:dyDescent="0.2">
      <c r="A62" s="92"/>
      <c r="B62" s="168">
        <f>_xll.qlECBdate(E62,,Trigger)</f>
        <v>41437</v>
      </c>
      <c r="C62" s="166"/>
      <c r="D62" s="167" t="s">
        <v>165</v>
      </c>
      <c r="E62" s="166" t="str">
        <f>_xll.qlECBNextCode(B61)</f>
        <v>JUN13</v>
      </c>
      <c r="F62" s="165" t="s">
        <v>164</v>
      </c>
      <c r="G62" s="165" t="s">
        <v>163</v>
      </c>
      <c r="H62" s="165">
        <f t="shared" si="8"/>
        <v>0</v>
      </c>
      <c r="I62" s="164">
        <v>0</v>
      </c>
      <c r="J62" s="163" t="str">
        <f t="shared" si="9"/>
        <v>USDECBOISJUN13_Quote</v>
      </c>
      <c r="K62" s="163" t="str">
        <f t="shared" si="10"/>
        <v>USD_YCONRH_ECBOISJUN13</v>
      </c>
      <c r="L62" s="162" t="e">
        <f>_xll.qlDatedOISRateHelper(K62,B62,B63,J62,$L$4,,Permanent,,ObjectOverwrite)</f>
        <v>#NUM!</v>
      </c>
      <c r="M62" s="93" t="str">
        <f ca="1">_xll.ohRangeRetrieveError(L62)</f>
        <v>qlDatedOISRateHelper - Error converting parameter 'FixedRate' : 'ObjectHandler error: attempt to retrieve object with unknown ID 'USDECBOISJUN13_Quote'</v>
      </c>
      <c r="N62" s="159"/>
      <c r="P62" s="161" t="e">
        <f>_xll.qlRateHelperEarliestDate(L62)</f>
        <v>#VALUE!</v>
      </c>
      <c r="Q62" s="161" t="e">
        <f>_xll.qlRateHelperLatestDate($L62)</f>
        <v>#VALUE!</v>
      </c>
    </row>
    <row r="63" spans="1:17" x14ac:dyDescent="0.2">
      <c r="A63" s="92"/>
      <c r="B63" s="168">
        <f>_xll.qlECBdate(E63,,Trigger)</f>
        <v>41465</v>
      </c>
      <c r="C63" s="166"/>
      <c r="D63" s="167" t="s">
        <v>165</v>
      </c>
      <c r="E63" s="166" t="str">
        <f>_xll.qlECBNextCode(B62)</f>
        <v>JUL13</v>
      </c>
      <c r="F63" s="165" t="s">
        <v>164</v>
      </c>
      <c r="G63" s="165" t="s">
        <v>163</v>
      </c>
      <c r="H63" s="165">
        <f t="shared" si="8"/>
        <v>0</v>
      </c>
      <c r="I63" s="164">
        <v>0</v>
      </c>
      <c r="J63" s="163" t="str">
        <f t="shared" si="9"/>
        <v>USDECBOISJUL13_Quote</v>
      </c>
      <c r="K63" s="163" t="str">
        <f t="shared" si="10"/>
        <v>USD_YCONRH_ECBOISJUL13</v>
      </c>
      <c r="L63" s="162" t="e">
        <f>_xll.qlDatedOISRateHelper(K63,B63,B64,J63,$L$4,,Permanent,,ObjectOverwrite)</f>
        <v>#NUM!</v>
      </c>
      <c r="M63" s="93" t="str">
        <f ca="1">_xll.ohRangeRetrieveError(L63)</f>
        <v>qlDatedOISRateHelper - Error converting parameter 'FixedRate' : 'ObjectHandler error: attempt to retrieve object with unknown ID 'USDECBOISJUL13_Quote'</v>
      </c>
      <c r="N63" s="159"/>
      <c r="P63" s="161" t="e">
        <f>_xll.qlRateHelperEarliestDate(L63)</f>
        <v>#VALUE!</v>
      </c>
      <c r="Q63" s="161" t="e">
        <f>_xll.qlRateHelperLatestDate($L63)</f>
        <v>#VALUE!</v>
      </c>
    </row>
    <row r="64" spans="1:17" x14ac:dyDescent="0.2">
      <c r="A64" s="92"/>
      <c r="B64" s="168">
        <f>_xll.qlECBdate(E64,,Trigger)</f>
        <v>41493</v>
      </c>
      <c r="C64" s="166"/>
      <c r="D64" s="167" t="s">
        <v>165</v>
      </c>
      <c r="E64" s="166" t="str">
        <f>_xll.qlECBNextCode(B63)</f>
        <v>AUG13</v>
      </c>
      <c r="F64" s="165" t="s">
        <v>164</v>
      </c>
      <c r="G64" s="165" t="s">
        <v>163</v>
      </c>
      <c r="H64" s="165">
        <f t="shared" si="8"/>
        <v>0</v>
      </c>
      <c r="I64" s="164">
        <v>0</v>
      </c>
      <c r="J64" s="163" t="str">
        <f t="shared" si="9"/>
        <v>USDECBOISAUG13_Quote</v>
      </c>
      <c r="K64" s="163" t="str">
        <f t="shared" si="10"/>
        <v>USD_YCONRH_ECBOISAUG13</v>
      </c>
      <c r="L64" s="162" t="e">
        <f>_xll.qlDatedOISRateHelper(K64,B64,B65,J64,$L$4,,Permanent,,ObjectOverwrite)</f>
        <v>#NUM!</v>
      </c>
      <c r="M64" s="93" t="str">
        <f ca="1">_xll.ohRangeRetrieveError(L64)</f>
        <v>qlDatedOISRateHelper - Error converting parameter 'FixedRate' : 'ObjectHandler error: attempt to retrieve object with unknown ID 'USDECBOISAUG13_Quote'</v>
      </c>
      <c r="N64" s="159"/>
      <c r="P64" s="161" t="e">
        <f>_xll.qlRateHelperEarliestDate(L64)</f>
        <v>#VALUE!</v>
      </c>
      <c r="Q64" s="161" t="e">
        <f>_xll.qlRateHelperLatestDate($L64)</f>
        <v>#VALUE!</v>
      </c>
    </row>
    <row r="65" spans="1:17" x14ac:dyDescent="0.2">
      <c r="A65" s="92"/>
      <c r="B65" s="168">
        <f>_xll.qlECBdate(E65,,Trigger)</f>
        <v>41528</v>
      </c>
      <c r="C65" s="166"/>
      <c r="D65" s="167" t="s">
        <v>165</v>
      </c>
      <c r="E65" s="166" t="str">
        <f>_xll.qlECBNextCode(B64)</f>
        <v>SEP13</v>
      </c>
      <c r="F65" s="165" t="s">
        <v>164</v>
      </c>
      <c r="G65" s="165" t="s">
        <v>163</v>
      </c>
      <c r="H65" s="165">
        <f t="shared" si="8"/>
        <v>0</v>
      </c>
      <c r="I65" s="164">
        <v>0</v>
      </c>
      <c r="J65" s="163" t="str">
        <f t="shared" si="9"/>
        <v>USDECBOISSEP13_Quote</v>
      </c>
      <c r="K65" s="163" t="str">
        <f t="shared" si="10"/>
        <v>USD_YCONRH_ECBOISSEP13</v>
      </c>
      <c r="L65" s="162" t="e">
        <f>_xll.qlDatedOISRateHelper(K65,B65,B66,J65,$L$4,,Permanent,,ObjectOverwrite)</f>
        <v>#NUM!</v>
      </c>
      <c r="M65" s="93" t="str">
        <f ca="1">_xll.ohRangeRetrieveError(L65)</f>
        <v>qlDatedOISRateHelper - Error converting parameter 'FixedRate' : 'ObjectHandler error: attempt to retrieve object with unknown ID 'USDECBOISSEP13_Quote'</v>
      </c>
      <c r="N65" s="159"/>
      <c r="P65" s="161" t="e">
        <f>_xll.qlRateHelperEarliestDate(L65)</f>
        <v>#VALUE!</v>
      </c>
      <c r="Q65" s="161" t="e">
        <f>_xll.qlRateHelperLatestDate($L65)</f>
        <v>#VALUE!</v>
      </c>
    </row>
    <row r="66" spans="1:17" x14ac:dyDescent="0.2">
      <c r="A66" s="92"/>
      <c r="B66" s="168">
        <f>_xll.qlECBdate(E66,,Trigger)</f>
        <v>41556</v>
      </c>
      <c r="C66" s="166"/>
      <c r="D66" s="167" t="s">
        <v>165</v>
      </c>
      <c r="E66" s="166" t="str">
        <f>_xll.qlECBNextCode(B65)</f>
        <v>OCT13</v>
      </c>
      <c r="F66" s="165" t="s">
        <v>164</v>
      </c>
      <c r="G66" s="165" t="s">
        <v>163</v>
      </c>
      <c r="H66" s="165">
        <f t="shared" si="8"/>
        <v>0</v>
      </c>
      <c r="I66" s="164">
        <v>0</v>
      </c>
      <c r="J66" s="163" t="str">
        <f t="shared" si="9"/>
        <v>USDECBOISOCT13_Quote</v>
      </c>
      <c r="K66" s="163" t="str">
        <f t="shared" si="10"/>
        <v>USD_YCONRH_ECBOISOCT13</v>
      </c>
      <c r="L66" s="162" t="e">
        <f>_xll.qlDatedOISRateHelper(K66,B66,B67,J66,$L$4,,Permanent,,ObjectOverwrite)</f>
        <v>#NUM!</v>
      </c>
      <c r="M66" s="93" t="str">
        <f ca="1">_xll.ohRangeRetrieveError(L66)</f>
        <v>qlDatedOISRateHelper - Error converting parameter 'FixedRate' : 'ObjectHandler error: attempt to retrieve object with unknown ID 'USDECBOISOCT13_Quote'</v>
      </c>
      <c r="N66" s="159"/>
      <c r="P66" s="161" t="e">
        <f>_xll.qlRateHelperEarliestDate(L66)</f>
        <v>#VALUE!</v>
      </c>
      <c r="Q66" s="161" t="e">
        <f>_xll.qlRateHelperLatestDate($L66)</f>
        <v>#VALUE!</v>
      </c>
    </row>
    <row r="67" spans="1:17" x14ac:dyDescent="0.2">
      <c r="A67" s="92"/>
      <c r="B67" s="168">
        <f>_xll.qlECBdate(E67,,Trigger)</f>
        <v>41591</v>
      </c>
      <c r="C67" s="166"/>
      <c r="D67" s="167" t="s">
        <v>165</v>
      </c>
      <c r="E67" s="166" t="str">
        <f>_xll.qlECBNextCode(B66)</f>
        <v>NOV13</v>
      </c>
      <c r="F67" s="165" t="s">
        <v>164</v>
      </c>
      <c r="G67" s="165" t="s">
        <v>163</v>
      </c>
      <c r="H67" s="165">
        <f t="shared" si="8"/>
        <v>0</v>
      </c>
      <c r="I67" s="164">
        <v>0</v>
      </c>
      <c r="J67" s="163" t="str">
        <f t="shared" si="9"/>
        <v>USDECBOISNOV13_Quote</v>
      </c>
      <c r="K67" s="163" t="str">
        <f t="shared" si="10"/>
        <v>USD_YCONRH_ECBOISNOV13</v>
      </c>
      <c r="L67" s="162" t="e">
        <f>_xll.qlDatedOISRateHelper(K67,B67,B68,J67,$L$4,,Permanent,,ObjectOverwrite)</f>
        <v>#NUM!</v>
      </c>
      <c r="M67" s="93" t="str">
        <f ca="1">_xll.ohRangeRetrieveError(L67)</f>
        <v>qlDatedOISRateHelper - Error converting parameter 'FixedRate' : 'ObjectHandler error: attempt to retrieve object with unknown ID 'USDECBOISNOV13_Quote'</v>
      </c>
      <c r="N67" s="159"/>
      <c r="P67" s="161" t="e">
        <f>_xll.qlRateHelperEarliestDate(L67)</f>
        <v>#VALUE!</v>
      </c>
      <c r="Q67" s="161" t="e">
        <f>_xll.qlRateHelperLatestDate($L67)</f>
        <v>#VALUE!</v>
      </c>
    </row>
    <row r="68" spans="1:17" x14ac:dyDescent="0.2">
      <c r="A68" s="92"/>
      <c r="B68" s="168">
        <f>_xll.qlECBdate(E68,,Trigger)</f>
        <v>41619</v>
      </c>
      <c r="C68" s="166"/>
      <c r="D68" s="167" t="s">
        <v>165</v>
      </c>
      <c r="E68" s="166" t="str">
        <f>_xll.qlECBNextCode(B67)</f>
        <v>DEC13</v>
      </c>
      <c r="F68" s="165" t="s">
        <v>164</v>
      </c>
      <c r="G68" s="165" t="s">
        <v>163</v>
      </c>
      <c r="H68" s="165">
        <f t="shared" si="8"/>
        <v>0</v>
      </c>
      <c r="I68" s="164">
        <v>0</v>
      </c>
      <c r="J68" s="163" t="str">
        <f t="shared" si="9"/>
        <v>USDECBOISDEC13_Quote</v>
      </c>
      <c r="K68" s="163" t="str">
        <f t="shared" si="10"/>
        <v>USD_YCONRH_ECBOISDEC13</v>
      </c>
      <c r="L68" s="162" t="e">
        <f>_xll.qlDatedOISRateHelper(K68,B68,B69,J68,$L$4,,Permanent,,ObjectOverwrite)</f>
        <v>#NUM!</v>
      </c>
      <c r="M68" s="93" t="str">
        <f ca="1">_xll.ohRangeRetrieveError(L68)</f>
        <v>qlDatedOISRateHelper - Error converting parameter 'EndDate' : 'unable to convert type 'struct ObjectHandler::empty_property_tag' to type 'QuantLib::Date'</v>
      </c>
      <c r="N68" s="159"/>
      <c r="P68" s="161" t="e">
        <f>_xll.qlRateHelperEarliestDate(L68)</f>
        <v>#VALUE!</v>
      </c>
      <c r="Q68" s="161" t="e">
        <f>_xll.qlRateHelperLatestDate($L68)</f>
        <v>#VALUE!</v>
      </c>
    </row>
    <row r="69" spans="1:17" x14ac:dyDescent="0.2">
      <c r="A69" s="92"/>
      <c r="B69" s="168" t="e">
        <f>_xll.qlECBdate(E69,,Trigger)</f>
        <v>#VALUE!</v>
      </c>
      <c r="C69" s="166"/>
      <c r="D69" s="167" t="s">
        <v>165</v>
      </c>
      <c r="E69" s="166" t="e">
        <f>_xll.qlECBNextCode(B68)</f>
        <v>#NUM!</v>
      </c>
      <c r="F69" s="165" t="s">
        <v>164</v>
      </c>
      <c r="G69" s="165" t="s">
        <v>163</v>
      </c>
      <c r="H69" s="165">
        <f t="shared" si="8"/>
        <v>0</v>
      </c>
      <c r="I69" s="164">
        <v>0</v>
      </c>
      <c r="J69" s="163" t="e">
        <f t="shared" si="9"/>
        <v>#NUM!</v>
      </c>
      <c r="K69" s="163" t="e">
        <f t="shared" si="10"/>
        <v>#NUM!</v>
      </c>
      <c r="L69" s="162" t="e">
        <f>_xll.qlDatedOISRateHelper(K69,B69,B70,J69,$L$4,Permanent,,ObjectOverwrite)</f>
        <v>#VALUE!</v>
      </c>
      <c r="M69" s="93" t="str">
        <f ca="1">_xll.ohRangeRetrieveError(L69)</f>
        <v/>
      </c>
      <c r="N69" s="159"/>
      <c r="P69" s="161" t="e">
        <f>_xll.qlRateHelperEarliestDate(L69)</f>
        <v>#VALUE!</v>
      </c>
      <c r="Q69" s="161" t="e">
        <f>_xll.qlRateHelperLatestDate($L69)</f>
        <v>#VALUE!</v>
      </c>
    </row>
    <row r="70" spans="1:17" x14ac:dyDescent="0.2">
      <c r="A70" s="92"/>
      <c r="B70" s="168" t="e">
        <f>_xll.qlECBdate(E70,,Trigger)</f>
        <v>#VALUE!</v>
      </c>
      <c r="C70" s="166"/>
      <c r="D70" s="167" t="s">
        <v>165</v>
      </c>
      <c r="E70" s="166" t="e">
        <f>_xll.qlECBNextCode(B69)</f>
        <v>#NUM!</v>
      </c>
      <c r="F70" s="165" t="s">
        <v>164</v>
      </c>
      <c r="G70" s="165" t="s">
        <v>163</v>
      </c>
      <c r="H70" s="165">
        <f t="shared" si="8"/>
        <v>0</v>
      </c>
      <c r="I70" s="164">
        <v>0</v>
      </c>
      <c r="J70" s="163" t="e">
        <f t="shared" si="9"/>
        <v>#NUM!</v>
      </c>
      <c r="K70" s="163" t="e">
        <f t="shared" si="10"/>
        <v>#NUM!</v>
      </c>
      <c r="L70" s="162" t="e">
        <f>_xll.qlDatedOISRateHelper(K70,B70,B71,J70,$L$4,Permanent,,ObjectOverwrite)</f>
        <v>#VALUE!</v>
      </c>
      <c r="M70" s="93" t="str">
        <f ca="1">_xll.ohRangeRetrieveError(L70)</f>
        <v/>
      </c>
      <c r="N70" s="159"/>
      <c r="P70" s="161" t="e">
        <f>_xll.qlRateHelperEarliestDate(L70)</f>
        <v>#VALUE!</v>
      </c>
      <c r="Q70" s="161" t="e">
        <f>_xll.qlRateHelperLatestDate($L70)</f>
        <v>#VALUE!</v>
      </c>
    </row>
    <row r="71" spans="1:17" x14ac:dyDescent="0.2">
      <c r="A71" s="92"/>
      <c r="B71" s="168" t="e">
        <f>_xll.qlECBdate(E71,,Trigger)</f>
        <v>#VALUE!</v>
      </c>
      <c r="C71" s="166"/>
      <c r="D71" s="167" t="s">
        <v>165</v>
      </c>
      <c r="E71" s="166" t="e">
        <f>_xll.qlECBNextCode(B70)</f>
        <v>#NUM!</v>
      </c>
      <c r="F71" s="165" t="s">
        <v>164</v>
      </c>
      <c r="G71" s="165" t="s">
        <v>163</v>
      </c>
      <c r="H71" s="165">
        <f t="shared" si="8"/>
        <v>0</v>
      </c>
      <c r="I71" s="164">
        <v>0</v>
      </c>
      <c r="J71" s="163" t="e">
        <f t="shared" si="9"/>
        <v>#NUM!</v>
      </c>
      <c r="K71" s="163" t="e">
        <f t="shared" si="10"/>
        <v>#NUM!</v>
      </c>
      <c r="L71" s="162" t="e">
        <f>_xll.qlDatedOISRateHelper(K71,B71,B72,J71,$L$4,Permanent,,ObjectOverwrite)</f>
        <v>#VALUE!</v>
      </c>
      <c r="M71" s="93" t="str">
        <f ca="1">_xll.ohRangeRetrieveError(L71)</f>
        <v/>
      </c>
      <c r="N71" s="159"/>
      <c r="P71" s="161" t="e">
        <f>_xll.qlRateHelperEarliestDate(L71)</f>
        <v>#VALUE!</v>
      </c>
      <c r="Q71" s="161" t="e">
        <f>_xll.qlRateHelperLatestDate($L71)</f>
        <v>#VALUE!</v>
      </c>
    </row>
    <row r="72" spans="1:17" x14ac:dyDescent="0.2">
      <c r="A72" s="92"/>
      <c r="B72" s="168" t="e">
        <f>_xll.qlECBdate(E72,,Trigger)</f>
        <v>#VALUE!</v>
      </c>
      <c r="C72" s="166"/>
      <c r="D72" s="167" t="s">
        <v>165</v>
      </c>
      <c r="E72" s="166" t="e">
        <f>_xll.qlECBNextCode(B71)</f>
        <v>#NUM!</v>
      </c>
      <c r="F72" s="165" t="s">
        <v>164</v>
      </c>
      <c r="G72" s="165" t="s">
        <v>163</v>
      </c>
      <c r="H72" s="165">
        <f t="shared" si="8"/>
        <v>0</v>
      </c>
      <c r="I72" s="164">
        <v>0</v>
      </c>
      <c r="J72" s="163" t="e">
        <f t="shared" si="9"/>
        <v>#NUM!</v>
      </c>
      <c r="K72" s="163" t="e">
        <f t="shared" si="10"/>
        <v>#NUM!</v>
      </c>
      <c r="L72" s="162" t="e">
        <f>_xll.qlDatedOISRateHelper(K72,B72,B73,J72,$L$4,Permanent,,ObjectOverwrite)</f>
        <v>#VALUE!</v>
      </c>
      <c r="M72" s="93" t="str">
        <f ca="1">_xll.ohRangeRetrieveError(L72)</f>
        <v/>
      </c>
      <c r="N72" s="159"/>
      <c r="P72" s="161" t="e">
        <f>_xll.qlRateHelperEarliestDate(L72)</f>
        <v>#VALUE!</v>
      </c>
      <c r="Q72" s="161" t="e">
        <f>_xll.qlRateHelperLatestDate($L72)</f>
        <v>#VALUE!</v>
      </c>
    </row>
    <row r="73" spans="1:17" x14ac:dyDescent="0.2">
      <c r="A73" s="92"/>
      <c r="B73" s="168" t="e">
        <f>_xll.qlECBdate(E73,,Trigger)</f>
        <v>#VALUE!</v>
      </c>
      <c r="C73" s="166"/>
      <c r="D73" s="167" t="s">
        <v>165</v>
      </c>
      <c r="E73" s="166" t="e">
        <f>_xll.qlECBNextCode(B72)</f>
        <v>#NUM!</v>
      </c>
      <c r="F73" s="165" t="s">
        <v>164</v>
      </c>
      <c r="G73" s="165" t="s">
        <v>163</v>
      </c>
      <c r="H73" s="165">
        <f t="shared" si="8"/>
        <v>0</v>
      </c>
      <c r="I73" s="164">
        <v>0</v>
      </c>
      <c r="J73" s="163" t="e">
        <f t="shared" si="9"/>
        <v>#NUM!</v>
      </c>
      <c r="K73" s="163" t="e">
        <f t="shared" si="10"/>
        <v>#NUM!</v>
      </c>
      <c r="L73" s="162" t="e">
        <f>_xll.qlDatedOISRateHelper(K73,B73,B74,J73,$L$4,Permanent,,ObjectOverwrite)</f>
        <v>#VALUE!</v>
      </c>
      <c r="M73" s="93" t="str">
        <f ca="1">_xll.ohRangeRetrieveError(L73)</f>
        <v/>
      </c>
      <c r="N73" s="159"/>
      <c r="P73" s="161" t="e">
        <f>_xll.qlRateHelperEarliestDate(L73)</f>
        <v>#VALUE!</v>
      </c>
      <c r="Q73" s="161" t="e">
        <f>_xll.qlRateHelperLatestDate($L73)</f>
        <v>#VALUE!</v>
      </c>
    </row>
    <row r="74" spans="1:17" x14ac:dyDescent="0.2">
      <c r="A74" s="92"/>
      <c r="B74" s="168" t="e">
        <f>_xll.qlECBdate(E74,,Trigger)</f>
        <v>#VALUE!</v>
      </c>
      <c r="C74" s="166"/>
      <c r="D74" s="167" t="s">
        <v>165</v>
      </c>
      <c r="E74" s="166" t="e">
        <f>_xll.qlECBNextCode(B73)</f>
        <v>#NUM!</v>
      </c>
      <c r="F74" s="165" t="s">
        <v>164</v>
      </c>
      <c r="G74" s="165" t="s">
        <v>163</v>
      </c>
      <c r="H74" s="165">
        <f t="shared" si="8"/>
        <v>0</v>
      </c>
      <c r="I74" s="164">
        <v>0</v>
      </c>
      <c r="J74" s="163" t="e">
        <f t="shared" si="9"/>
        <v>#NUM!</v>
      </c>
      <c r="K74" s="163" t="e">
        <f t="shared" si="10"/>
        <v>#NUM!</v>
      </c>
      <c r="L74" s="162" t="e">
        <f>_xll.qlDatedOISRateHelper(K74,B74,B75,J74,$L$4,Permanent,,ObjectOverwrite)</f>
        <v>#VALUE!</v>
      </c>
      <c r="M74" s="93" t="str">
        <f ca="1">_xll.ohRangeRetrieveError(L74)</f>
        <v/>
      </c>
      <c r="N74" s="159"/>
      <c r="P74" s="161" t="e">
        <f>_xll.qlRateHelperEarliestDate(L74)</f>
        <v>#VALUE!</v>
      </c>
      <c r="Q74" s="161" t="e">
        <f>_xll.qlRateHelperLatestDate($L74)</f>
        <v>#VALUE!</v>
      </c>
    </row>
    <row r="75" spans="1:17" x14ac:dyDescent="0.2">
      <c r="A75" s="92"/>
      <c r="B75" s="168" t="e">
        <f>_xll.qlECBdate(E75,,Trigger)</f>
        <v>#VALUE!</v>
      </c>
      <c r="C75" s="166"/>
      <c r="D75" s="167" t="s">
        <v>165</v>
      </c>
      <c r="E75" s="166" t="e">
        <f>_xll.qlECBNextCode(B74)</f>
        <v>#NUM!</v>
      </c>
      <c r="F75" s="165" t="s">
        <v>164</v>
      </c>
      <c r="G75" s="165" t="s">
        <v>163</v>
      </c>
      <c r="H75" s="165">
        <f t="shared" si="8"/>
        <v>0</v>
      </c>
      <c r="I75" s="164">
        <v>0</v>
      </c>
      <c r="J75" s="163" t="e">
        <f t="shared" si="9"/>
        <v>#NUM!</v>
      </c>
      <c r="K75" s="163" t="e">
        <f t="shared" si="10"/>
        <v>#NUM!</v>
      </c>
      <c r="L75" s="162" t="e">
        <f>_xll.qlDatedOISRateHelper(K75,B75,B76,J75,$L$4,Permanent,,ObjectOverwrite)</f>
        <v>#VALUE!</v>
      </c>
      <c r="M75" s="93" t="str">
        <f ca="1">_xll.ohRangeRetrieveError(L75)</f>
        <v/>
      </c>
      <c r="N75" s="159"/>
      <c r="P75" s="161" t="e">
        <f>_xll.qlRateHelperEarliestDate(L75)</f>
        <v>#VALUE!</v>
      </c>
      <c r="Q75" s="161" t="e">
        <f>_xll.qlRateHelperLatestDate($L75)</f>
        <v>#VALUE!</v>
      </c>
    </row>
    <row r="76" spans="1:17" x14ac:dyDescent="0.2">
      <c r="A76" s="92"/>
      <c r="B76" s="168" t="e">
        <f>_xll.qlECBdate(E76,,Trigger)</f>
        <v>#VALUE!</v>
      </c>
      <c r="C76" s="166"/>
      <c r="D76" s="167" t="s">
        <v>165</v>
      </c>
      <c r="E76" s="166" t="e">
        <f>_xll.qlECBNextCode(B75)</f>
        <v>#NUM!</v>
      </c>
      <c r="F76" s="165" t="s">
        <v>164</v>
      </c>
      <c r="G76" s="165" t="s">
        <v>163</v>
      </c>
      <c r="H76" s="165">
        <f t="shared" si="8"/>
        <v>0</v>
      </c>
      <c r="I76" s="164">
        <v>0</v>
      </c>
      <c r="J76" s="163" t="e">
        <f t="shared" si="9"/>
        <v>#NUM!</v>
      </c>
      <c r="K76" s="163" t="e">
        <f t="shared" si="10"/>
        <v>#NUM!</v>
      </c>
      <c r="L76" s="162" t="e">
        <f>_xll.qlDatedOISRateHelper(K76,B76,B77,J76,$L$4,Permanent,,ObjectOverwrite)</f>
        <v>#VALUE!</v>
      </c>
      <c r="M76" s="93" t="str">
        <f ca="1">_xll.ohRangeRetrieveError(L76)</f>
        <v/>
      </c>
      <c r="N76" s="159"/>
      <c r="P76" s="161" t="e">
        <f>_xll.qlRateHelperEarliestDate(L76)</f>
        <v>#VALUE!</v>
      </c>
      <c r="Q76" s="161" t="e">
        <f>_xll.qlRateHelperLatestDate($L76)</f>
        <v>#VALUE!</v>
      </c>
    </row>
    <row r="77" spans="1:17" x14ac:dyDescent="0.2">
      <c r="A77" s="92"/>
      <c r="B77" s="168" t="e">
        <f>_xll.qlECBdate(E77,,Trigger)</f>
        <v>#VALUE!</v>
      </c>
      <c r="C77" s="166"/>
      <c r="D77" s="167" t="s">
        <v>165</v>
      </c>
      <c r="E77" s="166" t="e">
        <f>_xll.qlECBNextCode(B76)</f>
        <v>#NUM!</v>
      </c>
      <c r="F77" s="165" t="s">
        <v>164</v>
      </c>
      <c r="G77" s="165" t="s">
        <v>163</v>
      </c>
      <c r="H77" s="165">
        <f t="shared" si="8"/>
        <v>0</v>
      </c>
      <c r="I77" s="164">
        <v>0</v>
      </c>
      <c r="J77" s="163" t="e">
        <f t="shared" si="9"/>
        <v>#NUM!</v>
      </c>
      <c r="K77" s="163" t="e">
        <f t="shared" si="10"/>
        <v>#NUM!</v>
      </c>
      <c r="L77" s="162" t="e">
        <f>_xll.qlDatedOISRateHelper(K77,B77,B78,J77,$L$4,Permanent,,ObjectOverwrite)</f>
        <v>#VALUE!</v>
      </c>
      <c r="M77" s="93" t="str">
        <f ca="1">_xll.ohRangeRetrieveError(L77)</f>
        <v/>
      </c>
      <c r="N77" s="159"/>
      <c r="P77" s="161" t="e">
        <f>_xll.qlRateHelperEarliestDate(L77)</f>
        <v>#VALUE!</v>
      </c>
      <c r="Q77" s="161" t="e">
        <f>_xll.qlRateHelperLatestDate($L77)</f>
        <v>#VALUE!</v>
      </c>
    </row>
    <row r="78" spans="1:17" x14ac:dyDescent="0.2">
      <c r="A78" s="92"/>
      <c r="B78" s="168" t="e">
        <f>_xll.qlECBdate(E78,,Trigger)</f>
        <v>#VALUE!</v>
      </c>
      <c r="C78" s="166"/>
      <c r="D78" s="167" t="s">
        <v>165</v>
      </c>
      <c r="E78" s="166" t="e">
        <f>_xll.qlECBNextCode(B77)</f>
        <v>#NUM!</v>
      </c>
      <c r="F78" s="165" t="s">
        <v>164</v>
      </c>
      <c r="G78" s="165" t="s">
        <v>163</v>
      </c>
      <c r="H78" s="165">
        <f t="shared" si="8"/>
        <v>0</v>
      </c>
      <c r="I78" s="164">
        <v>0</v>
      </c>
      <c r="J78" s="163" t="e">
        <f t="shared" si="9"/>
        <v>#NUM!</v>
      </c>
      <c r="K78" s="163" t="e">
        <f t="shared" si="10"/>
        <v>#NUM!</v>
      </c>
      <c r="L78" s="162" t="e">
        <f>_xll.qlDatedOISRateHelper(K78,B78,B79,J78,$L$4,Permanent,,ObjectOverwrite)</f>
        <v>#VALUE!</v>
      </c>
      <c r="M78" s="93" t="str">
        <f ca="1">_xll.ohRangeRetrieveError(L78)</f>
        <v/>
      </c>
      <c r="N78" s="159"/>
      <c r="P78" s="161" t="e">
        <f>_xll.qlRateHelperEarliestDate(L78)</f>
        <v>#VALUE!</v>
      </c>
      <c r="Q78" s="161" t="e">
        <f>_xll.qlRateHelperLatestDate($L78)</f>
        <v>#VALUE!</v>
      </c>
    </row>
    <row r="79" spans="1:17" x14ac:dyDescent="0.2">
      <c r="A79" s="92"/>
      <c r="B79" s="168" t="e">
        <f>_xll.qlECBdate(E79,,Trigger)</f>
        <v>#VALUE!</v>
      </c>
      <c r="C79" s="166"/>
      <c r="D79" s="167" t="s">
        <v>165</v>
      </c>
      <c r="E79" s="166" t="e">
        <f>_xll.qlECBNextCode(B78)</f>
        <v>#NUM!</v>
      </c>
      <c r="F79" s="165" t="s">
        <v>164</v>
      </c>
      <c r="G79" s="165" t="s">
        <v>163</v>
      </c>
      <c r="H79" s="165">
        <f t="shared" si="8"/>
        <v>0</v>
      </c>
      <c r="I79" s="164">
        <v>0</v>
      </c>
      <c r="J79" s="163" t="e">
        <f t="shared" si="9"/>
        <v>#NUM!</v>
      </c>
      <c r="K79" s="163" t="e">
        <f t="shared" si="10"/>
        <v>#NUM!</v>
      </c>
      <c r="L79" s="162" t="e">
        <f>_xll.qlDatedOISRateHelper(K79,B79,B80,J79,$L$4,Permanent,,ObjectOverwrite)</f>
        <v>#VALUE!</v>
      </c>
      <c r="M79" s="93" t="str">
        <f ca="1">_xll.ohRangeRetrieveError(L79)</f>
        <v/>
      </c>
      <c r="N79" s="159"/>
      <c r="P79" s="161" t="e">
        <f>_xll.qlRateHelperEarliestDate(L79)</f>
        <v>#VALUE!</v>
      </c>
      <c r="Q79" s="161" t="e">
        <f>_xll.qlRateHelperLatestDate($L79)</f>
        <v>#VALUE!</v>
      </c>
    </row>
    <row r="80" spans="1:17" x14ac:dyDescent="0.2">
      <c r="A80" s="92"/>
      <c r="B80" s="168" t="e">
        <f>_xll.qlECBdate(E80,,Trigger)</f>
        <v>#VALUE!</v>
      </c>
      <c r="C80" s="166"/>
      <c r="D80" s="167" t="s">
        <v>165</v>
      </c>
      <c r="E80" s="166" t="e">
        <f>_xll.qlECBNextCode(B79)</f>
        <v>#NUM!</v>
      </c>
      <c r="F80" s="165" t="s">
        <v>164</v>
      </c>
      <c r="G80" s="165" t="s">
        <v>163</v>
      </c>
      <c r="H80" s="165">
        <f t="shared" si="8"/>
        <v>0</v>
      </c>
      <c r="I80" s="164">
        <v>0</v>
      </c>
      <c r="J80" s="163" t="e">
        <f t="shared" si="9"/>
        <v>#NUM!</v>
      </c>
      <c r="K80" s="163" t="e">
        <f t="shared" si="10"/>
        <v>#NUM!</v>
      </c>
      <c r="L80" s="162" t="e">
        <f>_xll.qlDatedOISRateHelper(K80,B80,B81,J80,$L$4,Permanent,,ObjectOverwrite)</f>
        <v>#VALUE!</v>
      </c>
      <c r="M80" s="93" t="str">
        <f ca="1">_xll.ohRangeRetrieveError(L80)</f>
        <v/>
      </c>
      <c r="N80" s="159"/>
      <c r="P80" s="161" t="e">
        <f>_xll.qlRateHelperEarliestDate(L80)</f>
        <v>#VALUE!</v>
      </c>
      <c r="Q80" s="161" t="e">
        <f>_xll.qlRateHelperLatestDate($L80)</f>
        <v>#VALUE!</v>
      </c>
    </row>
    <row r="81" spans="1:17" x14ac:dyDescent="0.2">
      <c r="A81" s="92"/>
      <c r="B81" s="168" t="e">
        <f>_xll.qlECBdate(E81,,Trigger)</f>
        <v>#VALUE!</v>
      </c>
      <c r="C81" s="166"/>
      <c r="D81" s="167" t="s">
        <v>165</v>
      </c>
      <c r="E81" s="166" t="e">
        <f>_xll.qlECBNextCode(B80)</f>
        <v>#NUM!</v>
      </c>
      <c r="F81" s="165" t="s">
        <v>164</v>
      </c>
      <c r="G81" s="165" t="s">
        <v>163</v>
      </c>
      <c r="H81" s="165">
        <f t="shared" si="8"/>
        <v>0</v>
      </c>
      <c r="I81" s="164">
        <v>0</v>
      </c>
      <c r="J81" s="163" t="e">
        <f t="shared" si="9"/>
        <v>#NUM!</v>
      </c>
      <c r="K81" s="163" t="e">
        <f t="shared" si="10"/>
        <v>#NUM!</v>
      </c>
      <c r="L81" s="162" t="e">
        <f>_xll.qlDatedOISRateHelper(K81,B81,B82,J81,$L$4,Permanent,,ObjectOverwrite)</f>
        <v>#VALUE!</v>
      </c>
      <c r="M81" s="93" t="str">
        <f ca="1">_xll.ohRangeRetrieveError(L81)</f>
        <v/>
      </c>
      <c r="N81" s="159"/>
      <c r="P81" s="161" t="e">
        <f>_xll.qlRateHelperEarliestDate(L81)</f>
        <v>#VALUE!</v>
      </c>
      <c r="Q81" s="161" t="e">
        <f>_xll.qlRateHelperLatestDate($L81)</f>
        <v>#VALUE!</v>
      </c>
    </row>
    <row r="82" spans="1:17" x14ac:dyDescent="0.2">
      <c r="A82" s="92"/>
      <c r="B82" s="168" t="e">
        <f>_xll.qlECBdate(E82,,Trigger)</f>
        <v>#VALUE!</v>
      </c>
      <c r="C82" s="166"/>
      <c r="D82" s="167" t="s">
        <v>165</v>
      </c>
      <c r="E82" s="166" t="e">
        <f>_xll.qlECBNextCode(B81)</f>
        <v>#NUM!</v>
      </c>
      <c r="F82" s="165" t="s">
        <v>164</v>
      </c>
      <c r="G82" s="165" t="s">
        <v>163</v>
      </c>
      <c r="H82" s="165">
        <f t="shared" si="8"/>
        <v>0</v>
      </c>
      <c r="I82" s="164">
        <v>0</v>
      </c>
      <c r="J82" s="163" t="e">
        <f t="shared" si="9"/>
        <v>#NUM!</v>
      </c>
      <c r="K82" s="163" t="e">
        <f t="shared" si="10"/>
        <v>#NUM!</v>
      </c>
      <c r="L82" s="162" t="e">
        <f>_xll.qlDatedOISRateHelper(K82,B82,B83,J82,$L$4,Permanent,,ObjectOverwrite)</f>
        <v>#VALUE!</v>
      </c>
      <c r="M82" s="93" t="str">
        <f ca="1">_xll.ohRangeRetrieveError(L82)</f>
        <v/>
      </c>
      <c r="N82" s="159"/>
      <c r="P82" s="161" t="e">
        <f>_xll.qlRateHelperEarliestDate(L82)</f>
        <v>#VALUE!</v>
      </c>
      <c r="Q82" s="161" t="e">
        <f>_xll.qlRateHelperLatestDate($L82)</f>
        <v>#VALUE!</v>
      </c>
    </row>
    <row r="83" spans="1:17" x14ac:dyDescent="0.2">
      <c r="A83" s="92"/>
      <c r="B83" s="168" t="e">
        <f>_xll.qlECBdate(E83,,Trigger)</f>
        <v>#VALUE!</v>
      </c>
      <c r="C83" s="166"/>
      <c r="D83" s="167" t="s">
        <v>165</v>
      </c>
      <c r="E83" s="166" t="e">
        <f>_xll.qlECBNextCode(B82)</f>
        <v>#NUM!</v>
      </c>
      <c r="F83" s="165" t="s">
        <v>164</v>
      </c>
      <c r="G83" s="165" t="s">
        <v>163</v>
      </c>
      <c r="H83" s="165">
        <f t="shared" si="8"/>
        <v>0</v>
      </c>
      <c r="I83" s="164">
        <v>0</v>
      </c>
      <c r="J83" s="163" t="e">
        <f t="shared" si="9"/>
        <v>#NUM!</v>
      </c>
      <c r="K83" s="163" t="e">
        <f t="shared" si="10"/>
        <v>#NUM!</v>
      </c>
      <c r="L83" s="162" t="e">
        <f>_xll.qlDatedOISRateHelper(K83,B83,B84,J83,$L$4,Permanent,,ObjectOverwrite)</f>
        <v>#VALUE!</v>
      </c>
      <c r="M83" s="93" t="str">
        <f ca="1">_xll.ohRangeRetrieveError(L83)</f>
        <v/>
      </c>
      <c r="N83" s="159"/>
      <c r="P83" s="161" t="e">
        <f>_xll.qlRateHelperEarliestDate(L83)</f>
        <v>#VALUE!</v>
      </c>
      <c r="Q83" s="161" t="e">
        <f>_xll.qlRateHelperLatestDate($L83)</f>
        <v>#VALUE!</v>
      </c>
    </row>
    <row r="84" spans="1:17" x14ac:dyDescent="0.2">
      <c r="A84" s="92"/>
      <c r="B84" s="168" t="e">
        <f>_xll.qlECBdate(E84,,Trigger)</f>
        <v>#VALUE!</v>
      </c>
      <c r="C84" s="166"/>
      <c r="D84" s="167" t="s">
        <v>165</v>
      </c>
      <c r="E84" s="166" t="e">
        <f>_xll.qlECBNextCode(B83)</f>
        <v>#NUM!</v>
      </c>
      <c r="F84" s="165" t="s">
        <v>164</v>
      </c>
      <c r="G84" s="165" t="s">
        <v>163</v>
      </c>
      <c r="H84" s="165">
        <f t="shared" si="8"/>
        <v>0</v>
      </c>
      <c r="I84" s="164">
        <v>0</v>
      </c>
      <c r="J84" s="163" t="e">
        <f t="shared" si="9"/>
        <v>#NUM!</v>
      </c>
      <c r="K84" s="163" t="e">
        <f t="shared" si="10"/>
        <v>#NUM!</v>
      </c>
      <c r="L84" s="162" t="e">
        <f>_xll.qlDatedOISRateHelper(K84,B84,B85,J84,$L$4,Permanent,,ObjectOverwrite)</f>
        <v>#VALUE!</v>
      </c>
      <c r="M84" s="93" t="str">
        <f ca="1">_xll.ohRangeRetrieveError(L84)</f>
        <v/>
      </c>
      <c r="N84" s="159"/>
      <c r="P84" s="161" t="e">
        <f>_xll.qlRateHelperEarliestDate(L84)</f>
        <v>#VALUE!</v>
      </c>
      <c r="Q84" s="161" t="e">
        <f>_xll.qlRateHelperLatestDate($L84)</f>
        <v>#VALUE!</v>
      </c>
    </row>
    <row r="85" spans="1:17" x14ac:dyDescent="0.2">
      <c r="A85" s="92"/>
      <c r="B85" s="168" t="e">
        <f>_xll.qlECBdate(E85,,Trigger)</f>
        <v>#VALUE!</v>
      </c>
      <c r="C85" s="166"/>
      <c r="D85" s="167" t="s">
        <v>165</v>
      </c>
      <c r="E85" s="166" t="e">
        <f>_xll.qlECBNextCode(B84)</f>
        <v>#NUM!</v>
      </c>
      <c r="F85" s="165" t="s">
        <v>164</v>
      </c>
      <c r="G85" s="165" t="s">
        <v>163</v>
      </c>
      <c r="H85" s="165">
        <f t="shared" si="8"/>
        <v>0</v>
      </c>
      <c r="I85" s="164">
        <v>0</v>
      </c>
      <c r="J85" s="163" t="e">
        <f t="shared" si="9"/>
        <v>#NUM!</v>
      </c>
      <c r="K85" s="163" t="e">
        <f t="shared" si="10"/>
        <v>#NUM!</v>
      </c>
      <c r="L85" s="162" t="e">
        <f>_xll.qlDatedOISRateHelper(K85,B85,B86,J85,$L$4,Permanent,,ObjectOverwrite)</f>
        <v>#VALUE!</v>
      </c>
      <c r="M85" s="93" t="str">
        <f ca="1">_xll.ohRangeRetrieveError(L85)</f>
        <v/>
      </c>
      <c r="N85" s="159"/>
      <c r="P85" s="161" t="e">
        <f>_xll.qlRateHelperEarliestDate(L85)</f>
        <v>#VALUE!</v>
      </c>
      <c r="Q85" s="161" t="e">
        <f>_xll.qlRateHelperLatestDate($L85)</f>
        <v>#VALUE!</v>
      </c>
    </row>
    <row r="86" spans="1:17" x14ac:dyDescent="0.2">
      <c r="A86" s="92"/>
      <c r="B86" s="168" t="e">
        <f>_xll.qlECBdate(E86,,Trigger)</f>
        <v>#VALUE!</v>
      </c>
      <c r="C86" s="166"/>
      <c r="D86" s="167" t="s">
        <v>165</v>
      </c>
      <c r="E86" s="166" t="e">
        <f>_xll.qlECBNextCode(B85)</f>
        <v>#NUM!</v>
      </c>
      <c r="F86" s="165" t="s">
        <v>164</v>
      </c>
      <c r="G86" s="165" t="s">
        <v>163</v>
      </c>
      <c r="H86" s="165">
        <f t="shared" si="8"/>
        <v>0</v>
      </c>
      <c r="I86" s="164">
        <v>0</v>
      </c>
      <c r="J86" s="163" t="e">
        <f t="shared" si="9"/>
        <v>#NUM!</v>
      </c>
      <c r="K86" s="163" t="e">
        <f t="shared" si="10"/>
        <v>#NUM!</v>
      </c>
      <c r="L86" s="162" t="e">
        <f>_xll.qlDatedOISRateHelper(K86,B86,B87,J86,$L$4,Permanent,,ObjectOverwrite)</f>
        <v>#VALUE!</v>
      </c>
      <c r="M86" s="93" t="str">
        <f ca="1">_xll.ohRangeRetrieveError(L86)</f>
        <v/>
      </c>
      <c r="N86" s="159"/>
      <c r="P86" s="161" t="e">
        <f>_xll.qlRateHelperEarliestDate(L86)</f>
        <v>#VALUE!</v>
      </c>
      <c r="Q86" s="161" t="e">
        <f>_xll.qlRateHelperLatestDate($L86)</f>
        <v>#VALUE!</v>
      </c>
    </row>
    <row r="87" spans="1:17" x14ac:dyDescent="0.2">
      <c r="A87" s="92"/>
      <c r="B87" s="168" t="e">
        <f>_xll.qlECBdate(E87,,Trigger)</f>
        <v>#VALUE!</v>
      </c>
      <c r="C87" s="166"/>
      <c r="D87" s="167" t="s">
        <v>165</v>
      </c>
      <c r="E87" s="166" t="e">
        <f>_xll.qlECBNextCode(B86)</f>
        <v>#NUM!</v>
      </c>
      <c r="F87" s="165" t="s">
        <v>164</v>
      </c>
      <c r="G87" s="165" t="s">
        <v>163</v>
      </c>
      <c r="H87" s="165">
        <f t="shared" si="8"/>
        <v>0</v>
      </c>
      <c r="I87" s="164">
        <v>0</v>
      </c>
      <c r="J87" s="163" t="e">
        <f t="shared" si="9"/>
        <v>#NUM!</v>
      </c>
      <c r="K87" s="163" t="e">
        <f t="shared" si="10"/>
        <v>#NUM!</v>
      </c>
      <c r="L87" s="162" t="e">
        <f>_xll.qlDatedOISRateHelper(K87,B87,B88,J87,$L$4,Permanent,,ObjectOverwrite)</f>
        <v>#VALUE!</v>
      </c>
      <c r="M87" s="93" t="str">
        <f ca="1">_xll.ohRangeRetrieveError(L87)</f>
        <v/>
      </c>
      <c r="N87" s="159"/>
      <c r="P87" s="161" t="e">
        <f>_xll.qlRateHelperEarliestDate(L87)</f>
        <v>#VALUE!</v>
      </c>
      <c r="Q87" s="161" t="e">
        <f>_xll.qlRateHelperLatestDate($L87)</f>
        <v>#VALUE!</v>
      </c>
    </row>
    <row r="88" spans="1:17" x14ac:dyDescent="0.2">
      <c r="A88" s="92"/>
      <c r="B88" s="168" t="e">
        <f>_xll.qlECBdate(E88,,Trigger)</f>
        <v>#VALUE!</v>
      </c>
      <c r="C88" s="166"/>
      <c r="D88" s="167" t="s">
        <v>165</v>
      </c>
      <c r="E88" s="166" t="e">
        <f>_xll.qlECBNextCode(B87)</f>
        <v>#NUM!</v>
      </c>
      <c r="F88" s="165" t="s">
        <v>164</v>
      </c>
      <c r="G88" s="165" t="s">
        <v>163</v>
      </c>
      <c r="H88" s="165">
        <f t="shared" si="8"/>
        <v>0</v>
      </c>
      <c r="I88" s="164">
        <v>0</v>
      </c>
      <c r="J88" s="163" t="e">
        <f t="shared" si="9"/>
        <v>#NUM!</v>
      </c>
      <c r="K88" s="163" t="e">
        <f t="shared" si="10"/>
        <v>#NUM!</v>
      </c>
      <c r="L88" s="162" t="e">
        <f>_xll.qlDatedOISRateHelper(K88,B88,B89,J88,$L$4,Permanent,,ObjectOverwrite)</f>
        <v>#VALUE!</v>
      </c>
      <c r="M88" s="93" t="str">
        <f ca="1">_xll.ohRangeRetrieveError(L88)</f>
        <v/>
      </c>
      <c r="N88" s="159"/>
      <c r="P88" s="161" t="e">
        <f>_xll.qlRateHelperEarliestDate(L88)</f>
        <v>#VALUE!</v>
      </c>
      <c r="Q88" s="161" t="e">
        <f>_xll.qlRateHelperLatestDate($L88)</f>
        <v>#VALUE!</v>
      </c>
    </row>
    <row r="89" spans="1:17" x14ac:dyDescent="0.2">
      <c r="A89" s="92"/>
      <c r="B89" s="168" t="e">
        <f>_xll.qlECBdate(E89,,Trigger)</f>
        <v>#VALUE!</v>
      </c>
      <c r="C89" s="166"/>
      <c r="D89" s="167" t="s">
        <v>165</v>
      </c>
      <c r="E89" s="166" t="e">
        <f>_xll.qlECBNextCode(B88)</f>
        <v>#NUM!</v>
      </c>
      <c r="F89" s="165" t="s">
        <v>164</v>
      </c>
      <c r="G89" s="165" t="s">
        <v>163</v>
      </c>
      <c r="H89" s="165">
        <f t="shared" si="8"/>
        <v>0</v>
      </c>
      <c r="I89" s="164">
        <v>0</v>
      </c>
      <c r="J89" s="163" t="e">
        <f t="shared" si="9"/>
        <v>#NUM!</v>
      </c>
      <c r="K89" s="163" t="e">
        <f t="shared" si="10"/>
        <v>#NUM!</v>
      </c>
      <c r="L89" s="162" t="e">
        <f>_xll.qlDatedOISRateHelper(K89,B89,B90,J89,$L$4,Permanent,,ObjectOverwrite)</f>
        <v>#VALUE!</v>
      </c>
      <c r="M89" s="93" t="str">
        <f ca="1">_xll.ohRangeRetrieveError(L89)</f>
        <v/>
      </c>
      <c r="N89" s="159"/>
      <c r="P89" s="161" t="e">
        <f>_xll.qlRateHelperEarliestDate(L89)</f>
        <v>#VALUE!</v>
      </c>
      <c r="Q89" s="161" t="e">
        <f>_xll.qlRateHelperLatestDate($L89)</f>
        <v>#VALUE!</v>
      </c>
    </row>
    <row r="90" spans="1:17" x14ac:dyDescent="0.2">
      <c r="A90" s="92"/>
      <c r="B90" s="168" t="e">
        <f>_xll.qlECBdate(E90,,Trigger)</f>
        <v>#VALUE!</v>
      </c>
      <c r="C90" s="166"/>
      <c r="D90" s="167" t="s">
        <v>165</v>
      </c>
      <c r="E90" s="166" t="e">
        <f>_xll.qlECBNextCode(B89)</f>
        <v>#NUM!</v>
      </c>
      <c r="F90" s="165" t="s">
        <v>164</v>
      </c>
      <c r="G90" s="165" t="s">
        <v>163</v>
      </c>
      <c r="H90" s="165">
        <f t="shared" si="8"/>
        <v>0</v>
      </c>
      <c r="I90" s="164">
        <v>0</v>
      </c>
      <c r="J90" s="163" t="e">
        <f t="shared" si="9"/>
        <v>#NUM!</v>
      </c>
      <c r="K90" s="163" t="e">
        <f t="shared" si="10"/>
        <v>#NUM!</v>
      </c>
      <c r="L90" s="162" t="e">
        <f>_xll.qlDatedOISRateHelper(K90,B90,B91,J90,$L$4,Permanent,,ObjectOverwrite)</f>
        <v>#VALUE!</v>
      </c>
      <c r="M90" s="93" t="str">
        <f ca="1">_xll.ohRangeRetrieveError(L90)</f>
        <v/>
      </c>
      <c r="N90" s="159"/>
      <c r="P90" s="161" t="e">
        <f>_xll.qlRateHelperEarliestDate(L90)</f>
        <v>#VALUE!</v>
      </c>
      <c r="Q90" s="161" t="e">
        <f>_xll.qlRateHelperLatestDate($L90)</f>
        <v>#VALUE!</v>
      </c>
    </row>
    <row r="91" spans="1:17" x14ac:dyDescent="0.2">
      <c r="A91" s="92"/>
      <c r="B91" s="168" t="e">
        <f>_xll.qlECBdate(E91,,Trigger)</f>
        <v>#VALUE!</v>
      </c>
      <c r="C91" s="166"/>
      <c r="D91" s="167" t="s">
        <v>165</v>
      </c>
      <c r="E91" s="166" t="e">
        <f>_xll.qlECBNextCode(B90)</f>
        <v>#NUM!</v>
      </c>
      <c r="F91" s="165" t="s">
        <v>164</v>
      </c>
      <c r="G91" s="165" t="s">
        <v>163</v>
      </c>
      <c r="H91" s="165">
        <f t="shared" si="8"/>
        <v>0</v>
      </c>
      <c r="I91" s="164">
        <v>0</v>
      </c>
      <c r="J91" s="163" t="e">
        <f t="shared" si="9"/>
        <v>#NUM!</v>
      </c>
      <c r="K91" s="163" t="e">
        <f t="shared" si="10"/>
        <v>#NUM!</v>
      </c>
      <c r="L91" s="162" t="e">
        <f>_xll.qlDatedOISRateHelper(K91,B91,B92,J91,$L$4,Permanent,,ObjectOverwrite)</f>
        <v>#VALUE!</v>
      </c>
      <c r="M91" s="93" t="str">
        <f ca="1">_xll.ohRangeRetrieveError(L91)</f>
        <v/>
      </c>
      <c r="N91" s="159"/>
      <c r="P91" s="161" t="e">
        <f>_xll.qlRateHelperEarliestDate(L91)</f>
        <v>#VALUE!</v>
      </c>
      <c r="Q91" s="161" t="e">
        <f>_xll.qlRateHelperLatestDate($L91)</f>
        <v>#VALUE!</v>
      </c>
    </row>
    <row r="92" spans="1:17" x14ac:dyDescent="0.2">
      <c r="A92" s="92"/>
      <c r="B92" s="168" t="e">
        <f>_xll.qlECBdate(E92,,Trigger)</f>
        <v>#VALUE!</v>
      </c>
      <c r="C92" s="166"/>
      <c r="D92" s="167" t="s">
        <v>165</v>
      </c>
      <c r="E92" s="166" t="e">
        <f>_xll.qlECBNextCode(B91)</f>
        <v>#NUM!</v>
      </c>
      <c r="F92" s="165" t="s">
        <v>164</v>
      </c>
      <c r="G92" s="165" t="s">
        <v>163</v>
      </c>
      <c r="H92" s="165">
        <f t="shared" si="8"/>
        <v>0</v>
      </c>
      <c r="I92" s="164">
        <v>0</v>
      </c>
      <c r="J92" s="163" t="e">
        <f t="shared" si="9"/>
        <v>#NUM!</v>
      </c>
      <c r="K92" s="163" t="e">
        <f t="shared" si="10"/>
        <v>#NUM!</v>
      </c>
      <c r="L92" s="162" t="e">
        <f>_xll.qlDatedOISRateHelper(K92,B92,B93,J92,$L$4,Permanent,,ObjectOverwrite)</f>
        <v>#VALUE!</v>
      </c>
      <c r="M92" s="93" t="str">
        <f ca="1">_xll.ohRangeRetrieveError(L92)</f>
        <v/>
      </c>
      <c r="N92" s="159"/>
      <c r="P92" s="161" t="e">
        <f>_xll.qlRateHelperEarliestDate(L92)</f>
        <v>#VALUE!</v>
      </c>
      <c r="Q92" s="161" t="e">
        <f>_xll.qlRateHelperLatestDate($L92)</f>
        <v>#VALUE!</v>
      </c>
    </row>
    <row r="93" spans="1:17" x14ac:dyDescent="0.2">
      <c r="A93" s="92"/>
      <c r="B93" s="168" t="e">
        <f>_xll.qlECBdate(E93,,Trigger)</f>
        <v>#VALUE!</v>
      </c>
      <c r="C93" s="166"/>
      <c r="D93" s="167" t="s">
        <v>165</v>
      </c>
      <c r="E93" s="166" t="e">
        <f>_xll.qlECBNextCode(B92)</f>
        <v>#NUM!</v>
      </c>
      <c r="F93" s="165" t="s">
        <v>164</v>
      </c>
      <c r="G93" s="165" t="s">
        <v>163</v>
      </c>
      <c r="H93" s="165">
        <f t="shared" si="8"/>
        <v>0</v>
      </c>
      <c r="I93" s="164">
        <v>0</v>
      </c>
      <c r="J93" s="163" t="e">
        <f t="shared" si="9"/>
        <v>#NUM!</v>
      </c>
      <c r="K93" s="163" t="e">
        <f t="shared" si="10"/>
        <v>#NUM!</v>
      </c>
      <c r="L93" s="162" t="e">
        <f>_xll.qlDatedOISRateHelper(K93,B93,B94,J93,$L$4,Permanent,,ObjectOverwrite)</f>
        <v>#VALUE!</v>
      </c>
      <c r="M93" s="93" t="str">
        <f ca="1">_xll.ohRangeRetrieveError(L93)</f>
        <v/>
      </c>
      <c r="N93" s="159"/>
      <c r="P93" s="161" t="e">
        <f>_xll.qlRateHelperEarliestDate(L93)</f>
        <v>#VALUE!</v>
      </c>
      <c r="Q93" s="161" t="e">
        <f>_xll.qlRateHelperLatestDate($L93)</f>
        <v>#VALUE!</v>
      </c>
    </row>
    <row r="94" spans="1:17" x14ac:dyDescent="0.2">
      <c r="A94" s="92"/>
      <c r="B94" s="168" t="e">
        <f>_xll.qlECBdate(E94,,Trigger)</f>
        <v>#VALUE!</v>
      </c>
      <c r="C94" s="166"/>
      <c r="D94" s="167" t="s">
        <v>165</v>
      </c>
      <c r="E94" s="166" t="e">
        <f>_xll.qlECBNextCode(B93)</f>
        <v>#NUM!</v>
      </c>
      <c r="F94" s="165" t="s">
        <v>164</v>
      </c>
      <c r="G94" s="165" t="s">
        <v>163</v>
      </c>
      <c r="H94" s="165">
        <f t="shared" si="8"/>
        <v>0</v>
      </c>
      <c r="I94" s="164">
        <v>0</v>
      </c>
      <c r="J94" s="163" t="e">
        <f t="shared" si="9"/>
        <v>#NUM!</v>
      </c>
      <c r="K94" s="163" t="e">
        <f t="shared" si="10"/>
        <v>#NUM!</v>
      </c>
      <c r="L94" s="162" t="e">
        <f>_xll.qlDatedOISRateHelper(K94,B94,B95,J94,$L$4,Permanent,,ObjectOverwrite)</f>
        <v>#VALUE!</v>
      </c>
      <c r="M94" s="93" t="str">
        <f ca="1">_xll.ohRangeRetrieveError(L94)</f>
        <v/>
      </c>
      <c r="N94" s="159"/>
      <c r="P94" s="161" t="e">
        <f>_xll.qlRateHelperEarliestDate(L94)</f>
        <v>#VALUE!</v>
      </c>
      <c r="Q94" s="161" t="e">
        <f>_xll.qlRateHelperLatestDate($L94)</f>
        <v>#VALUE!</v>
      </c>
    </row>
    <row r="95" spans="1:17" x14ac:dyDescent="0.2">
      <c r="A95" s="92"/>
      <c r="B95" s="168" t="e">
        <f>_xll.qlECBdate(E95,,Trigger)</f>
        <v>#VALUE!</v>
      </c>
      <c r="C95" s="166"/>
      <c r="D95" s="167" t="s">
        <v>165</v>
      </c>
      <c r="E95" s="166" t="e">
        <f>_xll.qlECBNextCode(B94)</f>
        <v>#NUM!</v>
      </c>
      <c r="F95" s="165" t="s">
        <v>164</v>
      </c>
      <c r="G95" s="165" t="s">
        <v>163</v>
      </c>
      <c r="H95" s="165">
        <f t="shared" si="8"/>
        <v>0</v>
      </c>
      <c r="I95" s="164">
        <v>0</v>
      </c>
      <c r="J95" s="163" t="e">
        <f t="shared" si="9"/>
        <v>#NUM!</v>
      </c>
      <c r="K95" s="163" t="e">
        <f t="shared" si="10"/>
        <v>#NUM!</v>
      </c>
      <c r="L95" s="162" t="e">
        <f>_xll.qlDatedOISRateHelper(K95,B95,#REF!,J95,$L$4,Permanent,,ObjectOverwrite)</f>
        <v>#VALUE!</v>
      </c>
      <c r="M95" s="93" t="str">
        <f ca="1">_xll.ohRangeRetrieveError(L95)</f>
        <v/>
      </c>
      <c r="N95" s="159"/>
      <c r="P95" s="161" t="e">
        <f>_xll.qlRateHelperEarliestDate(L95)</f>
        <v>#VALUE!</v>
      </c>
      <c r="Q95" s="161" t="e">
        <f>_xll.qlRateHelperLatestDate($L95)</f>
        <v>#VALUE!</v>
      </c>
    </row>
    <row r="96" spans="1:17" ht="12" thickBot="1" x14ac:dyDescent="0.25">
      <c r="A96" s="91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158"/>
      <c r="M96" s="158"/>
      <c r="N96" s="157"/>
      <c r="P96" s="161" t="e">
        <f>_xll.qlRateHelperEarliestDate(L96)</f>
        <v>#NUM!</v>
      </c>
      <c r="Q96" s="161" t="e">
        <f>_xll.qlRateHelperLatestDate($L96)</f>
        <v>#NUM!</v>
      </c>
    </row>
  </sheetData>
  <dataValidations disablePrompts="1" count="2">
    <dataValidation type="list" allowBlank="1" showInputMessage="1" showErrorMessage="1" sqref="G6:G95">
      <formula1>"Following,Modified Following,Preceding,Modified Preceding,Month End Reference,Unadjusted Month End,Unadjusted"</formula1>
    </dataValidation>
    <dataValidation type="list" allowBlank="1" showInputMessage="1" showErrorMessage="1" sqref="F6:F95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34</vt:i4>
      </vt:variant>
    </vt:vector>
  </HeadingPairs>
  <TitlesOfParts>
    <vt:vector size="40" baseType="lpstr">
      <vt:lpstr>General Settings</vt:lpstr>
      <vt:lpstr>RateHelpers</vt:lpstr>
      <vt:lpstr>Selected</vt:lpstr>
      <vt:lpstr>ON_Deposits</vt:lpstr>
      <vt:lpstr>ON_FRAs</vt:lpstr>
      <vt:lpstr>ON_Swaps</vt:lpstr>
      <vt:lpstr>Accuracy</vt:lpstr>
      <vt:lpstr>Calendar</vt:lpstr>
      <vt:lpstr>Currency</vt:lpstr>
      <vt:lpstr>DayCounter</vt:lpstr>
      <vt:lpstr>DepoInclusionCriteria</vt:lpstr>
      <vt:lpstr>Discounting</vt:lpstr>
      <vt:lpstr>Discounting2</vt:lpstr>
      <vt:lpstr>ON_Swaps!DiscountingCurve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2013-12-12T22:20:44Z</dcterms:created>
  <dcterms:modified xsi:type="dcterms:W3CDTF">2014-05-06T14:33:56Z</dcterms:modified>
</cp:coreProperties>
</file>