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9765" windowWidth="30510" windowHeight="3180" tabRatio="695" activeTab="2"/>
  </bookViews>
  <sheets>
    <sheet name="General Settings" sheetId="29" r:id="rId1"/>
    <sheet name="1MSynthDepo" sheetId="44" r:id="rId2"/>
    <sheet name="3MSynthDepo" sheetId="43" r:id="rId3"/>
    <sheet name="6MSynthDepo" sheetId="39" r:id="rId4"/>
    <sheet name="1YSynthDepo" sheetId="46" r:id="rId5"/>
    <sheet name="SynthFra" sheetId="35" r:id="rId6"/>
    <sheet name="Contribution" sheetId="33" r:id="rId7"/>
    <sheet name="basis 3M" sheetId="42" r:id="rId8"/>
    <sheet name="basis 6M " sheetId="40" r:id="rId9"/>
    <sheet name="1M Curve" sheetId="45" r:id="rId10"/>
    <sheet name="1Y Curve" sheetId="47" r:id="rId11"/>
  </sheets>
  <externalReferences>
    <externalReference r:id="rId12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onventions" localSheetId="9">'1M Curve'!$R$3:$R$4</definedName>
    <definedName name="Conventions" localSheetId="10">'1Y Curve'!$R$3:$R$4</definedName>
    <definedName name="Currency">'General Settings'!$D$4</definedName>
    <definedName name="DayCounter">'General Settings'!$D$39</definedName>
    <definedName name="DayCounter1M" localSheetId="1">'1MSynthDepo'!$E$10</definedName>
    <definedName name="DayCounter1M" localSheetId="4">'1YSynthDepo'!$E$10</definedName>
    <definedName name="DayCounter3M" localSheetId="2">'3MSynthDepo'!$E$10</definedName>
    <definedName name="DayCounter6M" localSheetId="3">'6MSynthDepo'!$E$10</definedName>
    <definedName name="DayCounterOIS" localSheetId="1">'1MSynthDepo'!$E$11</definedName>
    <definedName name="DayCounterOIS" localSheetId="4">'1YSynthDepo'!$E$11</definedName>
    <definedName name="DayCounterOIS" localSheetId="2">'3MSynthDepo'!$E$11</definedName>
    <definedName name="DayCounterOIS" localSheetId="3">'6MSynthDepo'!$E$11</definedName>
    <definedName name="DayCounterON" localSheetId="1">'1MSynthDepo'!$E$12</definedName>
    <definedName name="DayCounterON" localSheetId="4">'1YSynthDepo'!$E$12</definedName>
    <definedName name="DayCounterON" localSheetId="2">'3MSynthDepo'!$E$12</definedName>
    <definedName name="DayCounterON" localSheetId="3">'6MSynthDepo'!$E$12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edbasis3M">'basis 3M'!$M$2</definedName>
    <definedName name="interpolatedbasis6M">'basis 6M '!$M$2</definedName>
    <definedName name="interpolator3M">'3MSynthDepo'!$E$13</definedName>
    <definedName name="interpolator6M">'6MSynthDepo'!$E$13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6">Contribution!$N$3:$N$84</definedName>
    <definedName name="QuoteLive" localSheetId="6">Contribution!$J$3:$J$84</definedName>
    <definedName name="QuoteStatic" localSheetId="6">Contribution!$L$3:$L$84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P2" i="42" l="1"/>
  <c r="J4" i="43"/>
  <c r="P178" i="42"/>
  <c r="P179" i="42"/>
  <c r="P180" i="42"/>
  <c r="P181" i="42"/>
  <c r="P182" i="42" s="1"/>
  <c r="P3" i="42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24" i="42"/>
  <c r="P25" i="42"/>
  <c r="P26" i="42"/>
  <c r="P27" i="42"/>
  <c r="P28" i="42"/>
  <c r="P29" i="42"/>
  <c r="P30" i="42"/>
  <c r="P31" i="42"/>
  <c r="P32" i="42"/>
  <c r="P33" i="42"/>
  <c r="P34" i="42"/>
  <c r="P35" i="42"/>
  <c r="P36" i="42"/>
  <c r="P37" i="42"/>
  <c r="P38" i="42"/>
  <c r="P39" i="42"/>
  <c r="P40" i="42"/>
  <c r="P41" i="42"/>
  <c r="P42" i="42"/>
  <c r="P43" i="42"/>
  <c r="P44" i="42"/>
  <c r="P45" i="42"/>
  <c r="P46" i="42"/>
  <c r="P47" i="42"/>
  <c r="P48" i="42"/>
  <c r="P49" i="42"/>
  <c r="P50" i="42"/>
  <c r="P51" i="42"/>
  <c r="P52" i="42"/>
  <c r="P53" i="42"/>
  <c r="P54" i="42"/>
  <c r="P55" i="42"/>
  <c r="P56" i="42"/>
  <c r="P57" i="42"/>
  <c r="P58" i="42"/>
  <c r="P59" i="42"/>
  <c r="P60" i="42"/>
  <c r="P61" i="42"/>
  <c r="P62" i="42"/>
  <c r="P63" i="42"/>
  <c r="P64" i="42"/>
  <c r="P65" i="42"/>
  <c r="P66" i="42"/>
  <c r="P67" i="42"/>
  <c r="P68" i="42"/>
  <c r="P69" i="42"/>
  <c r="P70" i="42"/>
  <c r="P71" i="42"/>
  <c r="P72" i="42"/>
  <c r="P73" i="42"/>
  <c r="P74" i="42"/>
  <c r="P75" i="42"/>
  <c r="P76" i="42"/>
  <c r="P77" i="42"/>
  <c r="P78" i="42"/>
  <c r="P79" i="42"/>
  <c r="P80" i="42"/>
  <c r="P81" i="42"/>
  <c r="P82" i="42"/>
  <c r="P83" i="42"/>
  <c r="P84" i="42"/>
  <c r="P85" i="42"/>
  <c r="P86" i="42"/>
  <c r="P87" i="42"/>
  <c r="P88" i="42"/>
  <c r="P89" i="42"/>
  <c r="P90" i="42"/>
  <c r="P91" i="42"/>
  <c r="P92" i="42"/>
  <c r="P93" i="42"/>
  <c r="P94" i="42"/>
  <c r="P95" i="42"/>
  <c r="P96" i="42"/>
  <c r="P97" i="42"/>
  <c r="P98" i="42"/>
  <c r="P99" i="42"/>
  <c r="P100" i="42"/>
  <c r="P101" i="42"/>
  <c r="P102" i="42"/>
  <c r="P103" i="42"/>
  <c r="P104" i="42"/>
  <c r="P105" i="42"/>
  <c r="P106" i="42"/>
  <c r="P107" i="42"/>
  <c r="P108" i="42"/>
  <c r="P109" i="42"/>
  <c r="P110" i="42"/>
  <c r="P111" i="42"/>
  <c r="P112" i="42"/>
  <c r="P113" i="42"/>
  <c r="P114" i="42"/>
  <c r="P115" i="42"/>
  <c r="P116" i="42"/>
  <c r="P117" i="42"/>
  <c r="P118" i="42"/>
  <c r="P119" i="42"/>
  <c r="P120" i="42"/>
  <c r="P121" i="42"/>
  <c r="P122" i="42"/>
  <c r="P123" i="42"/>
  <c r="P124" i="42"/>
  <c r="P125" i="42"/>
  <c r="P126" i="42"/>
  <c r="P127" i="42"/>
  <c r="P128" i="42"/>
  <c r="P129" i="42"/>
  <c r="P130" i="42"/>
  <c r="P131" i="42"/>
  <c r="P132" i="42"/>
  <c r="P133" i="42"/>
  <c r="P134" i="42"/>
  <c r="P135" i="42"/>
  <c r="P136" i="42"/>
  <c r="P137" i="42"/>
  <c r="P138" i="42"/>
  <c r="P139" i="42"/>
  <c r="P140" i="42"/>
  <c r="P141" i="42"/>
  <c r="P142" i="42"/>
  <c r="P143" i="42"/>
  <c r="P144" i="42"/>
  <c r="P145" i="42"/>
  <c r="P146" i="42"/>
  <c r="P147" i="42"/>
  <c r="P148" i="42"/>
  <c r="P149" i="42"/>
  <c r="P150" i="42"/>
  <c r="P151" i="42"/>
  <c r="P152" i="42"/>
  <c r="P153" i="42"/>
  <c r="P154" i="42"/>
  <c r="P155" i="42"/>
  <c r="P156" i="42"/>
  <c r="P157" i="42"/>
  <c r="P158" i="42"/>
  <c r="P159" i="42"/>
  <c r="P160" i="42"/>
  <c r="P161" i="42"/>
  <c r="P162" i="42"/>
  <c r="P163" i="42"/>
  <c r="P164" i="42"/>
  <c r="P165" i="42"/>
  <c r="P166" i="42"/>
  <c r="P167" i="42"/>
  <c r="P168" i="42"/>
  <c r="P169" i="42"/>
  <c r="P170" i="42"/>
  <c r="P171" i="42"/>
  <c r="P172" i="42"/>
  <c r="P173" i="42"/>
  <c r="P174" i="42"/>
  <c r="P175" i="42"/>
  <c r="P176" i="42"/>
  <c r="P177" i="42"/>
  <c r="P183" i="42"/>
  <c r="P184" i="42"/>
  <c r="P185" i="42"/>
  <c r="P186" i="42"/>
  <c r="P187" i="42"/>
  <c r="P188" i="42"/>
  <c r="P189" i="42"/>
  <c r="P190" i="42"/>
  <c r="P191" i="42"/>
  <c r="P192" i="42"/>
  <c r="P193" i="42"/>
  <c r="P194" i="42"/>
  <c r="P195" i="42"/>
  <c r="P196" i="42"/>
  <c r="P197" i="42"/>
  <c r="P198" i="42"/>
  <c r="P199" i="42"/>
  <c r="P200" i="42"/>
  <c r="P201" i="42"/>
  <c r="P202" i="42"/>
  <c r="P203" i="42"/>
  <c r="P204" i="42"/>
  <c r="P205" i="42"/>
  <c r="P206" i="42"/>
  <c r="P207" i="42"/>
  <c r="P208" i="42"/>
  <c r="P209" i="42"/>
  <c r="P210" i="42"/>
  <c r="P211" i="42"/>
  <c r="P212" i="42"/>
  <c r="P213" i="42"/>
  <c r="P214" i="42"/>
  <c r="P215" i="42"/>
  <c r="P216" i="42"/>
  <c r="P217" i="42"/>
  <c r="P218" i="42"/>
  <c r="P219" i="42"/>
  <c r="P220" i="42"/>
  <c r="P221" i="42"/>
  <c r="P222" i="42"/>
  <c r="P223" i="42"/>
  <c r="P224" i="42"/>
  <c r="P225" i="42"/>
  <c r="P226" i="42"/>
  <c r="P227" i="42"/>
  <c r="P228" i="42"/>
  <c r="P229" i="42"/>
  <c r="P230" i="42"/>
  <c r="P231" i="42"/>
  <c r="P232" i="42"/>
  <c r="P233" i="42"/>
  <c r="P234" i="42"/>
  <c r="P235" i="42"/>
  <c r="P236" i="42"/>
  <c r="P237" i="42"/>
  <c r="P238" i="42"/>
  <c r="P239" i="42"/>
  <c r="P240" i="42"/>
  <c r="P241" i="42"/>
  <c r="P242" i="42"/>
  <c r="P243" i="42"/>
  <c r="P244" i="42"/>
  <c r="P245" i="42"/>
  <c r="P246" i="42"/>
  <c r="P247" i="42"/>
  <c r="P248" i="42"/>
  <c r="P249" i="42"/>
  <c r="P250" i="42"/>
  <c r="P251" i="42"/>
  <c r="P252" i="42"/>
  <c r="P253" i="42"/>
  <c r="P254" i="42"/>
  <c r="P255" i="42"/>
  <c r="P256" i="42"/>
  <c r="P257" i="42"/>
  <c r="P258" i="42"/>
  <c r="P259" i="42"/>
  <c r="P260" i="42"/>
  <c r="P261" i="42"/>
  <c r="P262" i="42"/>
  <c r="P263" i="42"/>
  <c r="P264" i="42"/>
  <c r="P265" i="42"/>
  <c r="P266" i="42"/>
  <c r="P267" i="42"/>
  <c r="P268" i="42"/>
  <c r="P269" i="42"/>
  <c r="P270" i="42"/>
  <c r="P271" i="42"/>
  <c r="P272" i="42"/>
  <c r="P273" i="42"/>
  <c r="P274" i="42"/>
  <c r="P275" i="42"/>
  <c r="P276" i="42"/>
  <c r="P277" i="42"/>
  <c r="P278" i="42"/>
  <c r="P279" i="42"/>
  <c r="P280" i="42"/>
  <c r="P281" i="42"/>
  <c r="P282" i="42"/>
  <c r="P283" i="42"/>
  <c r="P284" i="42"/>
  <c r="P285" i="42"/>
  <c r="P286" i="42"/>
  <c r="P287" i="42"/>
  <c r="P288" i="42"/>
  <c r="P289" i="42"/>
  <c r="P290" i="42"/>
  <c r="P291" i="42"/>
  <c r="P292" i="42"/>
  <c r="P293" i="42"/>
  <c r="P294" i="42"/>
  <c r="P295" i="42"/>
  <c r="P296" i="42"/>
  <c r="P297" i="42"/>
  <c r="P298" i="42"/>
  <c r="P299" i="42"/>
  <c r="P300" i="42"/>
  <c r="P301" i="42"/>
  <c r="P302" i="42"/>
  <c r="P303" i="42"/>
  <c r="P304" i="42"/>
  <c r="P305" i="42"/>
  <c r="P306" i="42"/>
  <c r="P307" i="42"/>
  <c r="P308" i="42"/>
  <c r="P309" i="42"/>
  <c r="P310" i="42"/>
  <c r="P311" i="42"/>
  <c r="P312" i="42"/>
  <c r="P313" i="42"/>
  <c r="P314" i="42"/>
  <c r="P315" i="42"/>
  <c r="P316" i="42"/>
  <c r="P317" i="42"/>
  <c r="P318" i="42"/>
  <c r="P319" i="42"/>
  <c r="P320" i="42"/>
  <c r="P321" i="42"/>
  <c r="P322" i="42"/>
  <c r="P323" i="42"/>
  <c r="P324" i="42"/>
  <c r="P325" i="42"/>
  <c r="P326" i="42"/>
  <c r="P327" i="42"/>
  <c r="P328" i="42"/>
  <c r="P329" i="42"/>
  <c r="P330" i="42"/>
  <c r="P331" i="42"/>
  <c r="P332" i="42"/>
  <c r="P333" i="42"/>
  <c r="P334" i="42"/>
  <c r="P335" i="42"/>
  <c r="P336" i="42"/>
  <c r="P337" i="42"/>
  <c r="P338" i="42"/>
  <c r="P339" i="42"/>
  <c r="P340" i="42"/>
  <c r="P341" i="42"/>
  <c r="P342" i="42"/>
  <c r="P343" i="42"/>
  <c r="P344" i="42"/>
  <c r="P345" i="42"/>
  <c r="P346" i="42"/>
  <c r="P347" i="42"/>
  <c r="P348" i="42"/>
  <c r="P349" i="42"/>
  <c r="P350" i="42"/>
  <c r="P351" i="42"/>
  <c r="P352" i="42"/>
  <c r="P353" i="42"/>
  <c r="P354" i="42"/>
  <c r="P355" i="42"/>
  <c r="P356" i="42"/>
  <c r="P357" i="42"/>
  <c r="P358" i="42"/>
  <c r="P359" i="42"/>
  <c r="P360" i="42"/>
  <c r="P361" i="42"/>
  <c r="P362" i="42"/>
  <c r="P363" i="42"/>
  <c r="P364" i="42"/>
  <c r="P365" i="42"/>
  <c r="P366" i="42"/>
  <c r="P367" i="42"/>
  <c r="P368" i="42"/>
  <c r="P369" i="42"/>
  <c r="P370" i="42"/>
  <c r="P371" i="42"/>
  <c r="P372" i="42"/>
  <c r="P373" i="42"/>
  <c r="P374" i="42"/>
  <c r="P375" i="42"/>
  <c r="P376" i="42"/>
  <c r="P377" i="42"/>
  <c r="P378" i="42"/>
  <c r="P379" i="42"/>
  <c r="P380" i="42"/>
  <c r="P381" i="42"/>
  <c r="P382" i="42"/>
  <c r="P383" i="42"/>
  <c r="P384" i="42"/>
  <c r="P385" i="42"/>
  <c r="P386" i="42"/>
  <c r="P387" i="42"/>
  <c r="P388" i="42"/>
  <c r="P389" i="42"/>
  <c r="P390" i="42"/>
  <c r="P391" i="42"/>
  <c r="P392" i="42"/>
  <c r="P393" i="42"/>
  <c r="P394" i="42"/>
  <c r="P395" i="42"/>
  <c r="P396" i="42"/>
  <c r="P397" i="42"/>
  <c r="P398" i="42"/>
  <c r="P399" i="42"/>
  <c r="P400" i="42"/>
  <c r="P401" i="42"/>
  <c r="P402" i="42"/>
  <c r="P403" i="42"/>
  <c r="P404" i="42"/>
  <c r="P405" i="42"/>
  <c r="P406" i="42"/>
  <c r="P407" i="42"/>
  <c r="P408" i="42"/>
  <c r="P409" i="42"/>
  <c r="P410" i="42"/>
  <c r="P411" i="42"/>
  <c r="P412" i="42"/>
  <c r="P413" i="42"/>
  <c r="P414" i="42"/>
  <c r="P415" i="42"/>
  <c r="P416" i="42"/>
  <c r="P417" i="42"/>
  <c r="P418" i="42"/>
  <c r="P419" i="42"/>
  <c r="P420" i="42"/>
  <c r="P421" i="42"/>
  <c r="P422" i="42"/>
  <c r="P423" i="42"/>
  <c r="P424" i="42"/>
  <c r="P425" i="42"/>
  <c r="P426" i="42"/>
  <c r="P427" i="42"/>
  <c r="P428" i="42"/>
  <c r="P429" i="42"/>
  <c r="P430" i="42"/>
  <c r="P431" i="42"/>
  <c r="P432" i="42"/>
  <c r="P433" i="42"/>
  <c r="P434" i="42"/>
  <c r="P435" i="42"/>
  <c r="P436" i="42"/>
  <c r="P437" i="42"/>
  <c r="P438" i="42"/>
  <c r="P439" i="42"/>
  <c r="P440" i="42"/>
  <c r="P441" i="42"/>
  <c r="P442" i="42"/>
  <c r="P443" i="42"/>
  <c r="P444" i="42"/>
  <c r="P445" i="42"/>
  <c r="P446" i="42"/>
  <c r="P447" i="42"/>
  <c r="P448" i="42"/>
  <c r="P449" i="42"/>
  <c r="P450" i="42"/>
  <c r="P451" i="42"/>
  <c r="P452" i="42"/>
  <c r="P453" i="42"/>
  <c r="P454" i="42"/>
  <c r="P455" i="42"/>
  <c r="P456" i="42"/>
  <c r="P457" i="42"/>
  <c r="P458" i="42"/>
  <c r="P459" i="42"/>
  <c r="P460" i="42"/>
  <c r="P461" i="42"/>
  <c r="P462" i="42"/>
  <c r="P463" i="42"/>
  <c r="P464" i="42"/>
  <c r="P465" i="42"/>
  <c r="P466" i="42"/>
  <c r="P467" i="42"/>
  <c r="P468" i="42"/>
  <c r="P469" i="42"/>
  <c r="P470" i="42"/>
  <c r="P471" i="42"/>
  <c r="P472" i="42"/>
  <c r="P473" i="42"/>
  <c r="P474" i="42"/>
  <c r="P475" i="42"/>
  <c r="P476" i="42"/>
  <c r="P477" i="42"/>
  <c r="P478" i="42"/>
  <c r="L4" i="43" l="1"/>
  <c r="M1" i="42"/>
  <c r="M3" i="42"/>
  <c r="M11" i="42"/>
  <c r="M4" i="42"/>
  <c r="M5" i="42"/>
  <c r="M6" i="42"/>
  <c r="M7" i="42"/>
  <c r="M8" i="42"/>
  <c r="M9" i="42"/>
  <c r="M10" i="42"/>
  <c r="M2" i="42"/>
  <c r="Q478" i="42"/>
  <c r="Q477" i="42"/>
  <c r="Q476" i="42"/>
  <c r="Q475" i="42"/>
  <c r="Q474" i="42"/>
  <c r="Q473" i="42"/>
  <c r="Q472" i="42"/>
  <c r="Q471" i="42"/>
  <c r="Q470" i="42"/>
  <c r="Q469" i="42"/>
  <c r="Q468" i="42"/>
  <c r="Q467" i="42"/>
  <c r="Q466" i="42"/>
  <c r="Q465" i="42"/>
  <c r="Q464" i="42"/>
  <c r="Q463" i="42"/>
  <c r="Q462" i="42"/>
  <c r="Q461" i="42"/>
  <c r="Q460" i="42"/>
  <c r="Q459" i="42"/>
  <c r="Q458" i="42"/>
  <c r="Q457" i="42"/>
  <c r="Q456" i="42"/>
  <c r="Q455" i="42"/>
  <c r="Q454" i="42"/>
  <c r="Q453" i="42"/>
  <c r="Q452" i="42"/>
  <c r="Q451" i="42"/>
  <c r="Q450" i="42"/>
  <c r="Q449" i="42"/>
  <c r="Q448" i="42"/>
  <c r="Q447" i="42"/>
  <c r="Q446" i="42"/>
  <c r="Q445" i="42"/>
  <c r="Q444" i="42"/>
  <c r="Q443" i="42"/>
  <c r="Q442" i="42"/>
  <c r="Q441" i="42"/>
  <c r="Q440" i="42"/>
  <c r="Q439" i="42"/>
  <c r="Q438" i="42"/>
  <c r="Q437" i="42"/>
  <c r="Q436" i="42"/>
  <c r="Q435" i="42"/>
  <c r="Q434" i="42"/>
  <c r="Q433" i="42"/>
  <c r="Q432" i="42"/>
  <c r="Q431" i="42"/>
  <c r="Q430" i="42"/>
  <c r="Q429" i="42"/>
  <c r="Q428" i="42"/>
  <c r="Q427" i="42"/>
  <c r="Q426" i="42"/>
  <c r="Q425" i="42"/>
  <c r="Q424" i="42"/>
  <c r="Q423" i="42"/>
  <c r="Q422" i="42"/>
  <c r="Q421" i="42"/>
  <c r="Q420" i="42"/>
  <c r="Q419" i="42"/>
  <c r="Q418" i="42"/>
  <c r="Q417" i="42"/>
  <c r="Q416" i="42"/>
  <c r="Q415" i="42"/>
  <c r="Q414" i="42"/>
  <c r="Q413" i="42"/>
  <c r="Q412" i="42"/>
  <c r="Q411" i="42"/>
  <c r="Q410" i="42"/>
  <c r="Q409" i="42"/>
  <c r="Q408" i="42"/>
  <c r="Q407" i="42"/>
  <c r="Q406" i="42"/>
  <c r="Q405" i="42"/>
  <c r="Q404" i="42"/>
  <c r="Q403" i="42"/>
  <c r="Q402" i="42"/>
  <c r="Q401" i="42"/>
  <c r="Q400" i="42"/>
  <c r="Q399" i="42"/>
  <c r="Q398" i="42"/>
  <c r="Q397" i="42"/>
  <c r="Q396" i="42"/>
  <c r="Q395" i="42"/>
  <c r="Q394" i="42"/>
  <c r="Q393" i="42"/>
  <c r="Q392" i="42"/>
  <c r="Q391" i="42"/>
  <c r="Q390" i="42"/>
  <c r="Q389" i="42"/>
  <c r="Q388" i="42"/>
  <c r="Q387" i="42"/>
  <c r="Q386" i="42"/>
  <c r="Q385" i="42"/>
  <c r="Q384" i="42"/>
  <c r="Q383" i="42"/>
  <c r="Q382" i="42"/>
  <c r="Q381" i="42"/>
  <c r="Q380" i="42"/>
  <c r="Q379" i="42"/>
  <c r="Q378" i="42"/>
  <c r="Q377" i="42"/>
  <c r="Q376" i="42"/>
  <c r="Q375" i="42"/>
  <c r="Q374" i="42"/>
  <c r="Q373" i="42"/>
  <c r="Q372" i="42"/>
  <c r="Q371" i="42"/>
  <c r="Q370" i="42"/>
  <c r="Q369" i="42"/>
  <c r="Q368" i="42"/>
  <c r="Q367" i="42"/>
  <c r="Q366" i="42"/>
  <c r="Q365" i="42"/>
  <c r="Q364" i="42"/>
  <c r="Q363" i="42"/>
  <c r="Q362" i="42"/>
  <c r="Q361" i="42"/>
  <c r="Q360" i="42"/>
  <c r="Q359" i="42"/>
  <c r="Q358" i="42"/>
  <c r="Q357" i="42"/>
  <c r="Q356" i="42"/>
  <c r="Q355" i="42"/>
  <c r="Q354" i="42"/>
  <c r="Q353" i="42"/>
  <c r="Q352" i="42"/>
  <c r="Q351" i="42"/>
  <c r="Q350" i="42"/>
  <c r="Q349" i="42"/>
  <c r="Q348" i="42"/>
  <c r="Q347" i="42"/>
  <c r="Q346" i="42"/>
  <c r="Q345" i="42"/>
  <c r="Q344" i="42"/>
  <c r="Q343" i="42"/>
  <c r="Q342" i="42"/>
  <c r="Q341" i="42"/>
  <c r="Q340" i="42"/>
  <c r="Q339" i="42"/>
  <c r="Q338" i="42"/>
  <c r="Q337" i="42"/>
  <c r="Q336" i="42"/>
  <c r="Q335" i="42"/>
  <c r="Q334" i="42"/>
  <c r="Q333" i="42"/>
  <c r="Q332" i="42"/>
  <c r="Q331" i="42"/>
  <c r="Q330" i="42"/>
  <c r="Q329" i="42"/>
  <c r="Q328" i="42"/>
  <c r="Q327" i="42"/>
  <c r="Q326" i="42"/>
  <c r="Q325" i="42"/>
  <c r="Q324" i="42"/>
  <c r="Q323" i="42"/>
  <c r="Q322" i="42"/>
  <c r="Q321" i="42"/>
  <c r="Q320" i="42"/>
  <c r="Q319" i="42"/>
  <c r="Q318" i="42"/>
  <c r="Q317" i="42"/>
  <c r="Q316" i="42"/>
  <c r="Q315" i="42"/>
  <c r="Q314" i="42"/>
  <c r="Q313" i="42"/>
  <c r="Q312" i="42"/>
  <c r="Q311" i="42"/>
  <c r="Q310" i="42"/>
  <c r="Q309" i="42"/>
  <c r="Q308" i="42"/>
  <c r="Q307" i="42"/>
  <c r="Q306" i="42"/>
  <c r="Q305" i="42"/>
  <c r="Q304" i="42"/>
  <c r="Q303" i="42"/>
  <c r="Q302" i="42"/>
  <c r="Q301" i="42"/>
  <c r="Q300" i="42"/>
  <c r="Q299" i="42"/>
  <c r="Q298" i="42"/>
  <c r="Q297" i="42"/>
  <c r="Q296" i="42"/>
  <c r="Q295" i="42"/>
  <c r="Q294" i="42"/>
  <c r="Q293" i="42"/>
  <c r="Q292" i="42"/>
  <c r="Q291" i="42"/>
  <c r="Q290" i="42"/>
  <c r="Q289" i="42"/>
  <c r="Q288" i="42"/>
  <c r="Q287" i="42"/>
  <c r="Q286" i="42"/>
  <c r="Q285" i="42"/>
  <c r="Q284" i="42"/>
  <c r="Q283" i="42"/>
  <c r="Q282" i="42"/>
  <c r="Q281" i="42"/>
  <c r="Q280" i="42"/>
  <c r="Q279" i="42"/>
  <c r="Q278" i="42"/>
  <c r="Q277" i="42"/>
  <c r="Q276" i="42"/>
  <c r="Q275" i="42"/>
  <c r="Q274" i="42"/>
  <c r="Q273" i="42"/>
  <c r="Q272" i="42"/>
  <c r="Q271" i="42"/>
  <c r="Q270" i="42"/>
  <c r="Q269" i="42"/>
  <c r="Q268" i="42"/>
  <c r="Q267" i="42"/>
  <c r="Q266" i="42"/>
  <c r="Q265" i="42"/>
  <c r="Q264" i="42"/>
  <c r="Q263" i="42"/>
  <c r="Q262" i="42"/>
  <c r="Q261" i="42"/>
  <c r="Q260" i="42"/>
  <c r="Q259" i="42"/>
  <c r="Q258" i="42"/>
  <c r="Q257" i="42"/>
  <c r="Q256" i="42"/>
  <c r="Q255" i="42"/>
  <c r="Q254" i="42"/>
  <c r="Q253" i="42"/>
  <c r="Q252" i="42"/>
  <c r="Q251" i="42"/>
  <c r="Q250" i="42"/>
  <c r="Q249" i="42"/>
  <c r="Q248" i="42"/>
  <c r="Q247" i="42"/>
  <c r="Q246" i="42"/>
  <c r="Q245" i="42"/>
  <c r="Q244" i="42"/>
  <c r="Q243" i="42"/>
  <c r="Q242" i="42"/>
  <c r="Q241" i="42"/>
  <c r="Q240" i="42"/>
  <c r="Q239" i="42"/>
  <c r="Q238" i="42"/>
  <c r="Q237" i="42"/>
  <c r="Q236" i="42"/>
  <c r="Q235" i="42"/>
  <c r="Q234" i="42"/>
  <c r="Q233" i="42"/>
  <c r="Q232" i="42"/>
  <c r="Q231" i="42"/>
  <c r="Q230" i="42"/>
  <c r="Q229" i="42"/>
  <c r="Q228" i="42"/>
  <c r="Q227" i="42"/>
  <c r="Q226" i="42"/>
  <c r="Q225" i="42"/>
  <c r="Q224" i="42"/>
  <c r="Q223" i="42"/>
  <c r="Q222" i="42"/>
  <c r="Q221" i="42"/>
  <c r="Q220" i="42"/>
  <c r="Q219" i="42"/>
  <c r="Q218" i="42"/>
  <c r="Q217" i="42"/>
  <c r="Q216" i="42"/>
  <c r="Q215" i="42"/>
  <c r="Q214" i="42"/>
  <c r="Q213" i="42"/>
  <c r="Q212" i="42"/>
  <c r="Q211" i="42"/>
  <c r="Q210" i="42"/>
  <c r="Q209" i="42"/>
  <c r="Q208" i="42"/>
  <c r="Q207" i="42"/>
  <c r="Q206" i="42"/>
  <c r="Q205" i="42"/>
  <c r="Q204" i="42"/>
  <c r="Q203" i="42"/>
  <c r="Q202" i="42"/>
  <c r="Q201" i="42"/>
  <c r="Q200" i="42"/>
  <c r="Q199" i="42"/>
  <c r="Q198" i="42"/>
  <c r="Q197" i="42"/>
  <c r="Q196" i="42"/>
  <c r="Q195" i="42"/>
  <c r="Q194" i="42"/>
  <c r="Q193" i="42"/>
  <c r="Q192" i="42"/>
  <c r="Q191" i="42"/>
  <c r="Q190" i="42"/>
  <c r="Q189" i="42"/>
  <c r="Q188" i="42"/>
  <c r="Q187" i="42"/>
  <c r="Q186" i="42"/>
  <c r="Q185" i="42"/>
  <c r="Q184" i="42"/>
  <c r="Q183" i="42"/>
  <c r="Q182" i="42"/>
  <c r="Q177" i="42"/>
  <c r="Q176" i="42"/>
  <c r="Q175" i="42"/>
  <c r="Q174" i="42"/>
  <c r="Q173" i="42"/>
  <c r="Q172" i="42"/>
  <c r="Q171" i="42"/>
  <c r="Q170" i="42"/>
  <c r="Q169" i="42"/>
  <c r="Q168" i="42"/>
  <c r="Q167" i="42"/>
  <c r="Q166" i="42"/>
  <c r="Q165" i="42"/>
  <c r="Q164" i="42"/>
  <c r="Q163" i="42"/>
  <c r="Q162" i="42"/>
  <c r="Q161" i="42"/>
  <c r="Q160" i="42"/>
  <c r="Q159" i="42"/>
  <c r="Q158" i="42"/>
  <c r="Q157" i="42"/>
  <c r="Q156" i="42"/>
  <c r="Q155" i="42"/>
  <c r="Q154" i="42"/>
  <c r="Q153" i="42"/>
  <c r="Q152" i="42"/>
  <c r="Q151" i="42"/>
  <c r="Q150" i="42"/>
  <c r="Q149" i="42"/>
  <c r="Q148" i="42"/>
  <c r="Q147" i="42"/>
  <c r="Q146" i="42"/>
  <c r="Q145" i="42"/>
  <c r="Q144" i="42"/>
  <c r="Q143" i="42"/>
  <c r="Q142" i="42"/>
  <c r="Q141" i="42"/>
  <c r="Q140" i="42"/>
  <c r="Q139" i="42"/>
  <c r="Q138" i="42"/>
  <c r="Q137" i="42"/>
  <c r="Q136" i="42"/>
  <c r="Q135" i="42"/>
  <c r="Q134" i="42"/>
  <c r="Q133" i="42"/>
  <c r="Q132" i="42"/>
  <c r="Q131" i="42"/>
  <c r="Q130" i="42"/>
  <c r="Q129" i="42"/>
  <c r="Q128" i="42"/>
  <c r="Q127" i="42"/>
  <c r="Q126" i="42"/>
  <c r="Q125" i="42"/>
  <c r="Q124" i="42"/>
  <c r="Q123" i="42"/>
  <c r="Q122" i="42"/>
  <c r="Q121" i="42"/>
  <c r="Q120" i="42"/>
  <c r="Q119" i="42"/>
  <c r="Q118" i="42"/>
  <c r="Q117" i="42"/>
  <c r="Q116" i="42"/>
  <c r="Q115" i="42"/>
  <c r="Q114" i="42"/>
  <c r="Q113" i="42"/>
  <c r="Q112" i="42"/>
  <c r="Q111" i="42"/>
  <c r="Q110" i="42"/>
  <c r="Q109" i="42"/>
  <c r="Q108" i="42"/>
  <c r="Q107" i="42"/>
  <c r="Q106" i="42"/>
  <c r="Q105" i="42"/>
  <c r="Q104" i="42"/>
  <c r="Q103" i="42"/>
  <c r="Q102" i="42"/>
  <c r="Q101" i="42"/>
  <c r="Q100" i="42"/>
  <c r="Q99" i="42"/>
  <c r="Q98" i="42"/>
  <c r="Q97" i="42"/>
  <c r="Q96" i="42"/>
  <c r="Q95" i="42"/>
  <c r="Q94" i="42"/>
  <c r="Q93" i="42"/>
  <c r="Q92" i="42"/>
  <c r="Q91" i="42"/>
  <c r="Q90" i="42"/>
  <c r="Q89" i="42"/>
  <c r="Q88" i="42"/>
  <c r="Q87" i="42"/>
  <c r="Q86" i="42"/>
  <c r="Q85" i="42"/>
  <c r="Q84" i="42"/>
  <c r="Q83" i="42"/>
  <c r="Q82" i="42"/>
  <c r="Q81" i="42"/>
  <c r="Q80" i="42"/>
  <c r="Q79" i="42"/>
  <c r="Q78" i="42"/>
  <c r="Q77" i="42"/>
  <c r="Q76" i="42"/>
  <c r="Q75" i="42"/>
  <c r="Q74" i="42"/>
  <c r="Q73" i="42"/>
  <c r="Q72" i="42"/>
  <c r="Q71" i="42"/>
  <c r="Q70" i="42"/>
  <c r="Q69" i="42"/>
  <c r="Q68" i="42"/>
  <c r="Q67" i="42"/>
  <c r="Q66" i="42"/>
  <c r="Q65" i="42"/>
  <c r="Q64" i="42"/>
  <c r="Q63" i="42"/>
  <c r="Q62" i="42"/>
  <c r="Q61" i="42"/>
  <c r="Q60" i="42"/>
  <c r="Q59" i="42"/>
  <c r="Q58" i="42"/>
  <c r="Q57" i="42"/>
  <c r="Q56" i="42"/>
  <c r="Q55" i="42"/>
  <c r="Q54" i="42"/>
  <c r="Q53" i="42"/>
  <c r="Q52" i="42"/>
  <c r="Q51" i="42"/>
  <c r="Q50" i="42"/>
  <c r="Q49" i="42"/>
  <c r="Q48" i="42"/>
  <c r="Q47" i="42"/>
  <c r="Q46" i="42"/>
  <c r="Q45" i="42"/>
  <c r="Q44" i="42"/>
  <c r="Q43" i="42"/>
  <c r="Q42" i="42"/>
  <c r="Q41" i="42"/>
  <c r="Q40" i="42"/>
  <c r="Q39" i="42"/>
  <c r="Q38" i="42"/>
  <c r="Q37" i="42"/>
  <c r="Q36" i="42"/>
  <c r="Q35" i="42"/>
  <c r="Q34" i="42"/>
  <c r="Q33" i="42"/>
  <c r="Q32" i="42"/>
  <c r="Q31" i="42"/>
  <c r="Q30" i="42"/>
  <c r="Q29" i="42"/>
  <c r="Q28" i="42"/>
  <c r="Q27" i="42"/>
  <c r="Q26" i="42"/>
  <c r="Q25" i="42"/>
  <c r="Q24" i="42"/>
  <c r="Q23" i="42"/>
  <c r="Q22" i="42"/>
  <c r="Q21" i="42"/>
  <c r="Q20" i="42"/>
  <c r="Q19" i="42"/>
  <c r="Q18" i="42"/>
  <c r="Q17" i="42"/>
  <c r="Q16" i="42"/>
  <c r="Q15" i="42"/>
  <c r="Q14" i="42"/>
  <c r="Q13" i="42"/>
  <c r="Q12" i="42"/>
  <c r="Q11" i="42"/>
  <c r="Q10" i="42"/>
  <c r="Q9" i="42"/>
  <c r="Q8" i="42"/>
  <c r="Q7" i="42"/>
  <c r="Q6" i="42"/>
  <c r="Q5" i="42"/>
  <c r="Q4" i="42"/>
  <c r="Q3" i="42"/>
  <c r="Q2" i="42"/>
  <c r="Q181" i="42"/>
  <c r="Q180" i="42"/>
  <c r="Q179" i="42"/>
  <c r="Q178" i="42"/>
  <c r="I4" i="43" l="1"/>
  <c r="N2" i="42"/>
  <c r="N10" i="42"/>
  <c r="N9" i="42"/>
  <c r="N8" i="42"/>
  <c r="N7" i="42"/>
  <c r="N6" i="42"/>
  <c r="N5" i="42"/>
  <c r="N4" i="42"/>
  <c r="N11" i="42"/>
  <c r="N3" i="42"/>
  <c r="K4" i="43"/>
  <c r="M4" i="43" l="1"/>
  <c r="N3" i="33" l="1" a="1"/>
  <c r="P3" i="45" l="1"/>
  <c r="P4" i="46"/>
  <c r="D4" i="46"/>
  <c r="D5" i="46"/>
  <c r="C5" i="46"/>
  <c r="C6" i="46"/>
  <c r="C7" i="46"/>
  <c r="C4" i="46"/>
  <c r="N32" i="47" l="1"/>
  <c r="N33" i="47"/>
  <c r="N34" i="47"/>
  <c r="N35" i="47"/>
  <c r="N36" i="47"/>
  <c r="P4" i="47"/>
  <c r="P3" i="47"/>
  <c r="J6" i="47"/>
  <c r="J7" i="47"/>
  <c r="J8" i="47"/>
  <c r="J9" i="47"/>
  <c r="J10" i="47"/>
  <c r="J5" i="47"/>
  <c r="J4" i="47"/>
  <c r="K1" i="47"/>
  <c r="K9" i="47" s="1"/>
  <c r="K6" i="47"/>
  <c r="N6" i="47" s="1"/>
  <c r="R6" i="47"/>
  <c r="K10" i="47"/>
  <c r="L1" i="47"/>
  <c r="K7" i="47"/>
  <c r="K5" i="47"/>
  <c r="S7" i="47"/>
  <c r="S6" i="47"/>
  <c r="S10" i="47"/>
  <c r="L6" i="47"/>
  <c r="K8" i="47"/>
  <c r="K4" i="47"/>
  <c r="L9" i="47"/>
  <c r="R5" i="47"/>
  <c r="N5" i="47"/>
  <c r="S9" i="47"/>
  <c r="R4" i="47"/>
  <c r="L8" i="47"/>
  <c r="N9" i="47"/>
  <c r="R9" i="47"/>
  <c r="R10" i="47"/>
  <c r="L10" i="47"/>
  <c r="N10" i="47"/>
  <c r="L7" i="47"/>
  <c r="N7" i="47"/>
  <c r="R7" i="47"/>
  <c r="S5" i="47"/>
  <c r="L5" i="47"/>
  <c r="R8" i="47"/>
  <c r="N8" i="47"/>
  <c r="S8" i="47"/>
  <c r="S4" i="47"/>
  <c r="N4" i="47"/>
  <c r="L4" i="47"/>
  <c r="P13" i="46" l="1"/>
  <c r="P12" i="46"/>
  <c r="P14" i="46"/>
  <c r="D7" i="46"/>
  <c r="D6" i="46"/>
  <c r="P11" i="46"/>
  <c r="P3" i="46"/>
  <c r="P10" i="46" s="1"/>
  <c r="D3" i="46"/>
  <c r="O29" i="45"/>
  <c r="O28" i="45" l="1"/>
  <c r="O27" i="45"/>
  <c r="O26" i="45"/>
  <c r="J5" i="45" l="1"/>
  <c r="J6" i="45"/>
  <c r="J7" i="45"/>
  <c r="J8" i="45"/>
  <c r="J9" i="45"/>
  <c r="J4" i="45"/>
  <c r="K1" i="45"/>
  <c r="L1" i="45"/>
  <c r="K9" i="45"/>
  <c r="R9" i="45"/>
  <c r="K4" i="45"/>
  <c r="K8" i="45"/>
  <c r="K7" i="45"/>
  <c r="K6" i="45"/>
  <c r="K5" i="45"/>
  <c r="L9" i="45"/>
  <c r="S9" i="45"/>
  <c r="N9" i="45"/>
  <c r="R4" i="45"/>
  <c r="N4" i="45"/>
  <c r="S4" i="45"/>
  <c r="R8" i="45"/>
  <c r="N8" i="45"/>
  <c r="L8" i="45"/>
  <c r="S8" i="45"/>
  <c r="S7" i="45"/>
  <c r="N7" i="45"/>
  <c r="R7" i="45"/>
  <c r="L7" i="45"/>
  <c r="L6" i="45"/>
  <c r="S6" i="45"/>
  <c r="R6" i="45"/>
  <c r="N6" i="45"/>
  <c r="L5" i="45"/>
  <c r="R5" i="45"/>
  <c r="N5" i="45"/>
  <c r="S5" i="45"/>
  <c r="P13" i="44" l="1"/>
  <c r="P12" i="44"/>
  <c r="P7" i="44"/>
  <c r="P14" i="44" s="1"/>
  <c r="D7" i="44"/>
  <c r="D6" i="44"/>
  <c r="D5" i="44"/>
  <c r="P4" i="44"/>
  <c r="P11" i="44" s="1"/>
  <c r="P3" i="44"/>
  <c r="P10" i="44" s="1"/>
  <c r="D3" i="44"/>
  <c r="L4" i="45"/>
  <c r="P7" i="43" l="1"/>
  <c r="P14" i="43" s="1"/>
  <c r="P4" i="43"/>
  <c r="P11" i="43" s="1"/>
  <c r="P3" i="43"/>
  <c r="P13" i="43"/>
  <c r="P12" i="43"/>
  <c r="D3" i="43"/>
  <c r="Y3" i="43" a="1"/>
  <c r="Y9" i="43" a="1"/>
  <c r="Y13" i="43" a="1"/>
  <c r="Y13" i="43" l="1"/>
  <c r="Y9" i="43"/>
  <c r="Y10" i="43"/>
  <c r="Y3" i="43"/>
  <c r="Y4" i="43"/>
  <c r="Y5" i="43"/>
  <c r="P10" i="43"/>
  <c r="P4" i="39"/>
  <c r="P7" i="39"/>
  <c r="P3" i="39"/>
  <c r="P11" i="39" l="1"/>
  <c r="P10" i="39"/>
  <c r="P12" i="39"/>
  <c r="P13" i="39"/>
  <c r="P14" i="39"/>
  <c r="C6" i="39"/>
  <c r="D6" i="39" s="1"/>
  <c r="C7" i="39"/>
  <c r="D7" i="39" s="1"/>
  <c r="C5" i="39"/>
  <c r="D5" i="39" s="1"/>
  <c r="D3" i="39"/>
  <c r="C4" i="40" l="1"/>
  <c r="D4" i="40" s="1"/>
  <c r="C3" i="40"/>
  <c r="D3" i="40" s="1"/>
  <c r="A5" i="40"/>
  <c r="A6" i="40" s="1"/>
  <c r="A7" i="40" s="1"/>
  <c r="A8" i="40" l="1"/>
  <c r="C7" i="40"/>
  <c r="D7" i="40" s="1"/>
  <c r="C6" i="40"/>
  <c r="D6" i="40"/>
  <c r="C5" i="40"/>
  <c r="D5" i="40" s="1"/>
  <c r="A9" i="40" l="1"/>
  <c r="C8" i="40"/>
  <c r="D8" i="40" s="1"/>
  <c r="A10" i="40" l="1"/>
  <c r="C9" i="40"/>
  <c r="D9" i="40" s="1"/>
  <c r="A11" i="40" l="1"/>
  <c r="C10" i="40"/>
  <c r="D10" i="40" s="1"/>
  <c r="A12" i="40" l="1"/>
  <c r="C11" i="40"/>
  <c r="D11" i="40" s="1"/>
  <c r="A13" i="40" l="1"/>
  <c r="C12" i="40"/>
  <c r="D12" i="40" s="1"/>
  <c r="A14" i="40" l="1"/>
  <c r="C13" i="40"/>
  <c r="D13" i="40" s="1"/>
  <c r="J22" i="29"/>
  <c r="J19" i="29"/>
  <c r="A15" i="40" l="1"/>
  <c r="C14" i="40"/>
  <c r="D14" i="40" s="1"/>
  <c r="I75" i="33"/>
  <c r="I76" i="33"/>
  <c r="I77" i="33"/>
  <c r="I78" i="33"/>
  <c r="I79" i="33"/>
  <c r="I80" i="33"/>
  <c r="I81" i="33"/>
  <c r="I82" i="33"/>
  <c r="I83" i="33"/>
  <c r="I84" i="33"/>
  <c r="I74" i="33"/>
  <c r="A16" i="40" l="1"/>
  <c r="C15" i="40"/>
  <c r="D15" i="40" s="1"/>
  <c r="C2" i="33"/>
  <c r="A9" i="33"/>
  <c r="A17" i="40" l="1"/>
  <c r="C16" i="40"/>
  <c r="D16" i="40" s="1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A18" i="40" l="1"/>
  <c r="C17" i="40"/>
  <c r="D17" i="40" s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43" i="33"/>
  <c r="D46" i="33"/>
  <c r="D41" i="33"/>
  <c r="D75" i="33"/>
  <c r="D42" i="33"/>
  <c r="D63" i="33"/>
  <c r="D48" i="33"/>
  <c r="D54" i="33"/>
  <c r="D50" i="33"/>
  <c r="D67" i="33"/>
  <c r="D53" i="33"/>
  <c r="D78" i="33"/>
  <c r="D73" i="33"/>
  <c r="D82" i="33"/>
  <c r="D62" i="33"/>
  <c r="D72" i="33"/>
  <c r="D64" i="33"/>
  <c r="D84" i="33"/>
  <c r="D44" i="33"/>
  <c r="D60" i="33"/>
  <c r="D51" i="33"/>
  <c r="D49" i="33"/>
  <c r="D58" i="33"/>
  <c r="D45" i="33"/>
  <c r="D79" i="33"/>
  <c r="D55" i="33"/>
  <c r="D80" i="33"/>
  <c r="D74" i="33"/>
  <c r="D56" i="33"/>
  <c r="D61" i="33"/>
  <c r="D65" i="33"/>
  <c r="D69" i="33"/>
  <c r="D81" i="33"/>
  <c r="D66" i="33"/>
  <c r="D52" i="33"/>
  <c r="D68" i="33"/>
  <c r="D47" i="33"/>
  <c r="D77" i="33"/>
  <c r="D59" i="33"/>
  <c r="D71" i="33"/>
  <c r="D57" i="33"/>
  <c r="D76" i="33"/>
  <c r="D83" i="33"/>
  <c r="D70" i="33"/>
  <c r="A19" i="40" l="1"/>
  <c r="C18" i="40"/>
  <c r="D18" i="40" s="1"/>
  <c r="C9" i="33"/>
  <c r="C12" i="33"/>
  <c r="C13" i="33"/>
  <c r="C8" i="33"/>
  <c r="C14" i="33"/>
  <c r="C11" i="33"/>
  <c r="C10" i="33"/>
  <c r="A4" i="33"/>
  <c r="A26" i="33"/>
  <c r="A16" i="33"/>
  <c r="E47" i="33"/>
  <c r="E84" i="33"/>
  <c r="E58" i="33"/>
  <c r="E57" i="33"/>
  <c r="E48" i="33"/>
  <c r="E83" i="33"/>
  <c r="E80" i="33"/>
  <c r="E72" i="33"/>
  <c r="E45" i="33"/>
  <c r="E74" i="33"/>
  <c r="E78" i="33"/>
  <c r="E60" i="33"/>
  <c r="E71" i="33"/>
  <c r="E54" i="33"/>
  <c r="E43" i="33"/>
  <c r="E70" i="33"/>
  <c r="E50" i="33"/>
  <c r="E41" i="33"/>
  <c r="E69" i="33"/>
  <c r="E56" i="33"/>
  <c r="E52" i="33"/>
  <c r="E49" i="33"/>
  <c r="E76" i="33"/>
  <c r="E67" i="33"/>
  <c r="E62" i="33"/>
  <c r="E53" i="33"/>
  <c r="E75" i="33"/>
  <c r="E68" i="33"/>
  <c r="E46" i="33"/>
  <c r="E65" i="33"/>
  <c r="E66" i="33"/>
  <c r="E81" i="33"/>
  <c r="E64" i="33"/>
  <c r="E51" i="33"/>
  <c r="E44" i="33"/>
  <c r="E42" i="33"/>
  <c r="E73" i="33"/>
  <c r="E63" i="33"/>
  <c r="E79" i="33"/>
  <c r="E82" i="33"/>
  <c r="E59" i="33"/>
  <c r="E55" i="33"/>
  <c r="E61" i="33"/>
  <c r="E77" i="33"/>
  <c r="A20" i="40" l="1"/>
  <c r="C19" i="40"/>
  <c r="D19" i="40" s="1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29" i="33"/>
  <c r="D10" i="33"/>
  <c r="D18" i="29"/>
  <c r="D30" i="33"/>
  <c r="D33" i="33"/>
  <c r="D4" i="33"/>
  <c r="F23" i="43"/>
  <c r="D45" i="35"/>
  <c r="D25" i="33"/>
  <c r="D30" i="35"/>
  <c r="F30" i="46"/>
  <c r="D10" i="35"/>
  <c r="D42" i="35"/>
  <c r="E7" i="44"/>
  <c r="D47" i="35"/>
  <c r="D11" i="35"/>
  <c r="E6" i="46"/>
  <c r="D35" i="33"/>
  <c r="D17" i="35"/>
  <c r="D31" i="35"/>
  <c r="F19" i="44"/>
  <c r="D50" i="35"/>
  <c r="D16" i="35"/>
  <c r="F23" i="39"/>
  <c r="D18" i="35"/>
  <c r="F21" i="39"/>
  <c r="D16" i="33"/>
  <c r="D28" i="35"/>
  <c r="F22" i="46"/>
  <c r="D21" i="35"/>
  <c r="F26" i="39"/>
  <c r="F22" i="39"/>
  <c r="F20" i="39"/>
  <c r="F20" i="46"/>
  <c r="F25" i="39"/>
  <c r="D26" i="33"/>
  <c r="D38" i="33"/>
  <c r="D44" i="35"/>
  <c r="F26" i="46"/>
  <c r="D3" i="35"/>
  <c r="D40" i="35"/>
  <c r="F18" i="43"/>
  <c r="F21" i="43"/>
  <c r="F22" i="43"/>
  <c r="D8" i="33"/>
  <c r="D8" i="35"/>
  <c r="D39" i="35"/>
  <c r="D32" i="33"/>
  <c r="D4" i="35"/>
  <c r="D2" i="35"/>
  <c r="D29" i="35"/>
  <c r="Q36" i="47"/>
  <c r="D13" i="33"/>
  <c r="E6" i="39"/>
  <c r="F21" i="46"/>
  <c r="D37" i="33"/>
  <c r="D15" i="33"/>
  <c r="D6" i="33"/>
  <c r="D38" i="35"/>
  <c r="D36" i="35"/>
  <c r="D6" i="35"/>
  <c r="D3" i="33"/>
  <c r="D27" i="35"/>
  <c r="D27" i="33"/>
  <c r="D31" i="33"/>
  <c r="D33" i="35"/>
  <c r="Q33" i="47"/>
  <c r="F31" i="46"/>
  <c r="F22" i="44"/>
  <c r="D19" i="29"/>
  <c r="D12" i="33"/>
  <c r="F33" i="46"/>
  <c r="D18" i="33"/>
  <c r="D48" i="35"/>
  <c r="D7" i="35"/>
  <c r="D46" i="35"/>
  <c r="F25" i="46"/>
  <c r="E6" i="44"/>
  <c r="D49" i="35"/>
  <c r="D19" i="35"/>
  <c r="D15" i="35"/>
  <c r="E7" i="39"/>
  <c r="E7" i="46"/>
  <c r="J14" i="46" s="1"/>
  <c r="D23" i="35"/>
  <c r="D14" i="35"/>
  <c r="D24" i="35"/>
  <c r="D41" i="35"/>
  <c r="D17" i="33"/>
  <c r="D24" i="33"/>
  <c r="F18" i="46"/>
  <c r="Q35" i="47"/>
  <c r="F24" i="43"/>
  <c r="F20" i="44"/>
  <c r="F27" i="39"/>
  <c r="F21" i="44"/>
  <c r="F24" i="39"/>
  <c r="E4" i="46"/>
  <c r="D39" i="33"/>
  <c r="D40" i="33"/>
  <c r="Q32" i="47"/>
  <c r="D26" i="35"/>
  <c r="F19" i="46"/>
  <c r="D35" i="35"/>
  <c r="F18" i="39"/>
  <c r="D22" i="35"/>
  <c r="D37" i="35"/>
  <c r="F7" i="46"/>
  <c r="D28" i="33"/>
  <c r="Q31" i="47"/>
  <c r="E5" i="46"/>
  <c r="J12" i="46" s="1"/>
  <c r="E5" i="39"/>
  <c r="D34" i="35"/>
  <c r="D5" i="33"/>
  <c r="D20" i="35"/>
  <c r="F18" i="44"/>
  <c r="D32" i="35"/>
  <c r="D11" i="33"/>
  <c r="D20" i="33"/>
  <c r="F28" i="46"/>
  <c r="D7" i="33"/>
  <c r="D12" i="35"/>
  <c r="F20" i="43"/>
  <c r="Q34" i="47"/>
  <c r="F23" i="46"/>
  <c r="F19" i="39"/>
  <c r="F19" i="43"/>
  <c r="D34" i="33"/>
  <c r="D22" i="33"/>
  <c r="F29" i="46"/>
  <c r="D36" i="33"/>
  <c r="D23" i="33"/>
  <c r="D9" i="33"/>
  <c r="D25" i="35"/>
  <c r="D43" i="35"/>
  <c r="E5" i="44"/>
  <c r="B1" i="29"/>
  <c r="D14" i="33"/>
  <c r="F27" i="46"/>
  <c r="D21" i="33"/>
  <c r="D9" i="35"/>
  <c r="D13" i="35"/>
  <c r="D19" i="33"/>
  <c r="F32" i="46"/>
  <c r="F24" i="46"/>
  <c r="D5" i="35"/>
  <c r="J3" i="45" l="1"/>
  <c r="J3" i="47"/>
  <c r="E23" i="46"/>
  <c r="E31" i="46"/>
  <c r="E24" i="46"/>
  <c r="E32" i="46"/>
  <c r="E25" i="46"/>
  <c r="E33" i="46"/>
  <c r="E26" i="46"/>
  <c r="E27" i="46"/>
  <c r="E28" i="46"/>
  <c r="E29" i="46"/>
  <c r="E30" i="46"/>
  <c r="AF3" i="46"/>
  <c r="E19" i="46"/>
  <c r="Q26" i="45"/>
  <c r="E22" i="46"/>
  <c r="E18" i="46"/>
  <c r="E21" i="46"/>
  <c r="E20" i="46"/>
  <c r="E22" i="44"/>
  <c r="E18" i="44"/>
  <c r="AF3" i="44"/>
  <c r="E19" i="44"/>
  <c r="E4" i="44"/>
  <c r="E21" i="44"/>
  <c r="E20" i="44"/>
  <c r="D2" i="42"/>
  <c r="E2" i="42"/>
  <c r="AF3" i="43"/>
  <c r="E19" i="43"/>
  <c r="E23" i="43"/>
  <c r="E24" i="43"/>
  <c r="E4" i="43"/>
  <c r="E22" i="43"/>
  <c r="E18" i="43"/>
  <c r="E21" i="43"/>
  <c r="E20" i="43"/>
  <c r="E19" i="39"/>
  <c r="E4" i="39"/>
  <c r="D2" i="40"/>
  <c r="E2" i="40"/>
  <c r="P2" i="40" s="1"/>
  <c r="C20" i="40"/>
  <c r="D20" i="40" s="1"/>
  <c r="E24" i="39"/>
  <c r="E25" i="39"/>
  <c r="E26" i="39"/>
  <c r="E23" i="39"/>
  <c r="E22" i="39"/>
  <c r="E18" i="39"/>
  <c r="E27" i="39"/>
  <c r="E21" i="39"/>
  <c r="AF3" i="39"/>
  <c r="E20" i="39"/>
  <c r="F4" i="46"/>
  <c r="G18" i="46"/>
  <c r="J11" i="44"/>
  <c r="E17" i="40"/>
  <c r="G27" i="46"/>
  <c r="E16" i="40"/>
  <c r="K19" i="44"/>
  <c r="K22" i="46"/>
  <c r="C5" i="43"/>
  <c r="K23" i="43"/>
  <c r="K18" i="44"/>
  <c r="E9" i="40"/>
  <c r="K27" i="46"/>
  <c r="E10" i="40"/>
  <c r="E20" i="40"/>
  <c r="F5" i="39"/>
  <c r="K21" i="46"/>
  <c r="K19" i="46"/>
  <c r="K23" i="46"/>
  <c r="K3" i="45"/>
  <c r="L13" i="45" a="1"/>
  <c r="J32" i="46"/>
  <c r="J20" i="43"/>
  <c r="L18" i="46"/>
  <c r="G18" i="44"/>
  <c r="G26" i="46"/>
  <c r="J31" i="46"/>
  <c r="L20" i="44"/>
  <c r="F6" i="46"/>
  <c r="J24" i="46"/>
  <c r="E13" i="40"/>
  <c r="F2" i="42"/>
  <c r="G21" i="43"/>
  <c r="J25" i="46"/>
  <c r="J19" i="44"/>
  <c r="K29" i="46"/>
  <c r="J20" i="46"/>
  <c r="L20" i="43"/>
  <c r="N3" i="45"/>
  <c r="K32" i="46"/>
  <c r="G25" i="46"/>
  <c r="K31" i="46"/>
  <c r="J26" i="46"/>
  <c r="K20" i="43"/>
  <c r="G29" i="46"/>
  <c r="E15" i="40"/>
  <c r="F4" i="44"/>
  <c r="G20" i="43"/>
  <c r="G19" i="44"/>
  <c r="J23" i="43"/>
  <c r="L30" i="46"/>
  <c r="L23" i="46"/>
  <c r="E12" i="40"/>
  <c r="F4" i="39"/>
  <c r="J27" i="46"/>
  <c r="AF4" i="39"/>
  <c r="K19" i="43"/>
  <c r="G23" i="46"/>
  <c r="L23" i="43"/>
  <c r="G22" i="43"/>
  <c r="L19" i="43"/>
  <c r="L32" i="46"/>
  <c r="J21" i="43"/>
  <c r="J12" i="44"/>
  <c r="L18" i="44"/>
  <c r="G24" i="43"/>
  <c r="L24" i="43"/>
  <c r="G7" i="46"/>
  <c r="L28" i="46"/>
  <c r="G20" i="44"/>
  <c r="L25" i="46"/>
  <c r="L26" i="46"/>
  <c r="J24" i="43"/>
  <c r="E14" i="40"/>
  <c r="F4" i="43"/>
  <c r="E7" i="40"/>
  <c r="L21" i="44"/>
  <c r="AF4" i="46"/>
  <c r="L18" i="43"/>
  <c r="AF4" i="44"/>
  <c r="E4" i="40"/>
  <c r="K20" i="46"/>
  <c r="G30" i="46"/>
  <c r="J18" i="44"/>
  <c r="E3" i="40"/>
  <c r="K21" i="43"/>
  <c r="J19" i="43"/>
  <c r="G22" i="44"/>
  <c r="L29" i="46"/>
  <c r="J18" i="43"/>
  <c r="F2" i="40"/>
  <c r="E11" i="40"/>
  <c r="J11" i="46"/>
  <c r="L3" i="45"/>
  <c r="E6" i="40"/>
  <c r="J22" i="43"/>
  <c r="K25" i="46"/>
  <c r="K30" i="46"/>
  <c r="K28" i="46"/>
  <c r="J18" i="46"/>
  <c r="I11" i="39"/>
  <c r="G19" i="43"/>
  <c r="G24" i="46"/>
  <c r="L33" i="46"/>
  <c r="L31" i="46"/>
  <c r="S3" i="45"/>
  <c r="J29" i="46"/>
  <c r="AG3" i="43"/>
  <c r="K33" i="46"/>
  <c r="K26" i="46"/>
  <c r="J21" i="46"/>
  <c r="F5" i="44"/>
  <c r="G5" i="44" s="1"/>
  <c r="K24" i="46"/>
  <c r="G21" i="46"/>
  <c r="F6" i="44"/>
  <c r="K13" i="44" s="1"/>
  <c r="J30" i="46"/>
  <c r="J13" i="46"/>
  <c r="G19" i="46"/>
  <c r="L21" i="46"/>
  <c r="G22" i="46"/>
  <c r="E8" i="40"/>
  <c r="F7" i="39"/>
  <c r="F7" i="44"/>
  <c r="G7" i="44" s="1"/>
  <c r="L19" i="46"/>
  <c r="G33" i="46"/>
  <c r="L27" i="46"/>
  <c r="AF4" i="43"/>
  <c r="AG3" i="44"/>
  <c r="L19" i="44"/>
  <c r="G23" i="43"/>
  <c r="K22" i="44"/>
  <c r="E19" i="40"/>
  <c r="K20" i="44"/>
  <c r="F5" i="46"/>
  <c r="E18" i="40"/>
  <c r="G32" i="46"/>
  <c r="K18" i="43"/>
  <c r="K3" i="47"/>
  <c r="S3" i="47"/>
  <c r="J11" i="43"/>
  <c r="G20" i="46"/>
  <c r="G28" i="46"/>
  <c r="J19" i="46"/>
  <c r="G4" i="46"/>
  <c r="J33" i="46"/>
  <c r="L22" i="46"/>
  <c r="J28" i="46"/>
  <c r="G21" i="44"/>
  <c r="L24" i="46"/>
  <c r="R3" i="45"/>
  <c r="P3" i="40"/>
  <c r="K14" i="46"/>
  <c r="L20" i="46"/>
  <c r="AG3" i="46"/>
  <c r="J21" i="44"/>
  <c r="J22" i="46"/>
  <c r="J14" i="44"/>
  <c r="K21" i="44"/>
  <c r="K22" i="43"/>
  <c r="L22" i="44"/>
  <c r="C3" i="42"/>
  <c r="J20" i="44"/>
  <c r="J13" i="44"/>
  <c r="L21" i="43"/>
  <c r="K24" i="43"/>
  <c r="G18" i="43"/>
  <c r="J22" i="44"/>
  <c r="E5" i="40"/>
  <c r="K18" i="46"/>
  <c r="L22" i="43"/>
  <c r="J23" i="46"/>
  <c r="F6" i="39"/>
  <c r="G31" i="46"/>
  <c r="K13" i="46"/>
  <c r="K12" i="46"/>
  <c r="L3" i="47"/>
  <c r="R3" i="47"/>
  <c r="L19" i="45" l="1"/>
  <c r="L20" i="45"/>
  <c r="L21" i="45"/>
  <c r="L14" i="45"/>
  <c r="L15" i="45"/>
  <c r="L16" i="45"/>
  <c r="L17" i="45"/>
  <c r="L13" i="45"/>
  <c r="L18" i="45"/>
  <c r="N12" i="46"/>
  <c r="M12" i="46"/>
  <c r="L12" i="46"/>
  <c r="N13" i="46"/>
  <c r="M13" i="46"/>
  <c r="L13" i="46"/>
  <c r="L13" i="44"/>
  <c r="N13" i="44"/>
  <c r="M13" i="44"/>
  <c r="M14" i="46"/>
  <c r="L14" i="46"/>
  <c r="N14" i="46"/>
  <c r="D5" i="43"/>
  <c r="P4" i="40"/>
  <c r="H5" i="44"/>
  <c r="G5" i="46"/>
  <c r="K14" i="44"/>
  <c r="H7" i="46"/>
  <c r="G6" i="46"/>
  <c r="H5" i="46"/>
  <c r="H7" i="44"/>
  <c r="AG4" i="46"/>
  <c r="K11" i="46"/>
  <c r="K12" i="44"/>
  <c r="N3" i="47"/>
  <c r="H6" i="46"/>
  <c r="H31" i="46"/>
  <c r="G6" i="44"/>
  <c r="M14" i="44" l="1"/>
  <c r="L14" i="44"/>
  <c r="N14" i="44"/>
  <c r="M12" i="44"/>
  <c r="N12" i="44"/>
  <c r="L12" i="44"/>
  <c r="M11" i="46"/>
  <c r="L11" i="46"/>
  <c r="N11" i="46"/>
  <c r="D2" i="33"/>
  <c r="P5" i="40"/>
  <c r="H6" i="44"/>
  <c r="D3" i="42" l="1"/>
  <c r="P6" i="40"/>
  <c r="E38" i="33"/>
  <c r="AF5" i="39"/>
  <c r="E36" i="33"/>
  <c r="AF5" i="46"/>
  <c r="F6" i="40"/>
  <c r="E25" i="33"/>
  <c r="G4" i="43"/>
  <c r="E21" i="33"/>
  <c r="H29" i="46"/>
  <c r="E23" i="33"/>
  <c r="K21" i="39"/>
  <c r="J26" i="39"/>
  <c r="H24" i="43"/>
  <c r="L14" i="47" a="1"/>
  <c r="H23" i="46"/>
  <c r="G22" i="39"/>
  <c r="J13" i="39"/>
  <c r="N14" i="47" a="1"/>
  <c r="F10" i="40"/>
  <c r="AG5" i="39"/>
  <c r="K11" i="44"/>
  <c r="F18" i="40"/>
  <c r="G27" i="39"/>
  <c r="F13" i="40"/>
  <c r="H18" i="44"/>
  <c r="G26" i="39"/>
  <c r="AG4" i="44"/>
  <c r="H30" i="46"/>
  <c r="J35" i="29"/>
  <c r="J34" i="29" s="1"/>
  <c r="F5" i="40"/>
  <c r="E17" i="33"/>
  <c r="E7" i="33"/>
  <c r="E33" i="33"/>
  <c r="F16" i="40"/>
  <c r="G25" i="39"/>
  <c r="F3" i="40"/>
  <c r="E5" i="43"/>
  <c r="L20" i="39"/>
  <c r="AG4" i="39"/>
  <c r="E40" i="33"/>
  <c r="H13" i="40"/>
  <c r="G21" i="39"/>
  <c r="I14" i="39"/>
  <c r="H24" i="46"/>
  <c r="E15" i="33"/>
  <c r="J22" i="39"/>
  <c r="E3" i="33"/>
  <c r="J24" i="39"/>
  <c r="K24" i="39"/>
  <c r="AF6" i="39"/>
  <c r="H33" i="46"/>
  <c r="AG5" i="46"/>
  <c r="AG6" i="39"/>
  <c r="J14" i="39"/>
  <c r="H22" i="43"/>
  <c r="L24" i="39"/>
  <c r="J23" i="39"/>
  <c r="Q14" i="47" a="1"/>
  <c r="H19" i="43"/>
  <c r="G23" i="39"/>
  <c r="AG4" i="43"/>
  <c r="J12" i="39"/>
  <c r="K18" i="39"/>
  <c r="H27" i="46"/>
  <c r="I39" i="29"/>
  <c r="F19" i="40"/>
  <c r="H19" i="46"/>
  <c r="AF5" i="43"/>
  <c r="AF6" i="43" s="1"/>
  <c r="E30" i="33"/>
  <c r="E19" i="33"/>
  <c r="E27" i="33"/>
  <c r="H20" i="44"/>
  <c r="F17" i="40"/>
  <c r="K25" i="39"/>
  <c r="AF7" i="39"/>
  <c r="E24" i="33"/>
  <c r="L23" i="39"/>
  <c r="L26" i="39"/>
  <c r="AF5" i="44"/>
  <c r="G18" i="39"/>
  <c r="H6" i="40"/>
  <c r="K26" i="39"/>
  <c r="E4" i="33"/>
  <c r="F9" i="40"/>
  <c r="Q13" i="45" a="1"/>
  <c r="H4" i="46"/>
  <c r="H25" i="46"/>
  <c r="R13" i="45" a="1"/>
  <c r="E39" i="33"/>
  <c r="F5" i="43"/>
  <c r="J12" i="43"/>
  <c r="J39" i="29"/>
  <c r="D20" i="29"/>
  <c r="AG3" i="39"/>
  <c r="F14" i="40"/>
  <c r="C6" i="43"/>
  <c r="AG5" i="44"/>
  <c r="N23" i="45"/>
  <c r="P26" i="45" s="1"/>
  <c r="I12" i="39"/>
  <c r="K19" i="39"/>
  <c r="G6" i="39"/>
  <c r="H2" i="42"/>
  <c r="E3" i="42"/>
  <c r="E18" i="33"/>
  <c r="AG7" i="39"/>
  <c r="E2" i="33"/>
  <c r="E37" i="33"/>
  <c r="L18" i="39"/>
  <c r="G24" i="39"/>
  <c r="H21" i="44"/>
  <c r="N13" i="45" a="1"/>
  <c r="H20" i="43"/>
  <c r="E20" i="33"/>
  <c r="E5" i="33"/>
  <c r="H5" i="40"/>
  <c r="R14" i="47" a="1"/>
  <c r="L27" i="39"/>
  <c r="E31" i="33"/>
  <c r="F11" i="40"/>
  <c r="J21" i="39"/>
  <c r="H18" i="46"/>
  <c r="J19" i="39"/>
  <c r="J18" i="39"/>
  <c r="H18" i="43"/>
  <c r="I38" i="29"/>
  <c r="H22" i="46"/>
  <c r="L25" i="39"/>
  <c r="G5" i="43"/>
  <c r="H11" i="40"/>
  <c r="I11" i="40" s="1"/>
  <c r="J25" i="39"/>
  <c r="H23" i="43"/>
  <c r="L22" i="39"/>
  <c r="H32" i="46"/>
  <c r="K11" i="43"/>
  <c r="K22" i="39"/>
  <c r="G4" i="39"/>
  <c r="AG5" i="43"/>
  <c r="K20" i="39"/>
  <c r="F20" i="40"/>
  <c r="H20" i="40" s="1"/>
  <c r="J27" i="39"/>
  <c r="F7" i="40"/>
  <c r="F8" i="40"/>
  <c r="K27" i="39"/>
  <c r="H21" i="43"/>
  <c r="H2" i="40"/>
  <c r="I2" i="40" s="1"/>
  <c r="E6" i="43"/>
  <c r="H4" i="43"/>
  <c r="E26" i="33"/>
  <c r="H19" i="44"/>
  <c r="F12" i="40"/>
  <c r="H12" i="40" s="1"/>
  <c r="I13" i="39"/>
  <c r="AF8" i="39"/>
  <c r="G5" i="39"/>
  <c r="H5" i="39" s="1"/>
  <c r="L21" i="39"/>
  <c r="J20" i="39"/>
  <c r="E29" i="33"/>
  <c r="D21" i="29"/>
  <c r="AF6" i="44"/>
  <c r="F15" i="40"/>
  <c r="H15" i="40" s="1"/>
  <c r="I15" i="40" s="1"/>
  <c r="I5" i="40"/>
  <c r="E16" i="33"/>
  <c r="E6" i="33"/>
  <c r="G19" i="39"/>
  <c r="E34" i="33"/>
  <c r="H23" i="39"/>
  <c r="H19" i="40"/>
  <c r="I19" i="40" s="1"/>
  <c r="E22" i="33"/>
  <c r="G7" i="39"/>
  <c r="H7" i="39" s="1"/>
  <c r="G20" i="39"/>
  <c r="E28" i="33"/>
  <c r="H10" i="40"/>
  <c r="E35" i="33"/>
  <c r="H26" i="46"/>
  <c r="AG8" i="39"/>
  <c r="L19" i="39"/>
  <c r="H22" i="44"/>
  <c r="H28" i="46"/>
  <c r="G4" i="44"/>
  <c r="H4" i="44" s="1"/>
  <c r="E32" i="33"/>
  <c r="H20" i="46"/>
  <c r="F4" i="40"/>
  <c r="H21" i="46"/>
  <c r="H22" i="39"/>
  <c r="J11" i="39"/>
  <c r="K23" i="39"/>
  <c r="I12" i="40"/>
  <c r="R26" i="45"/>
  <c r="I2" i="42"/>
  <c r="H26" i="39"/>
  <c r="H3" i="40"/>
  <c r="H18" i="40"/>
  <c r="K12" i="43"/>
  <c r="H14" i="40"/>
  <c r="AF6" i="46"/>
  <c r="I14" i="40"/>
  <c r="H9" i="40"/>
  <c r="I13" i="40"/>
  <c r="H20" i="39"/>
  <c r="H17" i="40"/>
  <c r="H7" i="40"/>
  <c r="I7" i="40" s="1"/>
  <c r="I9" i="40"/>
  <c r="H4" i="40"/>
  <c r="I6" i="40"/>
  <c r="H27" i="39"/>
  <c r="H16" i="40"/>
  <c r="I16" i="40"/>
  <c r="I4" i="40"/>
  <c r="I18" i="40"/>
  <c r="I3" i="40"/>
  <c r="I17" i="40"/>
  <c r="AG6" i="43"/>
  <c r="AF7" i="43"/>
  <c r="F3" i="42"/>
  <c r="H3" i="42" s="1"/>
  <c r="C4" i="42"/>
  <c r="J13" i="43"/>
  <c r="F6" i="43"/>
  <c r="K13" i="43" s="1"/>
  <c r="G6" i="43"/>
  <c r="H6" i="43" s="1"/>
  <c r="C7" i="43"/>
  <c r="AG6" i="44"/>
  <c r="AG6" i="46"/>
  <c r="AF7" i="46"/>
  <c r="AG7" i="43"/>
  <c r="AF8" i="43"/>
  <c r="I3" i="42"/>
  <c r="E4" i="42"/>
  <c r="E7" i="43"/>
  <c r="AF8" i="46"/>
  <c r="AG7" i="46"/>
  <c r="AF9" i="43"/>
  <c r="AG8" i="43"/>
  <c r="C5" i="42"/>
  <c r="F4" i="42"/>
  <c r="H4" i="42" s="1"/>
  <c r="J14" i="43"/>
  <c r="F7" i="43"/>
  <c r="G7" i="43"/>
  <c r="H7" i="43" s="1"/>
  <c r="AG8" i="46"/>
  <c r="AF9" i="46"/>
  <c r="AF10" i="43"/>
  <c r="AG9" i="43"/>
  <c r="E5" i="42"/>
  <c r="I4" i="42"/>
  <c r="AG9" i="46"/>
  <c r="AF10" i="46"/>
  <c r="AF11" i="43"/>
  <c r="AG10" i="43"/>
  <c r="F5" i="42"/>
  <c r="C6" i="42"/>
  <c r="AG10" i="46"/>
  <c r="AF11" i="46"/>
  <c r="AF12" i="43"/>
  <c r="AG11" i="43"/>
  <c r="E6" i="42"/>
  <c r="AG11" i="46"/>
  <c r="AF12" i="46"/>
  <c r="AG12" i="43"/>
  <c r="AF13" i="43"/>
  <c r="C7" i="42"/>
  <c r="F6" i="42"/>
  <c r="AF13" i="46"/>
  <c r="AG12" i="46"/>
  <c r="AG13" i="43"/>
  <c r="AF14" i="43"/>
  <c r="E7" i="42"/>
  <c r="AF14" i="46"/>
  <c r="AG13" i="46"/>
  <c r="AF15" i="43"/>
  <c r="AG14" i="43"/>
  <c r="F7" i="42"/>
  <c r="C8" i="42"/>
  <c r="AG14" i="46"/>
  <c r="AF15" i="46"/>
  <c r="AG15" i="43"/>
  <c r="AF16" i="43"/>
  <c r="E8" i="42"/>
  <c r="AF16" i="46"/>
  <c r="AG15" i="46"/>
  <c r="AG16" i="43"/>
  <c r="AF17" i="43"/>
  <c r="F8" i="42"/>
  <c r="C9" i="42"/>
  <c r="AG16" i="46"/>
  <c r="AF17" i="46"/>
  <c r="AF18" i="43"/>
  <c r="AG17" i="43"/>
  <c r="E9" i="42"/>
  <c r="AG17" i="46"/>
  <c r="AF18" i="46"/>
  <c r="AF19" i="43"/>
  <c r="AG18" i="43"/>
  <c r="C10" i="42"/>
  <c r="F9" i="42"/>
  <c r="AF19" i="46"/>
  <c r="AG18" i="46"/>
  <c r="AG19" i="43"/>
  <c r="AF20" i="43"/>
  <c r="E10" i="42"/>
  <c r="AG19" i="46"/>
  <c r="AF20" i="46"/>
  <c r="AF21" i="43"/>
  <c r="AG20" i="43"/>
  <c r="C11" i="42"/>
  <c r="F10" i="42"/>
  <c r="AF21" i="46"/>
  <c r="AG20" i="46"/>
  <c r="AF22" i="43"/>
  <c r="AG21" i="43"/>
  <c r="E11" i="42"/>
  <c r="F11" i="42" s="1"/>
  <c r="AF22" i="46"/>
  <c r="AG21" i="46"/>
  <c r="AF23" i="43"/>
  <c r="AG22" i="43"/>
  <c r="AF23" i="46"/>
  <c r="AG22" i="46"/>
  <c r="AG23" i="43"/>
  <c r="AF24" i="43"/>
  <c r="AF24" i="46"/>
  <c r="AG23" i="46"/>
  <c r="AF25" i="43"/>
  <c r="AG24" i="43"/>
  <c r="AF25" i="46"/>
  <c r="AG24" i="46"/>
  <c r="AF26" i="43"/>
  <c r="AG25" i="43"/>
  <c r="AF26" i="46"/>
  <c r="AG25" i="46"/>
  <c r="AF27" i="43"/>
  <c r="AG26" i="43"/>
  <c r="AF27" i="46"/>
  <c r="AG26" i="46"/>
  <c r="AF28" i="43"/>
  <c r="AG27" i="43"/>
  <c r="AG27" i="46"/>
  <c r="AF28" i="46"/>
  <c r="AF29" i="43"/>
  <c r="AG28" i="43"/>
  <c r="AF29" i="46"/>
  <c r="AG28" i="46"/>
  <c r="AF30" i="43"/>
  <c r="AG29" i="43"/>
  <c r="AF30" i="46"/>
  <c r="AG29" i="46"/>
  <c r="AG30" i="43"/>
  <c r="AF31" i="43"/>
  <c r="AG30" i="46"/>
  <c r="AF31" i="46"/>
  <c r="AF32" i="43"/>
  <c r="AG31" i="43"/>
  <c r="AF32" i="46"/>
  <c r="AG31" i="46"/>
  <c r="AF33" i="43"/>
  <c r="AG32" i="43"/>
  <c r="AF33" i="46"/>
  <c r="AG32" i="46"/>
  <c r="AF34" i="43"/>
  <c r="AG33" i="43"/>
  <c r="AG33" i="46"/>
  <c r="AF34" i="46"/>
  <c r="AF35" i="43"/>
  <c r="AG34" i="43"/>
  <c r="AG34" i="46"/>
  <c r="AF35" i="46"/>
  <c r="AG35" i="43"/>
  <c r="AF36" i="43"/>
  <c r="AF36" i="46"/>
  <c r="AG35" i="46"/>
  <c r="AG36" i="43"/>
  <c r="AF37" i="43"/>
  <c r="AF37" i="46"/>
  <c r="AG36" i="46"/>
  <c r="AG37" i="43"/>
  <c r="AF38" i="43"/>
  <c r="AG37" i="46"/>
  <c r="AF38" i="46"/>
  <c r="AF39" i="43"/>
  <c r="AG38" i="43"/>
  <c r="AF39" i="46"/>
  <c r="AG38" i="46"/>
  <c r="AG39" i="43"/>
  <c r="AF40" i="43"/>
  <c r="AG39" i="46"/>
  <c r="AF40" i="46"/>
  <c r="AF41" i="43"/>
  <c r="AG40" i="43"/>
  <c r="AG40" i="46"/>
  <c r="AF41" i="46"/>
  <c r="AG41" i="43"/>
  <c r="AF42" i="43"/>
  <c r="AF42" i="46"/>
  <c r="AG41" i="46"/>
  <c r="AF43" i="43"/>
  <c r="AG42" i="43"/>
  <c r="AF43" i="46"/>
  <c r="AG42" i="46"/>
  <c r="AG43" i="43"/>
  <c r="AF44" i="43"/>
  <c r="AF44" i="46"/>
  <c r="AG43" i="46"/>
  <c r="AF45" i="43"/>
  <c r="AG44" i="43"/>
  <c r="AF45" i="46"/>
  <c r="AG44" i="46"/>
  <c r="AG45" i="43"/>
  <c r="AF46" i="43"/>
  <c r="AF46" i="46"/>
  <c r="AG45" i="46"/>
  <c r="AG46" i="43"/>
  <c r="AF47" i="43"/>
  <c r="AG46" i="46"/>
  <c r="AF47" i="46"/>
  <c r="AF48" i="43"/>
  <c r="AG47" i="43"/>
  <c r="AF48" i="46"/>
  <c r="AG47" i="46"/>
  <c r="AF49" i="43"/>
  <c r="AG48" i="43"/>
  <c r="AF49" i="46"/>
  <c r="AG48" i="46"/>
  <c r="AF50" i="43"/>
  <c r="AG49" i="43"/>
  <c r="AG49" i="46"/>
  <c r="AF50" i="46"/>
  <c r="AG50" i="43"/>
  <c r="AF51" i="43"/>
  <c r="AF51" i="46"/>
  <c r="AG50" i="46"/>
  <c r="AG51" i="43"/>
  <c r="AF52" i="43"/>
  <c r="AF52" i="46"/>
  <c r="AG51" i="46"/>
  <c r="AG52" i="43"/>
  <c r="AF53" i="43"/>
  <c r="AG52" i="46"/>
  <c r="AF53" i="46"/>
  <c r="AG53" i="43"/>
  <c r="AF54" i="43"/>
  <c r="AG53" i="46"/>
  <c r="AF54" i="46"/>
  <c r="AF55" i="43"/>
  <c r="AG54" i="43"/>
  <c r="AF55" i="46"/>
  <c r="AG54" i="46"/>
  <c r="AG55" i="43"/>
  <c r="AF56" i="43"/>
  <c r="AG55" i="46"/>
  <c r="AF56" i="46"/>
  <c r="AF57" i="43"/>
  <c r="AG56" i="43"/>
  <c r="AG56" i="46"/>
  <c r="AF57" i="46"/>
  <c r="AG57" i="43"/>
  <c r="AF58" i="43"/>
  <c r="AF58" i="46"/>
  <c r="AG57" i="46"/>
  <c r="AG58" i="43"/>
  <c r="AF59" i="43"/>
  <c r="AG58" i="46"/>
  <c r="AF59" i="46"/>
  <c r="AG59" i="43"/>
  <c r="AF60" i="43"/>
  <c r="AG59" i="46"/>
  <c r="AF60" i="46"/>
  <c r="AF61" i="43"/>
  <c r="AG60" i="43"/>
  <c r="AG60" i="46"/>
  <c r="AF61" i="46"/>
  <c r="AG61" i="43"/>
  <c r="AF62" i="43"/>
  <c r="AF62" i="46"/>
  <c r="AG61" i="46"/>
  <c r="AG62" i="43"/>
  <c r="AF63" i="43"/>
  <c r="AF63" i="46"/>
  <c r="AG62" i="46"/>
  <c r="AG63" i="43"/>
  <c r="AF64" i="43"/>
  <c r="AG63" i="46"/>
  <c r="AF64" i="46"/>
  <c r="AF65" i="43"/>
  <c r="AG65" i="43" s="1"/>
  <c r="AG64" i="43"/>
  <c r="AF65" i="46"/>
  <c r="AG64" i="46"/>
  <c r="AG65" i="46"/>
  <c r="AF66" i="46"/>
  <c r="AF67" i="46"/>
  <c r="AG66" i="46"/>
  <c r="AG67" i="46"/>
  <c r="AF68" i="46"/>
  <c r="AF69" i="46"/>
  <c r="AG68" i="46"/>
  <c r="AG69" i="46"/>
  <c r="AF70" i="46"/>
  <c r="AF71" i="46"/>
  <c r="AG70" i="46"/>
  <c r="AG71" i="46"/>
  <c r="AF72" i="46"/>
  <c r="AG72" i="46"/>
  <c r="AF73" i="46"/>
  <c r="AG73" i="46"/>
  <c r="AF74" i="46"/>
  <c r="AG74" i="46"/>
  <c r="AF75" i="46"/>
  <c r="AG75" i="46"/>
  <c r="AF76" i="46"/>
  <c r="AF77" i="46"/>
  <c r="AG76" i="46"/>
  <c r="AG77" i="46"/>
  <c r="AF78" i="46"/>
  <c r="AF79" i="46"/>
  <c r="AG78" i="46"/>
  <c r="AF80" i="46"/>
  <c r="AG79" i="46"/>
  <c r="AG80" i="46"/>
  <c r="AF81" i="46"/>
  <c r="AG81" i="46"/>
  <c r="AF82" i="46"/>
  <c r="AF83" i="46"/>
  <c r="AG82" i="46"/>
  <c r="AF84" i="46"/>
  <c r="AG83" i="46"/>
  <c r="AF85" i="46"/>
  <c r="AG84" i="46"/>
  <c r="AG85" i="46"/>
  <c r="AF86" i="46"/>
  <c r="AF87" i="46"/>
  <c r="AG86" i="46"/>
  <c r="AF88" i="46"/>
  <c r="AG87" i="46"/>
  <c r="AF89" i="46"/>
  <c r="AG88" i="46"/>
  <c r="AF90" i="46"/>
  <c r="AG89" i="46"/>
  <c r="AG90" i="46"/>
  <c r="AF91" i="46"/>
  <c r="AF92" i="46"/>
  <c r="AG91" i="46"/>
  <c r="AG92" i="46"/>
  <c r="AF93" i="46"/>
  <c r="AG93" i="46"/>
  <c r="AF94" i="46"/>
  <c r="AF95" i="46"/>
  <c r="AG94" i="46"/>
  <c r="AF96" i="46"/>
  <c r="AG95" i="46"/>
  <c r="AG96" i="46"/>
  <c r="AF97" i="46"/>
  <c r="AF98" i="46"/>
  <c r="AG97" i="46"/>
  <c r="AF99" i="46"/>
  <c r="AG98" i="46"/>
  <c r="AF100" i="46"/>
  <c r="AG99" i="46"/>
  <c r="AG100" i="46"/>
  <c r="AF101" i="46"/>
  <c r="AG101" i="46"/>
  <c r="AF102" i="46"/>
  <c r="AF103" i="46"/>
  <c r="AG102" i="46"/>
  <c r="AG103" i="46"/>
  <c r="AF104" i="46"/>
  <c r="AG104" i="46"/>
  <c r="AF105" i="46"/>
  <c r="AF106" i="46"/>
  <c r="AG105" i="46"/>
  <c r="AG106" i="46"/>
  <c r="AF107" i="46"/>
  <c r="AF108" i="46"/>
  <c r="AG107" i="46"/>
  <c r="AG108" i="46"/>
  <c r="AF109" i="46"/>
  <c r="AG109" i="46"/>
  <c r="AF110" i="46"/>
  <c r="AF111" i="46"/>
  <c r="AG110" i="46"/>
  <c r="AF112" i="46"/>
  <c r="AG111" i="46"/>
  <c r="AG112" i="46"/>
  <c r="AF113" i="46"/>
  <c r="AF114" i="46"/>
  <c r="AG113" i="46"/>
  <c r="AF115" i="46"/>
  <c r="AG114" i="46"/>
  <c r="AG115" i="46"/>
  <c r="AF116" i="46"/>
  <c r="AF117" i="46"/>
  <c r="AG116" i="46"/>
  <c r="AG117" i="46"/>
  <c r="AF118" i="46"/>
  <c r="AF119" i="46"/>
  <c r="AG118" i="46"/>
  <c r="AF120" i="46"/>
  <c r="AG119" i="46"/>
  <c r="AF121" i="46"/>
  <c r="AG120" i="46"/>
  <c r="AG121" i="46"/>
  <c r="AF122" i="46"/>
  <c r="AG122" i="46"/>
  <c r="AF123" i="46"/>
  <c r="AF124" i="46"/>
  <c r="AG123" i="46"/>
  <c r="AG124" i="46"/>
  <c r="AF125" i="46"/>
  <c r="AF126" i="46"/>
  <c r="AG125" i="46"/>
  <c r="AF127" i="46"/>
  <c r="AG126" i="46"/>
  <c r="AF128" i="46"/>
  <c r="AG127" i="46"/>
  <c r="AG128" i="46"/>
  <c r="AF129" i="46"/>
  <c r="AG129" i="46"/>
  <c r="AF130" i="46"/>
  <c r="AF131" i="46"/>
  <c r="AG130" i="46"/>
  <c r="AG131" i="46"/>
  <c r="AF132" i="46"/>
  <c r="AF133" i="46"/>
  <c r="AG132" i="46"/>
  <c r="AF134" i="46"/>
  <c r="AG133" i="46"/>
  <c r="AG134" i="46"/>
  <c r="AF135" i="46"/>
  <c r="AG135" i="46"/>
  <c r="AF136" i="46"/>
  <c r="AF137" i="46"/>
  <c r="AG136" i="46"/>
  <c r="AF138" i="46"/>
  <c r="AG137" i="46"/>
  <c r="AG138" i="46"/>
  <c r="AF139" i="46"/>
  <c r="AG139" i="46"/>
  <c r="AF140" i="46"/>
  <c r="AG140" i="46"/>
  <c r="AF141" i="46"/>
  <c r="AG141" i="46"/>
  <c r="AF142" i="46"/>
  <c r="AF143" i="46"/>
  <c r="AG142" i="46"/>
  <c r="AF144" i="46"/>
  <c r="AG143" i="46"/>
  <c r="AG144" i="46"/>
  <c r="AF145" i="46"/>
  <c r="AF146" i="46"/>
  <c r="AG145" i="46"/>
  <c r="AG146" i="46"/>
  <c r="AF147" i="46"/>
  <c r="AG147" i="46"/>
  <c r="AF148" i="46"/>
  <c r="AF149" i="46"/>
  <c r="AG148" i="46"/>
  <c r="AG149" i="46"/>
  <c r="AF150" i="46"/>
  <c r="AG150" i="46"/>
  <c r="AF151" i="46"/>
  <c r="AG151" i="46"/>
  <c r="AF152" i="46"/>
  <c r="AF153" i="46"/>
  <c r="AG152" i="46"/>
  <c r="AF154" i="46"/>
  <c r="AG153" i="46"/>
  <c r="AF155" i="46"/>
  <c r="AG154" i="46"/>
  <c r="AF156" i="46"/>
  <c r="AG155" i="46"/>
  <c r="AG156" i="46"/>
  <c r="AF157" i="46"/>
  <c r="AF158" i="46"/>
  <c r="AG157" i="46"/>
  <c r="AF159" i="46"/>
  <c r="AG158" i="46"/>
  <c r="AF160" i="46"/>
  <c r="AG159" i="46"/>
  <c r="AF161" i="46"/>
  <c r="AG160" i="46"/>
  <c r="AF162" i="46"/>
  <c r="AG161" i="46"/>
  <c r="AG162" i="46"/>
  <c r="AF163" i="46"/>
  <c r="AG163" i="46"/>
  <c r="AF164" i="46"/>
  <c r="AF165" i="46"/>
  <c r="AG164" i="46"/>
  <c r="AG165" i="46"/>
  <c r="AF166" i="46"/>
  <c r="AG166" i="46"/>
  <c r="AF167" i="46"/>
  <c r="AF168" i="46"/>
  <c r="AG167" i="46"/>
  <c r="AF169" i="46"/>
  <c r="AG168" i="46"/>
  <c r="AG169" i="46"/>
  <c r="AF170" i="46"/>
  <c r="AF171" i="46"/>
  <c r="AG170" i="46"/>
  <c r="AG171" i="46"/>
  <c r="AF172" i="46"/>
  <c r="AF173" i="46"/>
  <c r="AG172" i="46"/>
  <c r="AG173" i="46"/>
  <c r="AF174" i="46"/>
  <c r="AG174" i="46"/>
  <c r="AF175" i="46"/>
  <c r="AF176" i="46"/>
  <c r="AG175" i="46"/>
  <c r="AF177" i="46"/>
  <c r="AG176" i="46"/>
  <c r="AG177" i="46"/>
  <c r="AF178" i="46"/>
  <c r="AG178" i="46"/>
  <c r="AF179" i="46"/>
  <c r="AF180" i="46"/>
  <c r="AG179" i="46"/>
  <c r="AG180" i="46"/>
  <c r="AF181" i="46"/>
  <c r="AG181" i="46"/>
  <c r="AF182" i="46"/>
  <c r="AF183" i="46"/>
  <c r="AG182" i="46"/>
  <c r="AF184" i="46"/>
  <c r="AG183" i="46"/>
  <c r="AG184" i="46"/>
  <c r="AF185" i="46"/>
  <c r="AG185" i="46"/>
  <c r="AF186" i="46"/>
  <c r="AG186" i="46"/>
  <c r="AF187" i="46"/>
  <c r="AF188" i="46"/>
  <c r="AG187" i="46"/>
  <c r="AG188" i="46"/>
  <c r="AF189" i="46"/>
  <c r="AG189" i="46"/>
  <c r="AF190" i="46"/>
  <c r="AF191" i="46"/>
  <c r="AG190" i="46"/>
  <c r="AF192" i="46"/>
  <c r="AG191" i="46"/>
  <c r="AF193" i="46"/>
  <c r="AG192" i="46"/>
  <c r="AG193" i="46"/>
  <c r="AF194" i="46"/>
  <c r="AG194" i="46"/>
  <c r="AF195" i="46"/>
  <c r="AG195" i="46"/>
  <c r="AF196" i="46"/>
  <c r="AG196" i="46"/>
  <c r="AF197" i="46"/>
  <c r="AF198" i="46"/>
  <c r="AG197" i="46"/>
  <c r="AG198" i="46"/>
  <c r="AF199" i="46"/>
  <c r="AF200" i="46"/>
  <c r="AG199" i="46"/>
  <c r="AF201" i="46"/>
  <c r="AG200" i="46"/>
  <c r="AF202" i="46"/>
  <c r="AG201" i="46"/>
  <c r="AG202" i="46"/>
  <c r="AF203" i="46"/>
  <c r="AF204" i="46"/>
  <c r="AG203" i="46"/>
  <c r="AF205" i="46"/>
  <c r="AG204" i="46"/>
  <c r="AG205" i="46"/>
  <c r="AF206" i="46"/>
  <c r="AF207" i="46"/>
  <c r="AG206" i="46"/>
  <c r="AF208" i="46"/>
  <c r="AG207" i="46"/>
  <c r="AF209" i="46"/>
  <c r="AG208" i="46"/>
  <c r="AF210" i="46"/>
  <c r="AG209" i="46"/>
  <c r="AG210" i="46"/>
  <c r="AF211" i="46"/>
  <c r="AG211" i="46"/>
  <c r="AF212" i="46"/>
  <c r="AF213" i="46"/>
  <c r="AG212" i="46"/>
  <c r="AF214" i="46"/>
  <c r="AG213" i="46"/>
  <c r="AF215" i="46"/>
  <c r="AG214" i="46"/>
  <c r="AG215" i="46"/>
  <c r="AF216" i="46"/>
  <c r="AG216" i="46"/>
  <c r="AF217" i="46"/>
  <c r="AF218" i="46"/>
  <c r="AG217" i="46"/>
  <c r="AF219" i="46"/>
  <c r="AG218" i="46"/>
  <c r="AG219" i="46"/>
  <c r="AF220" i="46"/>
  <c r="AG220" i="46"/>
  <c r="AF221" i="46"/>
  <c r="AF222" i="46"/>
  <c r="AG221" i="46"/>
  <c r="AF223" i="46"/>
  <c r="AG222" i="46"/>
  <c r="AG223" i="46"/>
  <c r="AF224" i="46"/>
  <c r="AF225" i="46"/>
  <c r="AG224" i="46"/>
  <c r="AG225" i="46"/>
  <c r="AF226" i="46"/>
  <c r="AG226" i="46"/>
  <c r="AF227" i="46"/>
  <c r="AG227" i="46"/>
  <c r="AF228" i="46"/>
  <c r="AF229" i="46"/>
  <c r="AG228" i="46"/>
  <c r="AF230" i="46"/>
  <c r="AG229" i="46"/>
  <c r="AF231" i="46"/>
  <c r="AG230" i="46"/>
  <c r="AG231" i="46"/>
  <c r="AF232" i="46"/>
  <c r="AG232" i="46"/>
  <c r="AF233" i="46"/>
  <c r="AF234" i="46"/>
  <c r="AG233" i="46"/>
  <c r="AG234" i="46"/>
  <c r="AF235" i="46"/>
  <c r="AF236" i="46"/>
  <c r="AG235" i="46"/>
  <c r="AG236" i="46"/>
  <c r="AF237" i="46"/>
  <c r="AG237" i="46"/>
  <c r="AF238" i="46"/>
  <c r="AF239" i="46"/>
  <c r="AG238" i="46"/>
  <c r="AG239" i="46"/>
  <c r="AF240" i="46"/>
  <c r="AF241" i="46"/>
  <c r="AG240" i="46"/>
  <c r="AF242" i="46"/>
  <c r="AG241" i="46"/>
  <c r="AF243" i="46"/>
  <c r="AG242" i="46"/>
  <c r="AF244" i="46"/>
  <c r="AG243" i="46"/>
  <c r="AF245" i="46"/>
  <c r="AG244" i="46"/>
  <c r="AF246" i="46"/>
  <c r="AG245" i="46"/>
  <c r="AG246" i="46"/>
  <c r="AF247" i="46"/>
  <c r="AG247" i="46"/>
  <c r="AF248" i="46"/>
  <c r="AF249" i="46"/>
  <c r="AG248" i="46"/>
  <c r="AG249" i="46"/>
  <c r="AF250" i="46"/>
  <c r="AG250" i="46"/>
  <c r="AF251" i="46"/>
  <c r="AF252" i="46"/>
  <c r="AG251" i="46"/>
  <c r="AF253" i="46"/>
  <c r="AG252" i="46"/>
  <c r="AG253" i="46"/>
  <c r="AF254" i="46"/>
  <c r="AF255" i="46"/>
  <c r="AG254" i="46"/>
  <c r="AF256" i="46"/>
  <c r="AG255" i="46"/>
  <c r="AF257" i="46"/>
  <c r="AG257" i="46" s="1"/>
  <c r="AG256" i="46"/>
  <c r="D11" i="42" l="1"/>
  <c r="D10" i="42"/>
  <c r="D9" i="42"/>
  <c r="D8" i="42"/>
  <c r="D7" i="42"/>
  <c r="D6" i="42"/>
  <c r="D5" i="42"/>
  <c r="D7" i="43"/>
  <c r="N13" i="43"/>
  <c r="L13" i="43"/>
  <c r="M13" i="43"/>
  <c r="D4" i="42"/>
  <c r="M12" i="43"/>
  <c r="N12" i="43"/>
  <c r="L12" i="43"/>
  <c r="Q27" i="45"/>
  <c r="K11" i="39"/>
  <c r="M11" i="39"/>
  <c r="L11" i="39"/>
  <c r="L11" i="43"/>
  <c r="N11" i="43"/>
  <c r="M11" i="43"/>
  <c r="R17" i="47"/>
  <c r="R15" i="47"/>
  <c r="R19" i="47"/>
  <c r="R26" i="47"/>
  <c r="R24" i="47"/>
  <c r="R25" i="47"/>
  <c r="R27" i="47"/>
  <c r="R22" i="47"/>
  <c r="R14" i="47"/>
  <c r="R18" i="47"/>
  <c r="R16" i="47"/>
  <c r="R21" i="47"/>
  <c r="R20" i="47"/>
  <c r="R23" i="47"/>
  <c r="N13" i="45"/>
  <c r="N18" i="45"/>
  <c r="N21" i="45"/>
  <c r="N14" i="45"/>
  <c r="N15" i="45"/>
  <c r="N16" i="45"/>
  <c r="N17" i="45"/>
  <c r="N19" i="45"/>
  <c r="N20" i="45"/>
  <c r="D6" i="43"/>
  <c r="R20" i="45"/>
  <c r="R15" i="45"/>
  <c r="R14" i="45"/>
  <c r="R21" i="45"/>
  <c r="R16" i="45"/>
  <c r="R17" i="45"/>
  <c r="R18" i="45"/>
  <c r="R19" i="45"/>
  <c r="R13" i="45"/>
  <c r="Q20" i="45"/>
  <c r="Q16" i="45"/>
  <c r="Q18" i="45"/>
  <c r="Q13" i="45"/>
  <c r="Q21" i="45"/>
  <c r="Q19" i="45"/>
  <c r="Q17" i="45"/>
  <c r="Q14" i="45"/>
  <c r="Q15" i="45"/>
  <c r="L12" i="39"/>
  <c r="K12" i="39"/>
  <c r="M12" i="39"/>
  <c r="Q17" i="47"/>
  <c r="Q27" i="47"/>
  <c r="Q20" i="47"/>
  <c r="Q23" i="47"/>
  <c r="Q26" i="47"/>
  <c r="Q22" i="47"/>
  <c r="Q16" i="47"/>
  <c r="Q19" i="47"/>
  <c r="Q21" i="47"/>
  <c r="Q18" i="47"/>
  <c r="Q25" i="47"/>
  <c r="Q15" i="47"/>
  <c r="Q14" i="47"/>
  <c r="Q24" i="47"/>
  <c r="K14" i="39"/>
  <c r="M14" i="39"/>
  <c r="L14" i="39"/>
  <c r="N11" i="44"/>
  <c r="M11" i="44"/>
  <c r="L11" i="44"/>
  <c r="N26" i="47"/>
  <c r="N22" i="47"/>
  <c r="N16" i="47"/>
  <c r="N23" i="47"/>
  <c r="N21" i="47"/>
  <c r="N27" i="47"/>
  <c r="N17" i="47"/>
  <c r="N18" i="47"/>
  <c r="N15" i="47"/>
  <c r="N20" i="47"/>
  <c r="N14" i="47"/>
  <c r="N25" i="47"/>
  <c r="N24" i="47"/>
  <c r="N19" i="47"/>
  <c r="M13" i="39"/>
  <c r="L13" i="39"/>
  <c r="K13" i="39"/>
  <c r="L25" i="47"/>
  <c r="L15" i="47"/>
  <c r="L24" i="47"/>
  <c r="L16" i="47"/>
  <c r="L23" i="47"/>
  <c r="L22" i="47"/>
  <c r="L26" i="47"/>
  <c r="L17" i="47"/>
  <c r="L19" i="47"/>
  <c r="L18" i="47"/>
  <c r="L27" i="47"/>
  <c r="L21" i="47"/>
  <c r="L20" i="47"/>
  <c r="L14" i="47"/>
  <c r="H11" i="42"/>
  <c r="H7" i="42"/>
  <c r="I20" i="40"/>
  <c r="H21" i="39"/>
  <c r="H10" i="42"/>
  <c r="H6" i="42"/>
  <c r="H4" i="39"/>
  <c r="H25" i="39"/>
  <c r="H9" i="42"/>
  <c r="I10" i="40"/>
  <c r="H18" i="39"/>
  <c r="H19" i="39"/>
  <c r="P7" i="40"/>
  <c r="H5" i="43"/>
  <c r="J38" i="29"/>
  <c r="R27" i="45"/>
  <c r="P27" i="45"/>
  <c r="H8" i="40"/>
  <c r="H6" i="39"/>
  <c r="H5" i="42"/>
  <c r="K14" i="43"/>
  <c r="AF7" i="44"/>
  <c r="H8" i="42"/>
  <c r="AF9" i="39"/>
  <c r="H24" i="39"/>
  <c r="I11" i="42"/>
  <c r="I7" i="42"/>
  <c r="I10" i="42"/>
  <c r="I6" i="42"/>
  <c r="I9" i="42"/>
  <c r="I8" i="40"/>
  <c r="I5" i="42"/>
  <c r="AF8" i="44"/>
  <c r="I8" i="42"/>
  <c r="AF10" i="39"/>
  <c r="AG9" i="39"/>
  <c r="AF9" i="44"/>
  <c r="AG8" i="44"/>
  <c r="AF11" i="39"/>
  <c r="AG10" i="39"/>
  <c r="AG9" i="44"/>
  <c r="AF10" i="44"/>
  <c r="AG11" i="39"/>
  <c r="AF12" i="39"/>
  <c r="AF11" i="44"/>
  <c r="AG10" i="44"/>
  <c r="AG12" i="39"/>
  <c r="AF13" i="39"/>
  <c r="AG11" i="44"/>
  <c r="AF12" i="44"/>
  <c r="AF14" i="39"/>
  <c r="AG13" i="39"/>
  <c r="AG12" i="44"/>
  <c r="AF13" i="44"/>
  <c r="AG14" i="39"/>
  <c r="AF15" i="39"/>
  <c r="AG13" i="44"/>
  <c r="AF14" i="44"/>
  <c r="AG15" i="39"/>
  <c r="AF16" i="39"/>
  <c r="AF15" i="44"/>
  <c r="AG14" i="44"/>
  <c r="AG16" i="39"/>
  <c r="AF17" i="39"/>
  <c r="AG15" i="44"/>
  <c r="AF16" i="44"/>
  <c r="AF18" i="39"/>
  <c r="AG17" i="39"/>
  <c r="AF17" i="44"/>
  <c r="AG16" i="44"/>
  <c r="AG18" i="39"/>
  <c r="AF19" i="39"/>
  <c r="AF18" i="44"/>
  <c r="AG17" i="44"/>
  <c r="AF20" i="39"/>
  <c r="AG19" i="39"/>
  <c r="AF19" i="44"/>
  <c r="AG18" i="44"/>
  <c r="AG20" i="39"/>
  <c r="AF21" i="39"/>
  <c r="AG19" i="44"/>
  <c r="AF20" i="44"/>
  <c r="AF22" i="39"/>
  <c r="AG21" i="39"/>
  <c r="AG20" i="44"/>
  <c r="AF21" i="44"/>
  <c r="AG22" i="39"/>
  <c r="AF23" i="39"/>
  <c r="AF22" i="44"/>
  <c r="AG21" i="44"/>
  <c r="AF24" i="39"/>
  <c r="AG23" i="39"/>
  <c r="AF23" i="44"/>
  <c r="AG22" i="44"/>
  <c r="AG24" i="39"/>
  <c r="AF25" i="39"/>
  <c r="AG23" i="44"/>
  <c r="AF24" i="44"/>
  <c r="AG24" i="44" s="1"/>
  <c r="AG25" i="39"/>
  <c r="AF26" i="39"/>
  <c r="AG26" i="39"/>
  <c r="AF27" i="39"/>
  <c r="AG27" i="39"/>
  <c r="AF28" i="39"/>
  <c r="AF29" i="39"/>
  <c r="AG28" i="39"/>
  <c r="AF30" i="39"/>
  <c r="AG29" i="39"/>
  <c r="AF31" i="39"/>
  <c r="AG30" i="39"/>
  <c r="AG31" i="39"/>
  <c r="AF32" i="39"/>
  <c r="AG32" i="39"/>
  <c r="AF33" i="39"/>
  <c r="AF34" i="39"/>
  <c r="AG33" i="39"/>
  <c r="AG34" i="39"/>
  <c r="AF35" i="39"/>
  <c r="AF36" i="39"/>
  <c r="AG35" i="39"/>
  <c r="AG36" i="39"/>
  <c r="AF37" i="39"/>
  <c r="AF38" i="39"/>
  <c r="AG37" i="39"/>
  <c r="AG38" i="39"/>
  <c r="AF39" i="39"/>
  <c r="AF40" i="39"/>
  <c r="AG39" i="39"/>
  <c r="AG40" i="39"/>
  <c r="AF41" i="39"/>
  <c r="AF42" i="39"/>
  <c r="AG41" i="39"/>
  <c r="AF43" i="39"/>
  <c r="AG42" i="39"/>
  <c r="AG43" i="39"/>
  <c r="AF44" i="39"/>
  <c r="AG44" i="39"/>
  <c r="AF45" i="39"/>
  <c r="AG45" i="39"/>
  <c r="AF46" i="39"/>
  <c r="AF47" i="39"/>
  <c r="AG46" i="39"/>
  <c r="AG47" i="39"/>
  <c r="AF48" i="39"/>
  <c r="AF49" i="39"/>
  <c r="AG48" i="39"/>
  <c r="AG49" i="39"/>
  <c r="AF50" i="39"/>
  <c r="AG50" i="39"/>
  <c r="AF51" i="39"/>
  <c r="AG51" i="39"/>
  <c r="AF52" i="39"/>
  <c r="AF53" i="39"/>
  <c r="AG52" i="39"/>
  <c r="AF54" i="39"/>
  <c r="AG53" i="39"/>
  <c r="AG54" i="39"/>
  <c r="AF55" i="39"/>
  <c r="AG55" i="39"/>
  <c r="AF56" i="39"/>
  <c r="AG56" i="39"/>
  <c r="AF57" i="39"/>
  <c r="AG57" i="39"/>
  <c r="AF58" i="39"/>
  <c r="AG58" i="39"/>
  <c r="AF59" i="39"/>
  <c r="AG59" i="39"/>
  <c r="AF60" i="39"/>
  <c r="AG60" i="39"/>
  <c r="AF61" i="39"/>
  <c r="AG61" i="39"/>
  <c r="AF62" i="39"/>
  <c r="AF63" i="39"/>
  <c r="AG62" i="39"/>
  <c r="AG63" i="39"/>
  <c r="AF64" i="39"/>
  <c r="AG64" i="39"/>
  <c r="AF65" i="39"/>
  <c r="AF66" i="39"/>
  <c r="AG65" i="39"/>
  <c r="AG66" i="39"/>
  <c r="AF67" i="39"/>
  <c r="AF68" i="39"/>
  <c r="AG67" i="39"/>
  <c r="AG68" i="39"/>
  <c r="AF69" i="39"/>
  <c r="AG69" i="39"/>
  <c r="AF70" i="39"/>
  <c r="AG70" i="39"/>
  <c r="AF71" i="39"/>
  <c r="AG71" i="39"/>
  <c r="AF72" i="39"/>
  <c r="AG72" i="39"/>
  <c r="AF73" i="39"/>
  <c r="AF74" i="39"/>
  <c r="AG73" i="39"/>
  <c r="AF75" i="39"/>
  <c r="AG74" i="39"/>
  <c r="AF76" i="39"/>
  <c r="AG75" i="39"/>
  <c r="AG76" i="39"/>
  <c r="AF77" i="39"/>
  <c r="AF78" i="39"/>
  <c r="AG77" i="39"/>
  <c r="AG78" i="39"/>
  <c r="AF79" i="39"/>
  <c r="AF80" i="39"/>
  <c r="AG79" i="39"/>
  <c r="AG80" i="39"/>
  <c r="AF81" i="39"/>
  <c r="AG81" i="39"/>
  <c r="AF82" i="39"/>
  <c r="AG82" i="39"/>
  <c r="AF83" i="39"/>
  <c r="AG83" i="39"/>
  <c r="AF84" i="39"/>
  <c r="AF85" i="39"/>
  <c r="AG84" i="39"/>
  <c r="AG85" i="39"/>
  <c r="AF86" i="39"/>
  <c r="AF87" i="39"/>
  <c r="AG86" i="39"/>
  <c r="AF88" i="39"/>
  <c r="AG87" i="39"/>
  <c r="AG88" i="39"/>
  <c r="AF89" i="39"/>
  <c r="AF90" i="39"/>
  <c r="AG89" i="39"/>
  <c r="AG90" i="39"/>
  <c r="AF91" i="39"/>
  <c r="AF92" i="39"/>
  <c r="AG91" i="39"/>
  <c r="AG92" i="39"/>
  <c r="AF93" i="39"/>
  <c r="AG93" i="39"/>
  <c r="AF94" i="39"/>
  <c r="AF95" i="39"/>
  <c r="AG94" i="39"/>
  <c r="AG95" i="39"/>
  <c r="AF96" i="39"/>
  <c r="AF97" i="39"/>
  <c r="AG96" i="39"/>
  <c r="AF98" i="39"/>
  <c r="AG97" i="39"/>
  <c r="AG98" i="39"/>
  <c r="AF99" i="39"/>
  <c r="AG99" i="39"/>
  <c r="AF100" i="39"/>
  <c r="AG100" i="39"/>
  <c r="AF101" i="39"/>
  <c r="AF102" i="39"/>
  <c r="AG101" i="39"/>
  <c r="AF103" i="39"/>
  <c r="AG102" i="39"/>
  <c r="AF104" i="39"/>
  <c r="AG103" i="39"/>
  <c r="AF105" i="39"/>
  <c r="AG104" i="39"/>
  <c r="AG105" i="39"/>
  <c r="AF106" i="39"/>
  <c r="AF107" i="39"/>
  <c r="AG106" i="39"/>
  <c r="AF108" i="39"/>
  <c r="AG107" i="39"/>
  <c r="AG108" i="39"/>
  <c r="AF109" i="39"/>
  <c r="AG109" i="39"/>
  <c r="AF110" i="39"/>
  <c r="AF111" i="39"/>
  <c r="AG110" i="39"/>
  <c r="AG111" i="39"/>
  <c r="AF112" i="39"/>
  <c r="AF113" i="39"/>
  <c r="AG112" i="39"/>
  <c r="AF114" i="39"/>
  <c r="AG113" i="39"/>
  <c r="AG114" i="39"/>
  <c r="AF115" i="39"/>
  <c r="AG115" i="39"/>
  <c r="AF116" i="39"/>
  <c r="AG116" i="39"/>
  <c r="AF117" i="39"/>
  <c r="AF118" i="39"/>
  <c r="AG117" i="39"/>
  <c r="AF119" i="39"/>
  <c r="AG118" i="39"/>
  <c r="AG119" i="39"/>
  <c r="AF120" i="39"/>
  <c r="AG120" i="39"/>
  <c r="AF121" i="39"/>
  <c r="AG121" i="39"/>
  <c r="AF122" i="39"/>
  <c r="AG122" i="39"/>
  <c r="AF123" i="39"/>
  <c r="AF124" i="39"/>
  <c r="AG123" i="39"/>
  <c r="AG124" i="39"/>
  <c r="AF125" i="39"/>
  <c r="AF126" i="39"/>
  <c r="AG125" i="39"/>
  <c r="AF127" i="39"/>
  <c r="AG126" i="39"/>
  <c r="AF128" i="39"/>
  <c r="AG127" i="39"/>
  <c r="AF129" i="39"/>
  <c r="AG128" i="39"/>
  <c r="AF130" i="39"/>
  <c r="AG129" i="39"/>
  <c r="AG130" i="39"/>
  <c r="AF131" i="39"/>
  <c r="AG131" i="39"/>
  <c r="AF132" i="39"/>
  <c r="AG132" i="39" s="1"/>
  <c r="L14" i="43" l="1"/>
  <c r="N14" i="43"/>
  <c r="M14" i="43"/>
  <c r="Q28" i="45"/>
  <c r="AG7" i="44"/>
  <c r="P8" i="40"/>
  <c r="P28" i="45"/>
  <c r="R28" i="45"/>
  <c r="Q29" i="45" l="1"/>
  <c r="R29" i="45"/>
  <c r="P29" i="45"/>
  <c r="P9" i="40"/>
  <c r="P10" i="40"/>
  <c r="P11" i="40" l="1"/>
  <c r="P12" i="40" l="1"/>
  <c r="P13" i="40" l="1"/>
  <c r="P14" i="40" l="1"/>
  <c r="P15" i="40" l="1"/>
  <c r="P16" i="40" l="1"/>
  <c r="P17" i="40" l="1"/>
  <c r="P18" i="40" l="1"/>
  <c r="P19" i="40" l="1"/>
  <c r="P20" i="40" l="1"/>
  <c r="P21" i="40" l="1"/>
  <c r="P22" i="40" l="1"/>
  <c r="P23" i="40" l="1"/>
  <c r="P24" i="40" l="1"/>
  <c r="P25" i="40" l="1"/>
  <c r="P26" i="40" l="1"/>
  <c r="P27" i="40" l="1"/>
  <c r="P28" i="40" l="1"/>
  <c r="P29" i="40" l="1"/>
  <c r="P30" i="40" l="1"/>
  <c r="P31" i="40" l="1"/>
  <c r="P32" i="40" l="1"/>
  <c r="P33" i="40" l="1"/>
  <c r="P34" i="40" l="1"/>
  <c r="P35" i="40" l="1"/>
  <c r="P36" i="40" l="1"/>
  <c r="P37" i="40" l="1"/>
  <c r="P38" i="40" l="1"/>
  <c r="P39" i="40" l="1"/>
  <c r="P40" i="40" l="1"/>
  <c r="P41" i="40" l="1"/>
  <c r="P42" i="40" l="1"/>
  <c r="P43" i="40" l="1"/>
  <c r="P44" i="40" l="1"/>
  <c r="P45" i="40" l="1"/>
  <c r="P46" i="40" l="1"/>
  <c r="P47" i="40" l="1"/>
  <c r="P48" i="40" l="1"/>
  <c r="P49" i="40" l="1"/>
  <c r="P50" i="40" l="1"/>
  <c r="P51" i="40" l="1"/>
  <c r="P52" i="40" l="1"/>
  <c r="P53" i="40" l="1"/>
  <c r="P54" i="40" l="1"/>
  <c r="P55" i="40" l="1"/>
  <c r="P56" i="40" l="1"/>
  <c r="P57" i="40" l="1"/>
  <c r="P58" i="40" l="1"/>
  <c r="P59" i="40" l="1"/>
  <c r="P60" i="40" l="1"/>
  <c r="P61" i="40" l="1"/>
  <c r="P62" i="40" l="1"/>
  <c r="P63" i="40" l="1"/>
  <c r="P64" i="40" l="1"/>
  <c r="P65" i="40" l="1"/>
  <c r="P66" i="40" l="1"/>
  <c r="P67" i="40" l="1"/>
  <c r="P68" i="40"/>
  <c r="P69" i="40"/>
  <c r="P70" i="40"/>
  <c r="P71" i="40"/>
  <c r="P72" i="40" l="1"/>
  <c r="P73" i="40" l="1"/>
  <c r="P74" i="40"/>
  <c r="P75" i="40" l="1"/>
  <c r="P76" i="40" l="1"/>
  <c r="P77" i="40" l="1"/>
  <c r="P78" i="40" l="1"/>
  <c r="P79" i="40" l="1"/>
  <c r="P80" i="40" l="1"/>
  <c r="P81" i="40" l="1"/>
  <c r="P82" i="40" l="1"/>
  <c r="P83" i="40" l="1"/>
  <c r="P84" i="40" l="1"/>
  <c r="P85" i="40" l="1"/>
  <c r="P86" i="40" l="1"/>
  <c r="P87" i="40" l="1"/>
  <c r="P88" i="40" l="1"/>
  <c r="P89" i="40" l="1"/>
  <c r="P90" i="40" l="1"/>
  <c r="P91" i="40" l="1"/>
  <c r="P92" i="40" l="1"/>
  <c r="P93" i="40" l="1"/>
  <c r="P94" i="40" l="1"/>
  <c r="P95" i="40" l="1"/>
  <c r="P96" i="40" l="1"/>
  <c r="P97" i="40" l="1"/>
  <c r="P98" i="40" l="1"/>
  <c r="P99" i="40" l="1"/>
  <c r="P100" i="40" l="1"/>
  <c r="P101" i="40" l="1"/>
  <c r="P102" i="40" l="1"/>
  <c r="P103" i="40" l="1"/>
  <c r="P104" i="40" l="1"/>
  <c r="P105" i="40" l="1"/>
  <c r="P106" i="40" l="1"/>
  <c r="P107" i="40" l="1"/>
  <c r="P108" i="40" l="1"/>
  <c r="P109" i="40" l="1"/>
  <c r="P110" i="40" l="1"/>
  <c r="P111" i="40" l="1"/>
  <c r="P112" i="40" l="1"/>
  <c r="P113" i="40" l="1"/>
  <c r="P114" i="40" l="1"/>
  <c r="P115" i="40" l="1"/>
  <c r="P116" i="40" l="1"/>
  <c r="P117" i="40" l="1"/>
  <c r="P118" i="40" l="1"/>
  <c r="P119" i="40" l="1"/>
  <c r="P120" i="40" l="1"/>
  <c r="P121" i="40" l="1"/>
  <c r="P122" i="40" l="1"/>
  <c r="P123" i="40" l="1"/>
  <c r="P124" i="40" l="1"/>
  <c r="P125" i="40" l="1"/>
  <c r="P126" i="40" l="1"/>
  <c r="P127" i="40" l="1"/>
  <c r="P128" i="40" l="1"/>
  <c r="P129" i="40" l="1"/>
  <c r="P130" i="40" l="1"/>
  <c r="P131" i="40" l="1"/>
  <c r="P132" i="40" l="1"/>
  <c r="P133" i="40" l="1"/>
  <c r="P134" i="40" l="1"/>
  <c r="P135" i="40" l="1"/>
  <c r="P136" i="40" l="1"/>
  <c r="P137" i="40" l="1"/>
  <c r="P138" i="40" l="1"/>
  <c r="P139" i="40" l="1"/>
  <c r="P140" i="40" l="1"/>
  <c r="P141" i="40" l="1"/>
  <c r="P142" i="40" l="1"/>
  <c r="P143" i="40" l="1"/>
  <c r="P144" i="40" l="1"/>
  <c r="P145" i="40" l="1"/>
  <c r="P146" i="40" l="1"/>
  <c r="P147" i="40" l="1"/>
  <c r="P148" i="40" l="1"/>
  <c r="P149" i="40" l="1"/>
  <c r="P150" i="40" l="1"/>
  <c r="P151" i="40" l="1"/>
  <c r="P152" i="40" l="1"/>
  <c r="P153" i="40" l="1"/>
  <c r="P154" i="40" l="1"/>
  <c r="P155" i="40" l="1"/>
  <c r="P156" i="40" l="1"/>
  <c r="P157" i="40" l="1"/>
  <c r="P158" i="40" l="1"/>
  <c r="P159" i="40" l="1"/>
  <c r="P160" i="40" l="1"/>
  <c r="P161" i="40" l="1"/>
  <c r="P162" i="40" l="1"/>
  <c r="P163" i="40" l="1"/>
  <c r="P164" i="40" l="1"/>
  <c r="P165" i="40" l="1"/>
  <c r="P166" i="40" l="1"/>
  <c r="P167" i="40" l="1"/>
  <c r="P168" i="40" l="1"/>
  <c r="P169" i="40" l="1"/>
  <c r="P170" i="40" l="1"/>
  <c r="P171" i="40" l="1"/>
  <c r="P172" i="40" l="1"/>
  <c r="P173" i="40" l="1"/>
  <c r="P174" i="40" l="1"/>
  <c r="P175" i="40" l="1"/>
  <c r="P176" i="40" l="1"/>
  <c r="P177" i="40" l="1"/>
  <c r="P178" i="40" l="1"/>
  <c r="P179" i="40" l="1"/>
  <c r="P180" i="40" l="1"/>
  <c r="P181" i="40" l="1"/>
  <c r="P182" i="40" l="1"/>
  <c r="P183" i="40" l="1"/>
  <c r="P184" i="40" l="1"/>
  <c r="P185" i="40" l="1"/>
  <c r="P186" i="40" l="1"/>
  <c r="P187" i="40" l="1"/>
  <c r="P188" i="40" l="1"/>
  <c r="P189" i="40" l="1"/>
  <c r="P190" i="40" l="1"/>
  <c r="P191" i="40" l="1"/>
  <c r="P192" i="40" l="1"/>
  <c r="P193" i="40" l="1"/>
  <c r="P194" i="40" l="1"/>
  <c r="P195" i="40" l="1"/>
  <c r="P196" i="40" l="1"/>
  <c r="P197" i="40" l="1"/>
  <c r="P198" i="40" l="1"/>
  <c r="P199" i="40" l="1"/>
  <c r="P200" i="40" l="1"/>
  <c r="P201" i="40" l="1"/>
  <c r="P202" i="40" l="1"/>
  <c r="P203" i="40" l="1"/>
  <c r="P204" i="40" l="1"/>
  <c r="P205" i="40" l="1"/>
  <c r="P206" i="40" l="1"/>
  <c r="P207" i="40" l="1"/>
  <c r="P208" i="40" l="1"/>
  <c r="P209" i="40" l="1"/>
  <c r="P210" i="40" l="1"/>
  <c r="P211" i="40" l="1"/>
  <c r="P212" i="40" l="1"/>
  <c r="P213" i="40" l="1"/>
  <c r="P214" i="40" l="1"/>
  <c r="P215" i="40" l="1"/>
  <c r="P216" i="40" l="1"/>
  <c r="P217" i="40" l="1"/>
  <c r="P218" i="40" l="1"/>
  <c r="P219" i="40" l="1"/>
  <c r="P220" i="40" l="1"/>
  <c r="P221" i="40" l="1"/>
  <c r="P222" i="40" l="1"/>
  <c r="P223" i="40" l="1"/>
  <c r="P224" i="40" l="1"/>
  <c r="P225" i="40" l="1"/>
  <c r="P226" i="40" l="1"/>
  <c r="P227" i="40" l="1"/>
  <c r="P228" i="40" l="1"/>
  <c r="P229" i="40" l="1"/>
  <c r="P230" i="40" l="1"/>
  <c r="P231" i="40" l="1"/>
  <c r="P232" i="40" l="1"/>
  <c r="P233" i="40" l="1"/>
  <c r="P234" i="40" l="1"/>
  <c r="P235" i="40" l="1"/>
  <c r="P236" i="40" l="1"/>
  <c r="P237" i="40" l="1"/>
  <c r="P238" i="40" l="1"/>
  <c r="P239" i="40" l="1"/>
  <c r="P240" i="40" l="1"/>
  <c r="P241" i="40" l="1"/>
  <c r="P242" i="40" l="1"/>
  <c r="P243" i="40" l="1"/>
  <c r="P244" i="40" l="1"/>
  <c r="P245" i="40" l="1"/>
  <c r="P246" i="40" l="1"/>
  <c r="P247" i="40" l="1"/>
  <c r="P248" i="40" l="1"/>
  <c r="P249" i="40" l="1"/>
  <c r="P250" i="40" l="1"/>
  <c r="P251" i="40" l="1"/>
  <c r="P252" i="40" l="1"/>
  <c r="P253" i="40" l="1"/>
  <c r="P254" i="40" l="1"/>
  <c r="P255" i="40" l="1"/>
  <c r="P256" i="40" l="1"/>
  <c r="P257" i="40" l="1"/>
  <c r="P258" i="40" l="1"/>
  <c r="P259" i="40" l="1"/>
  <c r="P260" i="40" l="1"/>
  <c r="P261" i="40" l="1"/>
  <c r="P262" i="40" l="1"/>
  <c r="P263" i="40" l="1"/>
  <c r="P264" i="40" l="1"/>
  <c r="P265" i="40" l="1"/>
  <c r="P266" i="40" l="1"/>
  <c r="P267" i="40" l="1"/>
  <c r="P268" i="40" l="1"/>
  <c r="P269" i="40" l="1"/>
  <c r="P270" i="40" l="1"/>
  <c r="P271" i="40" l="1"/>
  <c r="P272" i="40" l="1"/>
  <c r="P273" i="40" l="1"/>
  <c r="P274" i="40" l="1"/>
  <c r="P275" i="40" l="1"/>
  <c r="P276" i="40" l="1"/>
  <c r="P277" i="40" l="1"/>
  <c r="P278" i="40" l="1"/>
  <c r="P279" i="40" l="1"/>
  <c r="P280" i="40" l="1"/>
  <c r="P281" i="40" l="1"/>
  <c r="P282" i="40" l="1"/>
  <c r="P283" i="40" l="1"/>
  <c r="P284" i="40" l="1"/>
  <c r="P285" i="40" l="1"/>
  <c r="P286" i="40" l="1"/>
  <c r="P287" i="40" l="1"/>
  <c r="P288" i="40" l="1"/>
  <c r="P289" i="40" l="1"/>
  <c r="P290" i="40" l="1"/>
  <c r="P291" i="40" l="1"/>
  <c r="P292" i="40" l="1"/>
  <c r="P293" i="40" l="1"/>
  <c r="P294" i="40" l="1"/>
  <c r="P295" i="40" l="1"/>
  <c r="P296" i="40" l="1"/>
  <c r="P297" i="40" l="1"/>
  <c r="P298" i="40" l="1"/>
  <c r="P299" i="40" l="1"/>
  <c r="P300" i="40" l="1"/>
  <c r="P301" i="40" l="1"/>
  <c r="P302" i="40" l="1"/>
  <c r="P303" i="40" l="1"/>
  <c r="P304" i="40" l="1"/>
  <c r="P305" i="40" l="1"/>
  <c r="P306" i="40" l="1"/>
  <c r="P307" i="40" l="1"/>
  <c r="P308" i="40" l="1"/>
  <c r="P309" i="40" l="1"/>
  <c r="P310" i="40" l="1"/>
  <c r="P311" i="40" l="1"/>
  <c r="P312" i="40" l="1"/>
  <c r="P313" i="40" l="1"/>
  <c r="P314" i="40" l="1"/>
  <c r="P315" i="40" l="1"/>
  <c r="P316" i="40" l="1"/>
  <c r="P317" i="40" l="1"/>
  <c r="P318" i="40" l="1"/>
  <c r="P319" i="40" l="1"/>
  <c r="P320" i="40" l="1"/>
  <c r="P321" i="40" l="1"/>
  <c r="P322" i="40" l="1"/>
  <c r="P323" i="40" l="1"/>
  <c r="P324" i="40" l="1"/>
  <c r="P325" i="40" l="1"/>
  <c r="P326" i="40" l="1"/>
  <c r="P327" i="40" l="1"/>
  <c r="P328" i="40" l="1"/>
  <c r="P329" i="40" l="1"/>
  <c r="P330" i="40" l="1"/>
  <c r="P331" i="40" l="1"/>
  <c r="P332" i="40" l="1"/>
  <c r="P333" i="40" l="1"/>
  <c r="P334" i="40" l="1"/>
  <c r="P335" i="40" l="1"/>
  <c r="P336" i="40" l="1"/>
  <c r="P337" i="40" l="1"/>
  <c r="P338" i="40" l="1"/>
  <c r="P339" i="40" l="1"/>
  <c r="P340" i="40" l="1"/>
  <c r="P341" i="40" l="1"/>
  <c r="P342" i="40" l="1"/>
  <c r="P343" i="40" l="1"/>
  <c r="P344" i="40" l="1"/>
  <c r="P345" i="40" l="1"/>
  <c r="P346" i="40" l="1"/>
  <c r="P347" i="40" l="1"/>
  <c r="P348" i="40" l="1"/>
  <c r="P349" i="40" l="1"/>
  <c r="P350" i="40" l="1"/>
  <c r="P351" i="40" l="1"/>
  <c r="P352" i="40" l="1"/>
  <c r="P353" i="40" l="1"/>
  <c r="P354" i="40" l="1"/>
  <c r="P355" i="40" l="1"/>
  <c r="P356" i="40" l="1"/>
  <c r="P357" i="40" l="1"/>
  <c r="P358" i="40" l="1"/>
  <c r="P359" i="40" l="1"/>
  <c r="P360" i="40" l="1"/>
  <c r="P361" i="40" l="1"/>
  <c r="P362" i="40" l="1"/>
  <c r="P363" i="40" l="1"/>
  <c r="P364" i="40" l="1"/>
  <c r="P365" i="40" l="1"/>
  <c r="P366" i="40" l="1"/>
  <c r="P367" i="40" l="1"/>
  <c r="P368" i="40" l="1"/>
  <c r="P369" i="40" l="1"/>
  <c r="P370" i="40" l="1"/>
  <c r="P371" i="40" l="1"/>
  <c r="P372" i="40" l="1"/>
  <c r="P373" i="40" l="1"/>
  <c r="P374" i="40" l="1"/>
  <c r="P375" i="40" l="1"/>
  <c r="P376" i="40" l="1"/>
  <c r="P377" i="40" l="1"/>
  <c r="P378" i="40" l="1"/>
  <c r="P379" i="40" l="1"/>
  <c r="P380" i="40" l="1"/>
  <c r="P381" i="40" l="1"/>
  <c r="P382" i="40" l="1"/>
  <c r="P383" i="40" l="1"/>
  <c r="J20" i="29" l="1"/>
  <c r="J21" i="29"/>
  <c r="S29" i="45"/>
  <c r="S28" i="45"/>
  <c r="J8" i="42"/>
  <c r="J5" i="42"/>
  <c r="J8" i="40"/>
  <c r="J9" i="42"/>
  <c r="J6" i="42"/>
  <c r="J10" i="42"/>
  <c r="J7" i="42"/>
  <c r="J11" i="42"/>
  <c r="G8" i="42"/>
  <c r="J6" i="39"/>
  <c r="L6" i="39" s="1"/>
  <c r="S27" i="45"/>
  <c r="I7" i="43"/>
  <c r="K7" i="43" s="1"/>
  <c r="G5" i="42"/>
  <c r="J5" i="43"/>
  <c r="L5" i="43" s="1"/>
  <c r="G9" i="42"/>
  <c r="G10" i="42"/>
  <c r="G4" i="42"/>
  <c r="G6" i="42"/>
  <c r="G7" i="42"/>
  <c r="G11" i="42"/>
  <c r="J4" i="39"/>
  <c r="L4" i="39" s="1"/>
  <c r="I6" i="43"/>
  <c r="K6" i="43" s="1"/>
  <c r="J4" i="42"/>
  <c r="J7" i="43"/>
  <c r="L7" i="43" s="1"/>
  <c r="J3" i="42"/>
  <c r="J6" i="43"/>
  <c r="L6" i="43" s="1"/>
  <c r="G17" i="40"/>
  <c r="I23" i="43"/>
  <c r="P7" i="45"/>
  <c r="I28" i="46"/>
  <c r="I24" i="46"/>
  <c r="O7" i="47"/>
  <c r="I21" i="46"/>
  <c r="O9" i="47"/>
  <c r="J15" i="40"/>
  <c r="J13" i="40"/>
  <c r="I18" i="46"/>
  <c r="J2" i="40"/>
  <c r="J11" i="40"/>
  <c r="J5" i="40"/>
  <c r="O3" i="45"/>
  <c r="J20" i="40"/>
  <c r="S26" i="45"/>
  <c r="P5" i="47"/>
  <c r="I22" i="43"/>
  <c r="I20" i="46"/>
  <c r="I24" i="39"/>
  <c r="I32" i="46"/>
  <c r="I30" i="46"/>
  <c r="I18" i="39"/>
  <c r="I29" i="46"/>
  <c r="S12" i="45" a="1"/>
  <c r="O5" i="45"/>
  <c r="I23" i="39"/>
  <c r="I21" i="44"/>
  <c r="J12" i="40"/>
  <c r="J2" i="42"/>
  <c r="J5" i="39"/>
  <c r="L5" i="39" s="1"/>
  <c r="J10" i="40"/>
  <c r="G20" i="40"/>
  <c r="J3" i="40"/>
  <c r="P6" i="45"/>
  <c r="P6" i="47"/>
  <c r="I25" i="46"/>
  <c r="G5" i="40"/>
  <c r="I24" i="43"/>
  <c r="I19" i="44"/>
  <c r="J19" i="40"/>
  <c r="G16" i="40"/>
  <c r="J9" i="40"/>
  <c r="J14" i="40"/>
  <c r="I21" i="39"/>
  <c r="I31" i="46"/>
  <c r="G10" i="40"/>
  <c r="O3" i="47"/>
  <c r="J18" i="40"/>
  <c r="J17" i="40"/>
  <c r="J6" i="44"/>
  <c r="L6" i="44" s="1"/>
  <c r="J4" i="46"/>
  <c r="L4" i="46" s="1"/>
  <c r="J7" i="39"/>
  <c r="L7" i="39" s="1"/>
  <c r="O8" i="47"/>
  <c r="O6" i="47"/>
  <c r="I33" i="46"/>
  <c r="I22" i="46"/>
  <c r="G3" i="42"/>
  <c r="O4" i="45"/>
  <c r="I3" i="46"/>
  <c r="I20" i="43"/>
  <c r="P10" i="47"/>
  <c r="I19" i="46"/>
  <c r="O4" i="47"/>
  <c r="G15" i="40"/>
  <c r="J4" i="40"/>
  <c r="O5" i="47"/>
  <c r="O9" i="45"/>
  <c r="O10" i="47"/>
  <c r="G6" i="40"/>
  <c r="J6" i="46"/>
  <c r="L6" i="46" s="1"/>
  <c r="P8" i="45"/>
  <c r="G9" i="40"/>
  <c r="I19" i="43"/>
  <c r="G12" i="40"/>
  <c r="I27" i="46"/>
  <c r="P5" i="45"/>
  <c r="I27" i="39"/>
  <c r="I5" i="43"/>
  <c r="K5" i="43" s="1"/>
  <c r="P4" i="45"/>
  <c r="P13" i="45" s="1" a="1"/>
  <c r="O8" i="45"/>
  <c r="J5" i="44"/>
  <c r="L5" i="44" s="1"/>
  <c r="P9" i="47"/>
  <c r="I6" i="39"/>
  <c r="K6" i="39" s="1"/>
  <c r="I18" i="43"/>
  <c r="G19" i="40"/>
  <c r="G11" i="40"/>
  <c r="I22" i="39"/>
  <c r="J6" i="40"/>
  <c r="I26" i="46"/>
  <c r="I3" i="43"/>
  <c r="I23" i="46"/>
  <c r="G7" i="40"/>
  <c r="P7" i="47"/>
  <c r="J7" i="40"/>
  <c r="I7" i="39"/>
  <c r="K7" i="39" s="1"/>
  <c r="I26" i="39"/>
  <c r="G13" i="40"/>
  <c r="I18" i="44"/>
  <c r="G4" i="40"/>
  <c r="I3" i="44"/>
  <c r="P8" i="47"/>
  <c r="P14" i="47" s="1" a="1"/>
  <c r="J5" i="46"/>
  <c r="L5" i="46" s="1"/>
  <c r="I25" i="39"/>
  <c r="O6" i="45"/>
  <c r="G8" i="40"/>
  <c r="P9" i="45"/>
  <c r="I21" i="43"/>
  <c r="G3" i="40"/>
  <c r="I20" i="44"/>
  <c r="I5" i="39"/>
  <c r="K5" i="39" s="1"/>
  <c r="I19" i="39"/>
  <c r="G18" i="40"/>
  <c r="I22" i="44"/>
  <c r="J7" i="46"/>
  <c r="L7" i="46" s="1"/>
  <c r="O7" i="45"/>
  <c r="G14" i="40"/>
  <c r="I20" i="39"/>
  <c r="I3" i="39"/>
  <c r="J7" i="44"/>
  <c r="L7" i="44" s="1"/>
  <c r="J16" i="40"/>
  <c r="G2" i="40"/>
  <c r="E3" i="39"/>
  <c r="E3" i="46"/>
  <c r="E3" i="43"/>
  <c r="G2" i="42"/>
  <c r="E3" i="44"/>
  <c r="I10" i="39"/>
  <c r="F3" i="39"/>
  <c r="J10" i="46"/>
  <c r="F3" i="46"/>
  <c r="F3" i="43"/>
  <c r="J10" i="43"/>
  <c r="J10" i="44"/>
  <c r="F3" i="44"/>
  <c r="G3" i="39"/>
  <c r="H3" i="39" s="1"/>
  <c r="J3" i="39" s="1"/>
  <c r="L3" i="39" s="1"/>
  <c r="K3" i="39"/>
  <c r="J10" i="39"/>
  <c r="G3" i="46"/>
  <c r="H3" i="46" s="1"/>
  <c r="J3" i="46" s="1"/>
  <c r="L3" i="46" s="1"/>
  <c r="K3" i="46"/>
  <c r="K10" i="46"/>
  <c r="G3" i="43"/>
  <c r="H3" i="43" s="1"/>
  <c r="J3" i="43" s="1"/>
  <c r="L3" i="43" s="1"/>
  <c r="K3" i="43"/>
  <c r="K10" i="43"/>
  <c r="G3" i="44"/>
  <c r="H3" i="44" s="1"/>
  <c r="J3" i="44" s="1"/>
  <c r="L3" i="44" s="1"/>
  <c r="K3" i="44"/>
  <c r="K10" i="44"/>
  <c r="N10" i="44" l="1"/>
  <c r="M10" i="44"/>
  <c r="L10" i="44"/>
  <c r="M3" i="44"/>
  <c r="N3" i="44" s="1"/>
  <c r="L10" i="43"/>
  <c r="N10" i="43"/>
  <c r="M10" i="43"/>
  <c r="M3" i="43"/>
  <c r="M10" i="46"/>
  <c r="L10" i="46"/>
  <c r="N10" i="46"/>
  <c r="M3" i="46"/>
  <c r="N3" i="46" s="1"/>
  <c r="K10" i="39"/>
  <c r="L10" i="39"/>
  <c r="M10" i="39"/>
  <c r="M3" i="39"/>
  <c r="K2" i="42"/>
  <c r="K2" i="40"/>
  <c r="K14" i="40"/>
  <c r="K18" i="40"/>
  <c r="M5" i="39"/>
  <c r="K3" i="40"/>
  <c r="K8" i="40"/>
  <c r="P25" i="47"/>
  <c r="P15" i="47"/>
  <c r="P24" i="47"/>
  <c r="P20" i="47"/>
  <c r="P21" i="47"/>
  <c r="P16" i="47"/>
  <c r="P26" i="47"/>
  <c r="P14" i="47"/>
  <c r="P23" i="47"/>
  <c r="P19" i="47"/>
  <c r="P22" i="47"/>
  <c r="P18" i="47"/>
  <c r="P17" i="47"/>
  <c r="P27" i="47"/>
  <c r="K4" i="40"/>
  <c r="K13" i="40"/>
  <c r="M7" i="39"/>
  <c r="K7" i="40"/>
  <c r="K11" i="40"/>
  <c r="K19" i="40"/>
  <c r="M6" i="39"/>
  <c r="P13" i="45"/>
  <c r="P21" i="45"/>
  <c r="P20" i="45"/>
  <c r="P16" i="45"/>
  <c r="P18" i="45"/>
  <c r="P17" i="45"/>
  <c r="P14" i="45"/>
  <c r="P15" i="45"/>
  <c r="P19" i="45"/>
  <c r="M5" i="43"/>
  <c r="K12" i="40"/>
  <c r="K9" i="40"/>
  <c r="K6" i="40"/>
  <c r="K15" i="40"/>
  <c r="K3" i="42"/>
  <c r="K10" i="40"/>
  <c r="K16" i="40"/>
  <c r="K5" i="40"/>
  <c r="K20" i="40"/>
  <c r="S13" i="45"/>
  <c r="S15" i="45"/>
  <c r="S20" i="45"/>
  <c r="S16" i="45"/>
  <c r="S14" i="45"/>
  <c r="S19" i="45"/>
  <c r="S18" i="45"/>
  <c r="S12" i="45"/>
  <c r="S17" i="45"/>
  <c r="S21" i="45"/>
  <c r="K17" i="40"/>
  <c r="M6" i="43"/>
  <c r="K11" i="42"/>
  <c r="K7" i="42"/>
  <c r="K6" i="42"/>
  <c r="K4" i="42"/>
  <c r="K10" i="42"/>
  <c r="K9" i="42"/>
  <c r="K5" i="42"/>
  <c r="M7" i="43"/>
  <c r="I5" i="44"/>
  <c r="K8" i="42"/>
  <c r="I6" i="44"/>
  <c r="I7" i="44"/>
  <c r="S3" i="44" a="1"/>
  <c r="T3" i="46" a="1"/>
  <c r="T9" i="46" a="1"/>
  <c r="T9" i="44" a="1"/>
  <c r="T3" i="44" a="1"/>
  <c r="U3" i="46" a="1"/>
  <c r="U13" i="46" a="1"/>
  <c r="U9" i="46" a="1"/>
  <c r="U9" i="44" a="1"/>
  <c r="U13" i="44" a="1"/>
  <c r="U3" i="44" a="1"/>
  <c r="S3" i="46" a="1"/>
  <c r="U3" i="43" a="1"/>
  <c r="U9" i="43" a="1"/>
  <c r="U13" i="43" a="1"/>
  <c r="K5" i="44"/>
  <c r="K7" i="44"/>
  <c r="U3" i="39" a="1"/>
  <c r="U13" i="39" a="1"/>
  <c r="U9" i="39" a="1"/>
  <c r="S3" i="43" a="1"/>
  <c r="T9" i="39" a="1"/>
  <c r="T3" i="39" a="1"/>
  <c r="T3" i="43" a="1"/>
  <c r="T9" i="43" a="1"/>
  <c r="S3" i="39" a="1"/>
  <c r="K6" i="44"/>
  <c r="M6" i="44" l="1"/>
  <c r="N6" i="44" s="1"/>
  <c r="S5" i="39"/>
  <c r="S4" i="39"/>
  <c r="S3" i="39"/>
  <c r="T10" i="43"/>
  <c r="T9" i="43"/>
  <c r="AA9" i="43" s="1" a="1"/>
  <c r="T5" i="43"/>
  <c r="T3" i="43"/>
  <c r="T4" i="43"/>
  <c r="T5" i="39"/>
  <c r="T4" i="39"/>
  <c r="T3" i="39"/>
  <c r="T10" i="39"/>
  <c r="T9" i="39"/>
  <c r="AA9" i="39" s="1" a="1"/>
  <c r="S5" i="43"/>
  <c r="S4" i="43"/>
  <c r="S3" i="43"/>
  <c r="U10" i="39"/>
  <c r="U9" i="39"/>
  <c r="U13" i="39"/>
  <c r="AA13" i="39" s="1"/>
  <c r="U5" i="39"/>
  <c r="U3" i="39"/>
  <c r="U4" i="39"/>
  <c r="M7" i="44"/>
  <c r="N7" i="44" s="1"/>
  <c r="M5" i="44"/>
  <c r="N5" i="44" s="1"/>
  <c r="U13" i="43"/>
  <c r="AA13" i="43" s="1"/>
  <c r="U9" i="43"/>
  <c r="U10" i="43"/>
  <c r="U3" i="43"/>
  <c r="U4" i="43"/>
  <c r="U5" i="43"/>
  <c r="S5" i="46"/>
  <c r="S4" i="46"/>
  <c r="S3" i="46"/>
  <c r="U4" i="44"/>
  <c r="U3" i="44"/>
  <c r="U5" i="44"/>
  <c r="U13" i="44"/>
  <c r="AA13" i="44" s="1"/>
  <c r="U9" i="44"/>
  <c r="U10" i="44"/>
  <c r="U10" i="46"/>
  <c r="U9" i="46"/>
  <c r="U13" i="46"/>
  <c r="AA13" i="46" s="1"/>
  <c r="U4" i="46"/>
  <c r="U5" i="46"/>
  <c r="U3" i="46"/>
  <c r="T5" i="44"/>
  <c r="T3" i="44"/>
  <c r="T4" i="44"/>
  <c r="T9" i="44"/>
  <c r="T10" i="44"/>
  <c r="T9" i="46"/>
  <c r="T10" i="46"/>
  <c r="T3" i="46"/>
  <c r="T5" i="46"/>
  <c r="T4" i="46"/>
  <c r="S5" i="44"/>
  <c r="S3" i="44"/>
  <c r="S4" i="44"/>
  <c r="AB10" i="39" l="1"/>
  <c r="AA10" i="39"/>
  <c r="AB9" i="39"/>
  <c r="AA9" i="39"/>
  <c r="AA10" i="43"/>
  <c r="AA9" i="43"/>
  <c r="AB10" i="43"/>
  <c r="AB9" i="43"/>
  <c r="AA3" i="43" a="1"/>
  <c r="AA9" i="46" a="1"/>
  <c r="AA3" i="39" a="1"/>
  <c r="AA3" i="44" a="1"/>
  <c r="AA9" i="44" a="1"/>
  <c r="AA3" i="46" a="1"/>
  <c r="AB5" i="46" l="1"/>
  <c r="AC5" i="46"/>
  <c r="AC3" i="46"/>
  <c r="AC4" i="46"/>
  <c r="AA5" i="46"/>
  <c r="AB4" i="46"/>
  <c r="AA4" i="46"/>
  <c r="AA3" i="46"/>
  <c r="AB3" i="46"/>
  <c r="AB9" i="44"/>
  <c r="AB10" i="44"/>
  <c r="AA10" i="44"/>
  <c r="AA9" i="44"/>
  <c r="AA5" i="44"/>
  <c r="AC5" i="44"/>
  <c r="AB5" i="44"/>
  <c r="AA3" i="44"/>
  <c r="AC4" i="44"/>
  <c r="AA4" i="44"/>
  <c r="AB3" i="44"/>
  <c r="AB4" i="44"/>
  <c r="AC3" i="44"/>
  <c r="AC5" i="39"/>
  <c r="AC3" i="39"/>
  <c r="AC4" i="39"/>
  <c r="AB5" i="39"/>
  <c r="AB4" i="39"/>
  <c r="AA4" i="39"/>
  <c r="AA3" i="39"/>
  <c r="AA5" i="39"/>
  <c r="AB3" i="39"/>
  <c r="AA10" i="46"/>
  <c r="AB10" i="46"/>
  <c r="AB9" i="46"/>
  <c r="AA9" i="46"/>
  <c r="AA5" i="43"/>
  <c r="AC4" i="43"/>
  <c r="AA3" i="43"/>
  <c r="AB5" i="43"/>
  <c r="AA4" i="43"/>
  <c r="AB4" i="43"/>
  <c r="AC3" i="43"/>
  <c r="AC5" i="43"/>
  <c r="AB3" i="43"/>
  <c r="M1" i="40"/>
  <c r="Q3" i="40"/>
  <c r="Q67" i="40"/>
  <c r="Q131" i="40"/>
  <c r="Q195" i="40"/>
  <c r="Q259" i="40"/>
  <c r="Q323" i="40"/>
  <c r="Q4" i="40"/>
  <c r="Q68" i="40"/>
  <c r="Q132" i="40"/>
  <c r="Q204" i="40"/>
  <c r="Q268" i="40"/>
  <c r="Q340" i="40"/>
  <c r="Q29" i="40"/>
  <c r="Q141" i="40"/>
  <c r="Q269" i="40"/>
  <c r="Q172" i="40"/>
  <c r="Q133" i="40"/>
  <c r="Q261" i="40"/>
  <c r="Q381" i="40"/>
  <c r="Q86" i="40"/>
  <c r="Q186" i="40"/>
  <c r="Q289" i="40"/>
  <c r="Q8" i="40"/>
  <c r="Q112" i="40"/>
  <c r="Q215" i="40"/>
  <c r="Q318" i="40"/>
  <c r="Q38" i="40"/>
  <c r="Q138" i="40"/>
  <c r="Q241" i="40"/>
  <c r="Q344" i="40"/>
  <c r="Q103" i="40"/>
  <c r="Q295" i="40"/>
  <c r="Q129" i="40"/>
  <c r="Q335" i="40"/>
  <c r="Q169" i="40"/>
  <c r="Q17" i="40"/>
  <c r="Q234" i="40"/>
  <c r="Q71" i="40"/>
  <c r="Q288" i="40"/>
  <c r="Q142" i="40"/>
  <c r="Q359" i="40"/>
  <c r="Q193" i="40"/>
  <c r="Q30" i="40"/>
  <c r="Q233" i="40"/>
  <c r="Q56" i="40"/>
  <c r="Q248" i="40"/>
  <c r="Q82" i="40"/>
  <c r="Q302" i="40"/>
  <c r="Q75" i="40"/>
  <c r="Q139" i="40"/>
  <c r="Q203" i="40"/>
  <c r="Q267" i="40"/>
  <c r="Q331" i="40"/>
  <c r="Q12" i="40"/>
  <c r="Q76" i="40"/>
  <c r="Q140" i="40"/>
  <c r="Q212" i="40"/>
  <c r="Q276" i="40"/>
  <c r="Q348" i="40"/>
  <c r="Q37" i="40"/>
  <c r="Q157" i="40"/>
  <c r="Q285" i="40"/>
  <c r="Q332" i="40"/>
  <c r="Q149" i="40"/>
  <c r="Q14" i="40"/>
  <c r="Q97" i="40"/>
  <c r="Q200" i="40"/>
  <c r="Q303" i="40"/>
  <c r="Q23" i="40"/>
  <c r="Q126" i="40"/>
  <c r="Q226" i="40"/>
  <c r="Q49" i="40"/>
  <c r="Q152" i="40"/>
  <c r="Q255" i="40"/>
  <c r="Q369" i="40"/>
  <c r="Q128" i="40"/>
  <c r="Q154" i="40"/>
  <c r="Q360" i="40"/>
  <c r="Q194" i="40"/>
  <c r="Q42" i="40"/>
  <c r="Q96" i="40"/>
  <c r="Q313" i="40"/>
  <c r="Q15" i="40"/>
  <c r="Q218" i="40"/>
  <c r="Q258" i="40"/>
  <c r="Q70" i="40"/>
  <c r="Q110" i="40"/>
  <c r="Q327" i="40"/>
  <c r="Q19" i="40"/>
  <c r="Q147" i="40"/>
  <c r="Q211" i="40"/>
  <c r="Q275" i="40"/>
  <c r="Q339" i="40"/>
  <c r="Q84" i="40"/>
  <c r="Q148" i="40"/>
  <c r="Q284" i="40"/>
  <c r="Q53" i="40"/>
  <c r="Q301" i="40"/>
  <c r="Q165" i="40"/>
  <c r="Q7" i="40"/>
  <c r="Q214" i="40"/>
  <c r="Q34" i="40"/>
  <c r="Q240" i="40"/>
  <c r="Q63" i="40"/>
  <c r="Q266" i="40"/>
  <c r="Q153" i="40"/>
  <c r="Q182" i="40"/>
  <c r="Q222" i="40"/>
  <c r="Q81" i="40"/>
  <c r="Q121" i="40"/>
  <c r="Q192" i="40"/>
  <c r="Q246" i="40"/>
  <c r="Q286" i="40"/>
  <c r="Q298" i="40"/>
  <c r="Q352" i="40"/>
  <c r="Q27" i="40"/>
  <c r="Q155" i="40"/>
  <c r="Q219" i="40"/>
  <c r="Q283" i="40"/>
  <c r="Q347" i="40"/>
  <c r="Q28" i="40"/>
  <c r="Q156" i="40"/>
  <c r="Q292" i="40"/>
  <c r="Q69" i="40"/>
  <c r="Q189" i="40"/>
  <c r="Q45" i="40"/>
  <c r="Q309" i="40"/>
  <c r="Q122" i="40"/>
  <c r="Q328" i="40"/>
  <c r="Q151" i="40"/>
  <c r="Q354" i="40"/>
  <c r="Q177" i="40"/>
  <c r="Q10" i="40"/>
  <c r="Q370" i="40"/>
  <c r="Q41" i="40"/>
  <c r="Q95" i="40"/>
  <c r="Q146" i="40"/>
  <c r="Q366" i="40"/>
  <c r="Q65" i="40"/>
  <c r="Q105" i="40"/>
  <c r="Q311" i="40"/>
  <c r="Q326" i="40"/>
  <c r="Q377" i="40"/>
  <c r="Q35" i="40"/>
  <c r="Q163" i="40"/>
  <c r="Q227" i="40"/>
  <c r="Q291" i="40"/>
  <c r="Q355" i="40"/>
  <c r="Q36" i="40"/>
  <c r="Q164" i="40"/>
  <c r="Q236" i="40"/>
  <c r="Q372" i="40"/>
  <c r="Q205" i="40"/>
  <c r="Q61" i="40"/>
  <c r="Q317" i="40"/>
  <c r="Q136" i="40"/>
  <c r="Q342" i="40"/>
  <c r="Q62" i="40"/>
  <c r="Q265" i="40"/>
  <c r="Q88" i="40"/>
  <c r="Q294" i="40"/>
  <c r="Q206" i="40"/>
  <c r="Q26" i="40"/>
  <c r="Q66" i="40"/>
  <c r="Q272" i="40"/>
  <c r="Q337" i="40"/>
  <c r="Q174" i="40"/>
  <c r="Q256" i="40"/>
  <c r="Q296" i="40"/>
  <c r="Q130" i="40"/>
  <c r="Q159" i="40"/>
  <c r="Q185" i="40"/>
  <c r="Q263" i="40"/>
  <c r="Q43" i="40"/>
  <c r="Q171" i="40"/>
  <c r="Q235" i="40"/>
  <c r="Q299" i="40"/>
  <c r="Q363" i="40"/>
  <c r="Q108" i="40"/>
  <c r="Q244" i="40"/>
  <c r="Q380" i="40"/>
  <c r="Q221" i="40"/>
  <c r="Q77" i="40"/>
  <c r="Q333" i="40"/>
  <c r="Q150" i="40"/>
  <c r="Q353" i="40"/>
  <c r="Q176" i="40"/>
  <c r="Q382" i="40"/>
  <c r="Q102" i="40"/>
  <c r="Q305" i="40"/>
  <c r="Q231" i="40"/>
  <c r="Q257" i="40"/>
  <c r="Q94" i="40"/>
  <c r="Q145" i="40"/>
  <c r="Q199" i="40"/>
  <c r="Q281" i="40"/>
  <c r="Q321" i="40"/>
  <c r="Q158" i="40"/>
  <c r="Q170" i="40"/>
  <c r="Q210" i="40"/>
  <c r="Q51" i="40"/>
  <c r="Q179" i="40"/>
  <c r="Q243" i="40"/>
  <c r="Q307" i="40"/>
  <c r="Q371" i="40"/>
  <c r="Q52" i="40"/>
  <c r="Q188" i="40"/>
  <c r="Q252" i="40"/>
  <c r="Q5" i="40"/>
  <c r="Q373" i="40"/>
  <c r="Q229" i="40"/>
  <c r="Q58" i="40"/>
  <c r="Q264" i="40"/>
  <c r="Q87" i="40"/>
  <c r="Q290" i="40"/>
  <c r="Q113" i="40"/>
  <c r="Q216" i="40"/>
  <c r="Q242" i="40"/>
  <c r="Q282" i="40"/>
  <c r="Q322" i="40"/>
  <c r="Q18" i="40"/>
  <c r="Q78" i="40"/>
  <c r="Q143" i="40"/>
  <c r="Q183" i="40"/>
  <c r="Q198" i="40"/>
  <c r="Q238" i="40"/>
  <c r="Q59" i="40"/>
  <c r="Q187" i="40"/>
  <c r="Q251" i="40"/>
  <c r="Q315" i="40"/>
  <c r="Q60" i="40"/>
  <c r="Q124" i="40"/>
  <c r="Q260" i="40"/>
  <c r="Q21" i="40"/>
  <c r="Q253" i="40"/>
  <c r="Q109" i="40"/>
  <c r="Q365" i="40"/>
  <c r="Q175" i="40"/>
  <c r="Q378" i="40"/>
  <c r="Q201" i="40"/>
  <c r="Q24" i="40"/>
  <c r="Q230" i="40"/>
  <c r="Q89" i="40"/>
  <c r="Q104" i="40"/>
  <c r="Q144" i="40"/>
  <c r="Q209" i="40"/>
  <c r="Q249" i="40"/>
  <c r="Q334" i="40"/>
  <c r="Q374" i="40"/>
  <c r="Q31" i="40"/>
  <c r="Q57" i="40"/>
  <c r="Q11" i="40"/>
  <c r="Q277" i="40"/>
  <c r="Q329" i="40"/>
  <c r="Q320" i="40"/>
  <c r="Q262" i="40"/>
  <c r="Q167" i="40"/>
  <c r="Q55" i="40"/>
  <c r="Q273" i="40"/>
  <c r="Q83" i="40"/>
  <c r="Q20" i="40"/>
  <c r="Q220" i="40"/>
  <c r="Q356" i="40"/>
  <c r="Q173" i="40"/>
  <c r="Q13" i="40"/>
  <c r="Q293" i="40"/>
  <c r="Q111" i="40"/>
  <c r="Q314" i="40"/>
  <c r="Q137" i="40"/>
  <c r="Q343" i="40"/>
  <c r="Q166" i="40"/>
  <c r="Q383" i="40"/>
  <c r="Q345" i="40"/>
  <c r="Q16" i="40"/>
  <c r="Q287" i="40"/>
  <c r="Q338" i="40"/>
  <c r="Q40" i="40"/>
  <c r="Q80" i="40"/>
  <c r="Q106" i="40"/>
  <c r="Q135" i="40"/>
  <c r="Q91" i="40"/>
  <c r="Q92" i="40"/>
  <c r="Q228" i="40"/>
  <c r="Q364" i="40"/>
  <c r="Q325" i="40"/>
  <c r="Q181" i="40"/>
  <c r="Q22" i="40"/>
  <c r="Q225" i="40"/>
  <c r="Q48" i="40"/>
  <c r="Q254" i="40"/>
  <c r="Q74" i="40"/>
  <c r="Q280" i="40"/>
  <c r="Q178" i="40"/>
  <c r="Q207" i="40"/>
  <c r="Q247" i="40"/>
  <c r="Q312" i="40"/>
  <c r="Q217" i="40"/>
  <c r="Q271" i="40"/>
  <c r="Q134" i="40"/>
  <c r="Q160" i="40"/>
  <c r="Q99" i="40"/>
  <c r="Q100" i="40"/>
  <c r="Q300" i="40"/>
  <c r="Q85" i="40"/>
  <c r="Q341" i="40"/>
  <c r="Q197" i="40"/>
  <c r="Q33" i="40"/>
  <c r="Q239" i="40"/>
  <c r="Q162" i="40"/>
  <c r="Q368" i="40"/>
  <c r="Q191" i="40"/>
  <c r="Q39" i="40"/>
  <c r="Q232" i="40"/>
  <c r="Q120" i="40"/>
  <c r="Q358" i="40"/>
  <c r="Q90" i="40"/>
  <c r="Q336" i="40"/>
  <c r="Q351" i="40"/>
  <c r="Q107" i="40"/>
  <c r="Q44" i="40"/>
  <c r="Q180" i="40"/>
  <c r="Q308" i="40"/>
  <c r="Q101" i="40"/>
  <c r="Q357" i="40"/>
  <c r="Q213" i="40"/>
  <c r="Q47" i="40"/>
  <c r="Q250" i="40"/>
  <c r="Q73" i="40"/>
  <c r="Q279" i="40"/>
  <c r="Q202" i="40"/>
  <c r="Q50" i="40"/>
  <c r="Q54" i="40"/>
  <c r="Q297" i="40"/>
  <c r="Q362" i="40"/>
  <c r="Q25" i="40"/>
  <c r="Q118" i="40"/>
  <c r="Q350" i="40"/>
  <c r="Q376" i="40"/>
  <c r="Q2" i="40"/>
  <c r="Q115" i="40"/>
  <c r="Q116" i="40"/>
  <c r="Q316" i="40"/>
  <c r="Q117" i="40"/>
  <c r="Q237" i="40"/>
  <c r="Q93" i="40"/>
  <c r="Q349" i="40"/>
  <c r="Q161" i="40"/>
  <c r="Q367" i="40"/>
  <c r="Q190" i="40"/>
  <c r="Q9" i="40"/>
  <c r="Q319" i="40"/>
  <c r="Q64" i="40"/>
  <c r="Q79" i="40"/>
  <c r="Q119" i="40"/>
  <c r="Q184" i="40"/>
  <c r="Q224" i="40"/>
  <c r="Q306" i="40"/>
  <c r="Q346" i="40"/>
  <c r="Q375" i="40"/>
  <c r="Q32" i="40"/>
  <c r="M2" i="40"/>
  <c r="N2" i="40"/>
  <c r="I4" i="39"/>
  <c r="K4" i="39"/>
  <c r="Q123" i="40"/>
  <c r="Q379" i="40"/>
  <c r="Q196" i="40"/>
  <c r="Q324" i="40"/>
  <c r="Q125" i="40"/>
  <c r="Q6" i="40"/>
  <c r="Q245" i="40"/>
  <c r="Q72" i="40"/>
  <c r="Q278" i="40"/>
  <c r="Q98" i="40"/>
  <c r="Q304" i="40"/>
  <c r="Q127" i="40"/>
  <c r="Q330" i="40"/>
  <c r="Q270" i="40"/>
  <c r="Q310" i="40"/>
  <c r="Q361" i="40"/>
  <c r="Q46" i="40"/>
  <c r="Q114" i="40"/>
  <c r="Q168" i="40"/>
  <c r="Q208" i="40"/>
  <c r="Q223" i="40"/>
  <c r="Q274" i="40"/>
  <c r="M8" i="40"/>
  <c r="M4" i="39" l="1"/>
  <c r="N8" i="40"/>
  <c r="M12" i="40"/>
  <c r="N12" i="40"/>
  <c r="M15" i="40"/>
  <c r="N15" i="40"/>
  <c r="M4" i="40"/>
  <c r="N4" i="40"/>
  <c r="M7" i="40"/>
  <c r="N7" i="40"/>
  <c r="M19" i="40"/>
  <c r="N19" i="40"/>
  <c r="M18" i="40"/>
  <c r="N18" i="40"/>
  <c r="M14" i="40"/>
  <c r="N14" i="40"/>
  <c r="M11" i="40"/>
  <c r="N11" i="40"/>
  <c r="M10" i="40"/>
  <c r="N10" i="40"/>
  <c r="M6" i="40"/>
  <c r="N6" i="40"/>
  <c r="M3" i="40"/>
  <c r="N3" i="40"/>
  <c r="M17" i="40"/>
  <c r="N17" i="40"/>
  <c r="M13" i="40"/>
  <c r="N13" i="40"/>
  <c r="M9" i="40"/>
  <c r="N9" i="40"/>
  <c r="M5" i="40"/>
  <c r="N5" i="40"/>
  <c r="M16" i="40"/>
  <c r="N16" i="40"/>
  <c r="M20" i="40"/>
  <c r="N20" i="40"/>
  <c r="Y13" i="39" a="1"/>
  <c r="Y13" i="39"/>
  <c r="W13" i="39" s="1"/>
  <c r="Y9" i="39" a="1"/>
  <c r="AH103" i="39" l="1"/>
  <c r="AH22" i="39"/>
  <c r="AH19" i="39"/>
  <c r="AH27" i="39"/>
  <c r="AH132" i="39"/>
  <c r="AH31" i="39"/>
  <c r="AH102" i="39"/>
  <c r="AH86" i="39"/>
  <c r="AH100" i="39"/>
  <c r="AH89" i="39"/>
  <c r="AH33" i="39"/>
  <c r="AH109" i="39"/>
  <c r="AH26" i="39"/>
  <c r="AH101" i="39"/>
  <c r="AH12" i="39"/>
  <c r="AH34" i="39"/>
  <c r="M23" i="39"/>
  <c r="AH116" i="39"/>
  <c r="AH80" i="39"/>
  <c r="AH48" i="39"/>
  <c r="AH83" i="39"/>
  <c r="AH78" i="39"/>
  <c r="AH108" i="39"/>
  <c r="AH4" i="39"/>
  <c r="AH73" i="39"/>
  <c r="AH129" i="39"/>
  <c r="AH107" i="39"/>
  <c r="AH21" i="39"/>
  <c r="AH105" i="39"/>
  <c r="AH93" i="39"/>
  <c r="AH77" i="39"/>
  <c r="AH55" i="39"/>
  <c r="AH65" i="39"/>
  <c r="AH76" i="39"/>
  <c r="AH61" i="39"/>
  <c r="AH98" i="39"/>
  <c r="AH87" i="39"/>
  <c r="AH43" i="39"/>
  <c r="AH131" i="39"/>
  <c r="M18" i="39"/>
  <c r="AH3" i="39"/>
  <c r="AH88" i="39"/>
  <c r="AH14" i="39"/>
  <c r="AH84" i="39"/>
  <c r="AH41" i="39"/>
  <c r="AH118" i="39"/>
  <c r="AH47" i="39"/>
  <c r="M26" i="39"/>
  <c r="AH44" i="39"/>
  <c r="AH51" i="39"/>
  <c r="AH114" i="39"/>
  <c r="AH54" i="39"/>
  <c r="AH66" i="39"/>
  <c r="AH123" i="39"/>
  <c r="M21" i="39"/>
  <c r="AH127" i="39"/>
  <c r="AH124" i="39"/>
  <c r="AH53" i="39"/>
  <c r="AH56" i="39"/>
  <c r="AH39" i="39"/>
  <c r="M25" i="39"/>
  <c r="AH32" i="39"/>
  <c r="AH25" i="39"/>
  <c r="AH30" i="39"/>
  <c r="AH64" i="39"/>
  <c r="AH70" i="39"/>
  <c r="AH92" i="39"/>
  <c r="AH58" i="39"/>
  <c r="AH82" i="39"/>
  <c r="AH20" i="39"/>
  <c r="AH45" i="39"/>
  <c r="AH57" i="39"/>
  <c r="AH115" i="39"/>
  <c r="AH111" i="39"/>
  <c r="AH5" i="39"/>
  <c r="AH74" i="39"/>
  <c r="AH121" i="39"/>
  <c r="AH13" i="39"/>
  <c r="AH63" i="39"/>
  <c r="AH60" i="39"/>
  <c r="AH24" i="39"/>
  <c r="AH8" i="39"/>
  <c r="AH72" i="39"/>
  <c r="AH128" i="39"/>
  <c r="AH29" i="39"/>
  <c r="AH75" i="39"/>
  <c r="AH17" i="39"/>
  <c r="AH117" i="39"/>
  <c r="AH90" i="39"/>
  <c r="AH126" i="39"/>
  <c r="AH6" i="39"/>
  <c r="AH104" i="39"/>
  <c r="AH15" i="39"/>
  <c r="AH37" i="39"/>
  <c r="AH69" i="39"/>
  <c r="AH42" i="39"/>
  <c r="AH97" i="39"/>
  <c r="AH119" i="39"/>
  <c r="AH10" i="39"/>
  <c r="AH112" i="39"/>
  <c r="AH91" i="39"/>
  <c r="AH28" i="39"/>
  <c r="AH46" i="39"/>
  <c r="AH68" i="39"/>
  <c r="AH23" i="39"/>
  <c r="AH49" i="39"/>
  <c r="AH106" i="39"/>
  <c r="M20" i="39"/>
  <c r="M22" i="39"/>
  <c r="AH81" i="39"/>
  <c r="AH62" i="39"/>
  <c r="AH95" i="39"/>
  <c r="AH110" i="39"/>
  <c r="AH94" i="39"/>
  <c r="AH120" i="39"/>
  <c r="AH113" i="39"/>
  <c r="AH99" i="39"/>
  <c r="AH16" i="39"/>
  <c r="AH59" i="39"/>
  <c r="AH9" i="39"/>
  <c r="AH85" i="39"/>
  <c r="AH7" i="39"/>
  <c r="AH18" i="39"/>
  <c r="AH50" i="39"/>
  <c r="AH125" i="39"/>
  <c r="M27" i="39"/>
  <c r="AH71" i="39"/>
  <c r="AH36" i="39"/>
  <c r="AH96" i="39"/>
  <c r="AH52" i="39"/>
  <c r="AH35" i="39"/>
  <c r="M24" i="39"/>
  <c r="AH40" i="39"/>
  <c r="AH67" i="39"/>
  <c r="M19" i="39"/>
  <c r="AH79" i="39"/>
  <c r="AH130" i="39"/>
  <c r="AH38" i="39"/>
  <c r="AH11" i="39"/>
  <c r="AH122" i="39"/>
  <c r="Y9" i="39"/>
  <c r="Y10" i="39"/>
  <c r="W9" i="39" s="1" a="1"/>
  <c r="Y3" i="39" a="1"/>
  <c r="W9" i="39" l="1"/>
  <c r="W10" i="39"/>
  <c r="N20" i="39"/>
  <c r="AI50" i="39"/>
  <c r="AI58" i="39"/>
  <c r="AI80" i="39"/>
  <c r="AI60" i="39"/>
  <c r="AI4" i="39"/>
  <c r="Y5" i="39"/>
  <c r="Y4" i="39"/>
  <c r="Y3" i="39"/>
  <c r="AI101" i="39" l="1"/>
  <c r="AI20" i="39"/>
  <c r="AI33" i="39"/>
  <c r="N26" i="39"/>
  <c r="AI40" i="39"/>
  <c r="AI11" i="39"/>
  <c r="AI15" i="39"/>
  <c r="AI12" i="39"/>
  <c r="AI42" i="39"/>
  <c r="AI75" i="39"/>
  <c r="AI128" i="39"/>
  <c r="AI126" i="39"/>
  <c r="AI37" i="39"/>
  <c r="AI116" i="39"/>
  <c r="AI112" i="39"/>
  <c r="AI14" i="39"/>
  <c r="AI132" i="39"/>
  <c r="AI48" i="39"/>
  <c r="AI117" i="39"/>
  <c r="AI65" i="39"/>
  <c r="AI115" i="39"/>
  <c r="AI106" i="39"/>
  <c r="AI93" i="39"/>
  <c r="AI89" i="39"/>
  <c r="AI5" i="39"/>
  <c r="N23" i="39"/>
  <c r="N25" i="39"/>
  <c r="AI54" i="39"/>
  <c r="AI97" i="39"/>
  <c r="AI111" i="39"/>
  <c r="AI23" i="39"/>
  <c r="AI129" i="39"/>
  <c r="N21" i="39"/>
  <c r="AI122" i="39"/>
  <c r="AI131" i="39"/>
  <c r="AI81" i="39"/>
  <c r="AI74" i="39"/>
  <c r="AI79" i="39"/>
  <c r="AI104" i="39"/>
  <c r="AI77" i="39"/>
  <c r="AI6" i="39"/>
  <c r="AI100" i="39"/>
  <c r="AI108" i="39"/>
  <c r="AI56" i="39"/>
  <c r="AI120" i="39"/>
  <c r="AI95" i="39"/>
  <c r="AI29" i="39"/>
  <c r="AI109" i="39"/>
  <c r="AI130" i="39"/>
  <c r="AI18" i="39"/>
  <c r="AI39" i="39"/>
  <c r="N19" i="39"/>
  <c r="AI118" i="39"/>
  <c r="AI10" i="39"/>
  <c r="AI7" i="39"/>
  <c r="AI26" i="39"/>
  <c r="AI24" i="39"/>
  <c r="AI96" i="39"/>
  <c r="AI51" i="39"/>
  <c r="AI84" i="39"/>
  <c r="AI31" i="39"/>
  <c r="AI76" i="39"/>
  <c r="AI19" i="39"/>
  <c r="AI114" i="39"/>
  <c r="N27" i="39"/>
  <c r="AI98" i="39"/>
  <c r="AI22" i="39"/>
  <c r="AI36" i="39"/>
  <c r="AI72" i="39"/>
  <c r="AI34" i="39"/>
  <c r="AI91" i="39"/>
  <c r="AI21" i="39"/>
  <c r="AI47" i="39"/>
  <c r="N24" i="39"/>
  <c r="AI87" i="39"/>
  <c r="AI94" i="39"/>
  <c r="AI107" i="39"/>
  <c r="AI32" i="39"/>
  <c r="AI17" i="39"/>
  <c r="AI8" i="39"/>
  <c r="AI25" i="39"/>
  <c r="AI99" i="39"/>
  <c r="AI64" i="39"/>
  <c r="AI121" i="39"/>
  <c r="W3" i="39" a="1"/>
  <c r="W5" i="39" s="1"/>
  <c r="AI73" i="39"/>
  <c r="AI53" i="39"/>
  <c r="AI38" i="39"/>
  <c r="AI71" i="39"/>
  <c r="AI66" i="39"/>
  <c r="AI90" i="39"/>
  <c r="AI57" i="39"/>
  <c r="AI13" i="39"/>
  <c r="AI44" i="39"/>
  <c r="AI41" i="39"/>
  <c r="AI103" i="39"/>
  <c r="AI125" i="39"/>
  <c r="AI9" i="39"/>
  <c r="AI88" i="39"/>
  <c r="AI49" i="39"/>
  <c r="AI102" i="39"/>
  <c r="AI52" i="39"/>
  <c r="AI35" i="39"/>
  <c r="AI123" i="39"/>
  <c r="AI113" i="39"/>
  <c r="AI82" i="39"/>
  <c r="AI78" i="39"/>
  <c r="AI16" i="39"/>
  <c r="AI70" i="39"/>
  <c r="AI92" i="39"/>
  <c r="AI55" i="39"/>
  <c r="AI28" i="39"/>
  <c r="AI124" i="39"/>
  <c r="AI59" i="39"/>
  <c r="AI69" i="39"/>
  <c r="N18" i="39"/>
  <c r="N22" i="39"/>
  <c r="AI43" i="39"/>
  <c r="AI68" i="39"/>
  <c r="AI85" i="39"/>
  <c r="AI67" i="39"/>
  <c r="AI105" i="39"/>
  <c r="AI61" i="39"/>
  <c r="AI110" i="39"/>
  <c r="AI62" i="39"/>
  <c r="AI45" i="39"/>
  <c r="AI27" i="39"/>
  <c r="AI63" i="39"/>
  <c r="AI119" i="39"/>
  <c r="AI46" i="39"/>
  <c r="AI127" i="39"/>
  <c r="AI30" i="39"/>
  <c r="AI86" i="39"/>
  <c r="AI3" i="39"/>
  <c r="AI83" i="39"/>
  <c r="W3" i="39" l="1"/>
  <c r="W4" i="39"/>
  <c r="D40" i="29"/>
  <c r="C44" i="29"/>
  <c r="AJ96" i="39" l="1"/>
  <c r="AJ66" i="39"/>
  <c r="AJ109" i="39"/>
  <c r="AJ57" i="39"/>
  <c r="AJ14" i="39"/>
  <c r="AJ126" i="39"/>
  <c r="AJ100" i="39"/>
  <c r="AJ3" i="39"/>
  <c r="AJ11" i="39"/>
  <c r="AJ130" i="39"/>
  <c r="AJ60" i="39"/>
  <c r="AJ15" i="39"/>
  <c r="AJ45" i="39"/>
  <c r="AJ49" i="39"/>
  <c r="AJ42" i="39"/>
  <c r="AJ48" i="39"/>
  <c r="AJ10" i="39"/>
  <c r="O25" i="39"/>
  <c r="D38" i="39" s="1"/>
  <c r="J22" i="33" s="1"/>
  <c r="N22" i="33" s="1"/>
  <c r="AJ103" i="39"/>
  <c r="AJ16" i="39"/>
  <c r="AJ110" i="39"/>
  <c r="AJ24" i="39"/>
  <c r="AJ55" i="39"/>
  <c r="AJ131" i="39"/>
  <c r="AJ39" i="39"/>
  <c r="AJ99" i="39"/>
  <c r="AJ122" i="39"/>
  <c r="AJ120" i="39"/>
  <c r="O24" i="39"/>
  <c r="D37" i="39" s="1"/>
  <c r="J21" i="33" s="1"/>
  <c r="N21" i="33" s="1"/>
  <c r="AJ112" i="39"/>
  <c r="AJ32" i="39"/>
  <c r="AJ113" i="39"/>
  <c r="AJ97" i="39"/>
  <c r="O27" i="39"/>
  <c r="D40" i="39" s="1"/>
  <c r="J24" i="33" s="1"/>
  <c r="N24" i="33" s="1"/>
  <c r="AJ36" i="39"/>
  <c r="AJ124" i="39"/>
  <c r="AJ80" i="39"/>
  <c r="AJ43" i="39"/>
  <c r="AJ47" i="39"/>
  <c r="AJ123" i="39"/>
  <c r="O26" i="39"/>
  <c r="D39" i="39" s="1"/>
  <c r="J23" i="33" s="1"/>
  <c r="N23" i="33" s="1"/>
  <c r="AJ118" i="39"/>
  <c r="AJ5" i="39"/>
  <c r="AJ27" i="39"/>
  <c r="AJ69" i="39"/>
  <c r="AJ127" i="39"/>
  <c r="AJ51" i="39"/>
  <c r="O18" i="39"/>
  <c r="D31" i="39" s="1"/>
  <c r="J15" i="33" s="1"/>
  <c r="N15" i="33" s="1"/>
  <c r="AJ40" i="39"/>
  <c r="O21" i="39"/>
  <c r="D34" i="39" s="1"/>
  <c r="J18" i="33" s="1"/>
  <c r="N18" i="33" s="1"/>
  <c r="AJ22" i="39"/>
  <c r="AJ87" i="39"/>
  <c r="AJ81" i="39"/>
  <c r="AJ116" i="39"/>
  <c r="AJ65" i="39"/>
  <c r="AJ75" i="39"/>
  <c r="AJ9" i="39"/>
  <c r="AJ84" i="39"/>
  <c r="AJ101" i="39"/>
  <c r="AJ90" i="39"/>
  <c r="AJ74" i="39"/>
  <c r="AJ76" i="39"/>
  <c r="AJ93" i="39"/>
  <c r="AJ58" i="39"/>
  <c r="AJ38" i="39"/>
  <c r="AJ105" i="39"/>
  <c r="AJ63" i="39"/>
  <c r="AJ77" i="39"/>
  <c r="AJ95" i="39"/>
  <c r="AJ18" i="39"/>
  <c r="AJ83" i="39"/>
  <c r="AJ37" i="39"/>
  <c r="AJ7" i="39"/>
  <c r="AJ8" i="39"/>
  <c r="AJ115" i="39"/>
  <c r="AJ64" i="39"/>
  <c r="AJ59" i="39"/>
  <c r="AJ86" i="39"/>
  <c r="AJ46" i="39"/>
  <c r="AJ73" i="39"/>
  <c r="AJ61" i="39"/>
  <c r="O23" i="39"/>
  <c r="D36" i="39" s="1"/>
  <c r="J20" i="33" s="1"/>
  <c r="N20" i="33" s="1"/>
  <c r="AJ128" i="39"/>
  <c r="AJ17" i="39"/>
  <c r="AJ28" i="39"/>
  <c r="AJ72" i="39"/>
  <c r="AJ82" i="39"/>
  <c r="AJ67" i="39"/>
  <c r="AJ125" i="39"/>
  <c r="AJ33" i="39"/>
  <c r="AJ25" i="39"/>
  <c r="AJ20" i="39"/>
  <c r="AJ79" i="39"/>
  <c r="AJ26" i="39"/>
  <c r="AJ119" i="39"/>
  <c r="AJ114" i="39"/>
  <c r="AJ85" i="39"/>
  <c r="AJ70" i="39"/>
  <c r="O19" i="39"/>
  <c r="D32" i="39" s="1"/>
  <c r="J16" i="33" s="1"/>
  <c r="N16" i="33" s="1"/>
  <c r="AJ41" i="39"/>
  <c r="O22" i="39"/>
  <c r="D35" i="39" s="1"/>
  <c r="J19" i="33" s="1"/>
  <c r="N19" i="33" s="1"/>
  <c r="AJ89" i="39"/>
  <c r="AJ44" i="39"/>
  <c r="AJ94" i="39"/>
  <c r="AJ34" i="39"/>
  <c r="AJ62" i="39"/>
  <c r="AJ68" i="39"/>
  <c r="AJ53" i="39"/>
  <c r="AJ56" i="39"/>
  <c r="AJ54" i="39"/>
  <c r="AJ92" i="39"/>
  <c r="AJ111" i="39"/>
  <c r="AJ12" i="39"/>
  <c r="AJ108" i="39"/>
  <c r="AJ19" i="39"/>
  <c r="AJ78" i="39"/>
  <c r="AJ21" i="39"/>
  <c r="AJ102" i="39"/>
  <c r="AJ52" i="39"/>
  <c r="AJ30" i="39"/>
  <c r="AJ50" i="39"/>
  <c r="AJ88" i="39"/>
  <c r="AJ6" i="39"/>
  <c r="AJ35" i="39"/>
  <c r="AJ23" i="39"/>
  <c r="AJ29" i="39"/>
  <c r="AJ13" i="39"/>
  <c r="AJ132" i="39"/>
  <c r="AJ104" i="39"/>
  <c r="AJ106" i="39"/>
  <c r="AJ31" i="39"/>
  <c r="AJ4" i="39"/>
  <c r="AJ117" i="39"/>
  <c r="AJ91" i="39"/>
  <c r="AJ98" i="39"/>
  <c r="AJ71" i="39"/>
  <c r="AJ129" i="39"/>
  <c r="AJ107" i="39"/>
  <c r="O20" i="39"/>
  <c r="D33" i="39" s="1"/>
  <c r="J17" i="33" s="1"/>
  <c r="N17" i="33" s="1"/>
  <c r="AJ121" i="39"/>
  <c r="D44" i="29"/>
  <c r="O22" i="33"/>
  <c r="O21" i="33"/>
  <c r="O24" i="33"/>
  <c r="O23" i="33"/>
  <c r="O15" i="33"/>
  <c r="O18" i="33"/>
  <c r="O20" i="33"/>
  <c r="O19" i="33"/>
  <c r="O16" i="33"/>
  <c r="O17" i="33"/>
  <c r="P15" i="33" s="1"/>
  <c r="J36" i="29"/>
  <c r="C43" i="29"/>
  <c r="D43" i="29"/>
  <c r="D34" i="29"/>
  <c r="D36" i="29"/>
  <c r="R33" i="47"/>
  <c r="T33" i="47"/>
  <c r="B5" i="35"/>
  <c r="R35" i="47"/>
  <c r="T35" i="47"/>
  <c r="E2" i="35"/>
  <c r="C2" i="35"/>
  <c r="P33" i="47"/>
  <c r="B29" i="35"/>
  <c r="B8" i="35"/>
  <c r="B30" i="35"/>
  <c r="B13" i="35"/>
  <c r="B36" i="35"/>
  <c r="B35" i="35"/>
  <c r="P35" i="47"/>
  <c r="B9" i="35"/>
  <c r="B38" i="35"/>
  <c r="B6" i="35"/>
  <c r="E4" i="35"/>
  <c r="C4" i="35"/>
  <c r="E30" i="35"/>
  <c r="C30" i="35"/>
  <c r="P34" i="47"/>
  <c r="E7" i="35"/>
  <c r="C7" i="35"/>
  <c r="E18" i="35"/>
  <c r="C18" i="35"/>
  <c r="E23" i="35"/>
  <c r="C23" i="35"/>
  <c r="E45" i="35"/>
  <c r="C45" i="35"/>
  <c r="E9" i="35"/>
  <c r="C9" i="35"/>
  <c r="R34" i="47"/>
  <c r="T34" i="47"/>
  <c r="E31" i="35"/>
  <c r="C31" i="35"/>
  <c r="B23" i="35"/>
  <c r="B42" i="35"/>
  <c r="B39" i="35"/>
  <c r="B24" i="35"/>
  <c r="B31" i="35"/>
  <c r="E36" i="35"/>
  <c r="C36" i="35"/>
  <c r="B45" i="35"/>
  <c r="B27" i="35"/>
  <c r="E19" i="35"/>
  <c r="C19" i="35"/>
  <c r="E20" i="35"/>
  <c r="C20" i="35"/>
  <c r="E25" i="35"/>
  <c r="C25" i="35"/>
  <c r="E38" i="35"/>
  <c r="C38" i="35"/>
  <c r="P32" i="47"/>
  <c r="E33" i="35"/>
  <c r="C33" i="35"/>
  <c r="B22" i="35"/>
  <c r="E26" i="35"/>
  <c r="C26" i="35"/>
  <c r="E28" i="35"/>
  <c r="C28" i="35"/>
  <c r="E47" i="35"/>
  <c r="C47" i="35"/>
  <c r="B14" i="35"/>
  <c r="B16" i="35"/>
  <c r="B46" i="35"/>
  <c r="B3" i="35"/>
  <c r="E34" i="35"/>
  <c r="C34" i="35"/>
  <c r="E11" i="35"/>
  <c r="C11" i="35"/>
  <c r="B32" i="35"/>
  <c r="E29" i="35"/>
  <c r="C29" i="35"/>
  <c r="E40" i="35"/>
  <c r="C40" i="35"/>
  <c r="E6" i="35"/>
  <c r="C6" i="35"/>
  <c r="B40" i="35"/>
  <c r="B21" i="35"/>
  <c r="B7" i="35"/>
  <c r="B48" i="35"/>
  <c r="B10" i="35"/>
  <c r="E8" i="35"/>
  <c r="C8" i="35"/>
  <c r="B34" i="35"/>
  <c r="R36" i="47"/>
  <c r="T36" i="47"/>
  <c r="E49" i="35"/>
  <c r="C49" i="35"/>
  <c r="E41" i="35"/>
  <c r="C41" i="35"/>
  <c r="E13" i="35"/>
  <c r="C13" i="35"/>
  <c r="B28" i="35"/>
  <c r="E16" i="35"/>
  <c r="C16" i="35"/>
  <c r="E32" i="35"/>
  <c r="C32" i="35"/>
  <c r="E27" i="35"/>
  <c r="C27" i="35"/>
  <c r="P31" i="47"/>
  <c r="B33" i="35"/>
  <c r="E42" i="35"/>
  <c r="C42" i="35"/>
  <c r="B50" i="35"/>
  <c r="E10" i="35"/>
  <c r="C10" i="35"/>
  <c r="E5" i="35"/>
  <c r="C5" i="35"/>
  <c r="R32" i="47"/>
  <c r="T32" i="47"/>
  <c r="E24" i="35"/>
  <c r="C24" i="35"/>
  <c r="B19" i="35"/>
  <c r="E12" i="35"/>
  <c r="C12" i="35"/>
  <c r="E35" i="35"/>
  <c r="C35" i="35"/>
  <c r="E21" i="35"/>
  <c r="C21" i="35"/>
  <c r="E39" i="35"/>
  <c r="C39" i="35"/>
  <c r="E50" i="35"/>
  <c r="C50" i="35"/>
  <c r="B49" i="35"/>
  <c r="E15" i="35"/>
  <c r="C15" i="35"/>
  <c r="B47" i="35"/>
  <c r="B17" i="35"/>
  <c r="B15" i="35"/>
  <c r="B12" i="35"/>
  <c r="E14" i="35"/>
  <c r="C14" i="35"/>
  <c r="B43" i="35"/>
  <c r="B11" i="35"/>
  <c r="B18" i="35"/>
  <c r="E43" i="35"/>
  <c r="C43" i="35"/>
  <c r="R31" i="47"/>
  <c r="T31" i="47"/>
  <c r="E46" i="35"/>
  <c r="C46" i="35"/>
  <c r="B25" i="35"/>
  <c r="D41" i="29"/>
  <c r="E22" i="35"/>
  <c r="C22" i="35"/>
  <c r="B20" i="35"/>
  <c r="E48" i="35"/>
  <c r="C48" i="35"/>
  <c r="E37" i="35"/>
  <c r="C37" i="35"/>
  <c r="E17" i="35"/>
  <c r="C17" i="35"/>
  <c r="B41" i="35"/>
  <c r="B4" i="35"/>
  <c r="P36" i="47"/>
  <c r="B37" i="35"/>
  <c r="E44" i="35"/>
  <c r="C44" i="35"/>
  <c r="B26" i="35"/>
  <c r="B44" i="35"/>
  <c r="E3" i="35"/>
  <c r="C3" i="35"/>
  <c r="B2" i="35"/>
  <c r="U31" i="47"/>
  <c r="F10" i="35"/>
  <c r="F34" i="35"/>
  <c r="F24" i="35"/>
  <c r="F12" i="35"/>
  <c r="F31" i="35"/>
  <c r="F39" i="35"/>
  <c r="U35" i="47"/>
  <c r="F44" i="35"/>
  <c r="F49" i="35"/>
  <c r="F14" i="35"/>
  <c r="F17" i="35"/>
  <c r="F33" i="35"/>
  <c r="F15" i="35"/>
  <c r="U33" i="47"/>
  <c r="F30" i="35"/>
  <c r="S33" i="47"/>
  <c r="U32" i="47"/>
  <c r="F45" i="35"/>
  <c r="U34" i="47"/>
  <c r="F6" i="35"/>
  <c r="F26" i="35"/>
  <c r="F47" i="35"/>
  <c r="F36" i="35"/>
  <c r="F7" i="35"/>
  <c r="S36" i="47"/>
  <c r="F25" i="35"/>
  <c r="S32" i="47"/>
  <c r="F32" i="35"/>
  <c r="S31" i="47"/>
  <c r="F3" i="35"/>
  <c r="F8" i="35"/>
  <c r="U36" i="47"/>
  <c r="F23" i="35"/>
  <c r="F13" i="35"/>
  <c r="F40" i="35"/>
  <c r="F21" i="35"/>
  <c r="F50" i="35"/>
  <c r="F46" i="35"/>
  <c r="F43" i="35"/>
  <c r="F5" i="35"/>
  <c r="F20" i="35"/>
  <c r="F9" i="35"/>
  <c r="F16" i="35"/>
  <c r="F48" i="35"/>
  <c r="F22" i="35"/>
  <c r="F4" i="35"/>
  <c r="F2" i="35"/>
  <c r="F18" i="35"/>
  <c r="F11" i="35"/>
  <c r="F38" i="35"/>
  <c r="F35" i="35"/>
  <c r="S35" i="47"/>
  <c r="F28" i="35"/>
  <c r="F42" i="35"/>
  <c r="S34" i="47"/>
  <c r="F19" i="35"/>
  <c r="F41" i="35"/>
  <c r="F29" i="35"/>
  <c r="F37" i="35"/>
  <c r="F27" i="35"/>
  <c r="S13" i="47" a="1"/>
  <c r="S16" i="47"/>
  <c r="S14" i="47"/>
  <c r="S13" i="47"/>
  <c r="S27" i="47"/>
  <c r="S22" i="47"/>
  <c r="V31" i="47"/>
  <c r="S24" i="47"/>
  <c r="V35" i="47"/>
  <c r="S25" i="47"/>
  <c r="S21" i="47"/>
  <c r="V32" i="47"/>
  <c r="S17" i="47"/>
  <c r="V36" i="47"/>
  <c r="S26" i="47"/>
  <c r="S18" i="47"/>
  <c r="V33" i="47"/>
  <c r="S15" i="47"/>
  <c r="S19" i="47"/>
  <c r="V34" i="47"/>
  <c r="S23" i="47"/>
  <c r="S20" i="47"/>
  <c r="D38" i="29"/>
  <c r="G36" i="35"/>
  <c r="G13" i="35"/>
  <c r="G9" i="35"/>
  <c r="G4" i="35"/>
  <c r="G12" i="35"/>
  <c r="G6" i="35"/>
  <c r="G11" i="35"/>
  <c r="G32" i="35"/>
  <c r="G48" i="35"/>
  <c r="G17" i="35"/>
  <c r="G21" i="35"/>
  <c r="G42" i="35"/>
  <c r="G7" i="35"/>
  <c r="G15" i="35"/>
  <c r="G2" i="35"/>
  <c r="G44" i="35"/>
  <c r="G46" i="35"/>
  <c r="G27" i="35"/>
  <c r="G38" i="35"/>
  <c r="G19" i="35"/>
  <c r="G34" i="35"/>
  <c r="G47" i="35"/>
  <c r="G18" i="35"/>
  <c r="G14" i="35"/>
  <c r="G8" i="35"/>
  <c r="G22" i="35"/>
  <c r="G39" i="35"/>
  <c r="G20" i="35"/>
  <c r="G50" i="35"/>
  <c r="G43" i="35"/>
  <c r="G28" i="35"/>
  <c r="G37" i="35"/>
  <c r="G23" i="35"/>
  <c r="G49" i="35"/>
  <c r="G45" i="35"/>
  <c r="G31" i="35"/>
  <c r="G26" i="35"/>
  <c r="G25" i="35"/>
  <c r="G30" i="35"/>
  <c r="G16" i="35"/>
  <c r="G35" i="35"/>
  <c r="G24" i="35"/>
  <c r="G5" i="35"/>
  <c r="G40" i="35"/>
  <c r="G33" i="35"/>
  <c r="G29" i="35"/>
  <c r="G41" i="35"/>
  <c r="G10" i="35"/>
  <c r="G3" i="35"/>
  <c r="H33" i="35"/>
  <c r="J69" i="33" s="1"/>
  <c r="N69" i="33" s="1"/>
  <c r="H30" i="35"/>
  <c r="J66" i="33" s="1"/>
  <c r="N66" i="33" s="1"/>
  <c r="H50" i="35"/>
  <c r="H34" i="35"/>
  <c r="J70" i="33" s="1"/>
  <c r="N70" i="33" s="1"/>
  <c r="H7" i="35"/>
  <c r="J45" i="33" s="1"/>
  <c r="N45" i="33" s="1"/>
  <c r="H12" i="35"/>
  <c r="J50" i="33" s="1"/>
  <c r="N50" i="33" s="1"/>
  <c r="H40" i="35"/>
  <c r="J75" i="33" s="1"/>
  <c r="N75" i="33" s="1"/>
  <c r="H25" i="35"/>
  <c r="J62" i="33" s="1"/>
  <c r="N62" i="33" s="1"/>
  <c r="H20" i="35"/>
  <c r="J57" i="33" s="1"/>
  <c r="N57" i="33" s="1"/>
  <c r="H19" i="35"/>
  <c r="J56" i="33" s="1"/>
  <c r="N56" i="33" s="1"/>
  <c r="H42" i="35"/>
  <c r="J77" i="33" s="1"/>
  <c r="N77" i="33" s="1"/>
  <c r="H4" i="35"/>
  <c r="J42" i="33" s="1"/>
  <c r="N42" i="33" s="1"/>
  <c r="H5" i="35"/>
  <c r="H26" i="35"/>
  <c r="H39" i="35"/>
  <c r="J74" i="33" s="1"/>
  <c r="N74" i="33" s="1"/>
  <c r="H38" i="35"/>
  <c r="H21" i="35"/>
  <c r="J58" i="33" s="1"/>
  <c r="N58" i="33" s="1"/>
  <c r="H9" i="35"/>
  <c r="J47" i="33"/>
  <c r="N47" i="33" s="1"/>
  <c r="H24" i="35"/>
  <c r="J61" i="33" s="1"/>
  <c r="N61" i="33" s="1"/>
  <c r="H31" i="35"/>
  <c r="J67" i="33" s="1"/>
  <c r="N67" i="33" s="1"/>
  <c r="H22" i="35"/>
  <c r="J59" i="33" s="1"/>
  <c r="N59" i="33" s="1"/>
  <c r="H27" i="35"/>
  <c r="J63" i="33" s="1"/>
  <c r="N63" i="33" s="1"/>
  <c r="H17" i="35"/>
  <c r="J54" i="33" s="1"/>
  <c r="N54" i="33" s="1"/>
  <c r="H13" i="35"/>
  <c r="J51" i="33" s="1"/>
  <c r="N51" i="33" s="1"/>
  <c r="H3" i="35"/>
  <c r="J41" i="33" s="1"/>
  <c r="N41" i="33" s="1"/>
  <c r="H35" i="35"/>
  <c r="J71" i="33" s="1"/>
  <c r="N71" i="33" s="1"/>
  <c r="H45" i="35"/>
  <c r="J80" i="33" s="1"/>
  <c r="N80" i="33" s="1"/>
  <c r="H8" i="35"/>
  <c r="H46" i="35"/>
  <c r="J81" i="33" s="1"/>
  <c r="N81" i="33" s="1"/>
  <c r="H48" i="35"/>
  <c r="J83" i="33" s="1"/>
  <c r="N83" i="33" s="1"/>
  <c r="H36" i="35"/>
  <c r="J72" i="33" s="1"/>
  <c r="N72" i="33" s="1"/>
  <c r="H10" i="35"/>
  <c r="J48" i="33" s="1"/>
  <c r="N48" i="33" s="1"/>
  <c r="H49" i="35"/>
  <c r="J84" i="33" s="1"/>
  <c r="N84" i="33" s="1"/>
  <c r="H14" i="35"/>
  <c r="I7" i="46" s="1"/>
  <c r="H44" i="35"/>
  <c r="J79" i="33" s="1"/>
  <c r="N79" i="33" s="1"/>
  <c r="H32" i="35"/>
  <c r="J68" i="33" s="1"/>
  <c r="N68" i="33" s="1"/>
  <c r="H41" i="35"/>
  <c r="J76" i="33" s="1"/>
  <c r="N76" i="33" s="1"/>
  <c r="H16" i="35"/>
  <c r="J53" i="33" s="1"/>
  <c r="N53" i="33" s="1"/>
  <c r="H23" i="35"/>
  <c r="J60" i="33" s="1"/>
  <c r="N60" i="33" s="1"/>
  <c r="H28" i="35"/>
  <c r="J64" i="33" s="1"/>
  <c r="N64" i="33" s="1"/>
  <c r="H18" i="35"/>
  <c r="J55" i="33" s="1"/>
  <c r="N55" i="33" s="1"/>
  <c r="H2" i="35"/>
  <c r="I4" i="46" s="1"/>
  <c r="H11" i="35"/>
  <c r="J49" i="33" s="1"/>
  <c r="N49" i="33" s="1"/>
  <c r="H29" i="35"/>
  <c r="J65" i="33" s="1"/>
  <c r="N65" i="33" s="1"/>
  <c r="H37" i="35"/>
  <c r="J73" i="33" s="1"/>
  <c r="N73" i="33" s="1"/>
  <c r="H43" i="35"/>
  <c r="J78" i="33" s="1"/>
  <c r="N78" i="33" s="1"/>
  <c r="H47" i="35"/>
  <c r="J82" i="33" s="1"/>
  <c r="N82" i="33" s="1"/>
  <c r="H15" i="35"/>
  <c r="J52" i="33" s="1"/>
  <c r="N52" i="33" s="1"/>
  <c r="H6" i="35"/>
  <c r="J44" i="33" s="1"/>
  <c r="N44" i="33" s="1"/>
  <c r="O75" i="33"/>
  <c r="O62" i="33"/>
  <c r="O57" i="33"/>
  <c r="O56" i="33"/>
  <c r="O77" i="33"/>
  <c r="O42" i="33"/>
  <c r="O74" i="33"/>
  <c r="O58" i="33"/>
  <c r="O47" i="33"/>
  <c r="O61" i="33"/>
  <c r="O67" i="33"/>
  <c r="O59" i="33"/>
  <c r="O63" i="33"/>
  <c r="O54" i="33"/>
  <c r="O41" i="33"/>
  <c r="O80" i="33"/>
  <c r="O81" i="33"/>
  <c r="O83" i="33"/>
  <c r="O48" i="33"/>
  <c r="O84" i="33"/>
  <c r="O68" i="33"/>
  <c r="O53" i="33"/>
  <c r="O64" i="33"/>
  <c r="O49" i="33"/>
  <c r="O73" i="33"/>
  <c r="O52" i="33"/>
  <c r="O45" i="33"/>
  <c r="O71" i="33"/>
  <c r="K7" i="46"/>
  <c r="O76" i="33"/>
  <c r="O60" i="33"/>
  <c r="K4" i="46"/>
  <c r="O82" i="33"/>
  <c r="O69" i="33"/>
  <c r="O70" i="33"/>
  <c r="O51" i="33"/>
  <c r="O72" i="33"/>
  <c r="O79" i="33"/>
  <c r="O55" i="33"/>
  <c r="O65" i="33"/>
  <c r="O78" i="33"/>
  <c r="O44" i="33"/>
  <c r="O66" i="33"/>
  <c r="O50" i="33"/>
  <c r="I5" i="46"/>
  <c r="J43" i="33"/>
  <c r="N43" i="33"/>
  <c r="M4" i="46"/>
  <c r="M7" i="46"/>
  <c r="I6" i="46"/>
  <c r="J46" i="33"/>
  <c r="N46" i="33"/>
  <c r="K6" i="46"/>
  <c r="O46" i="33"/>
  <c r="K5" i="46"/>
  <c r="O43" i="33"/>
  <c r="M5" i="46"/>
  <c r="M6" i="46"/>
  <c r="H13" i="46"/>
  <c r="N6" i="46"/>
  <c r="P41" i="33"/>
  <c r="N5" i="46"/>
  <c r="N7" i="46"/>
  <c r="N4" i="46"/>
  <c r="Y9" i="46" a="1"/>
  <c r="Y10" i="46"/>
  <c r="Y9" i="46"/>
  <c r="Y13" i="46"/>
  <c r="W9" i="46" l="1" a="1"/>
  <c r="W10" i="46" s="1"/>
  <c r="W13" i="46"/>
  <c r="AH182" i="46" s="1"/>
  <c r="Y3" i="46" a="1"/>
  <c r="AH179" i="46" l="1"/>
  <c r="W9" i="46"/>
  <c r="AI237" i="46" s="1"/>
  <c r="AH169" i="46"/>
  <c r="AH26" i="46"/>
  <c r="AH12" i="46"/>
  <c r="AH122" i="46"/>
  <c r="AH22" i="46"/>
  <c r="AH159" i="46"/>
  <c r="AH47" i="46"/>
  <c r="AH238" i="46"/>
  <c r="AH221" i="46"/>
  <c r="AH219" i="46"/>
  <c r="AH174" i="46"/>
  <c r="M19" i="46"/>
  <c r="AH102" i="46"/>
  <c r="AH255" i="46"/>
  <c r="AH254" i="46"/>
  <c r="AH228" i="46"/>
  <c r="AH173" i="46"/>
  <c r="AH117" i="46"/>
  <c r="AH244" i="46"/>
  <c r="AH186" i="46"/>
  <c r="AH19" i="46"/>
  <c r="AH137" i="46"/>
  <c r="AH199" i="46"/>
  <c r="AH152" i="46"/>
  <c r="AH257" i="46"/>
  <c r="AH43" i="46"/>
  <c r="AH183" i="46"/>
  <c r="AH256" i="46"/>
  <c r="AH220" i="46"/>
  <c r="AH203" i="46"/>
  <c r="M30" i="46"/>
  <c r="AH151" i="46"/>
  <c r="AH176" i="46"/>
  <c r="AH140" i="46"/>
  <c r="AH55" i="46"/>
  <c r="AH42" i="46"/>
  <c r="AH198" i="46"/>
  <c r="AH232" i="46"/>
  <c r="AH125" i="46"/>
  <c r="AH231" i="46"/>
  <c r="AH184" i="46"/>
  <c r="M27" i="46"/>
  <c r="AH133" i="46"/>
  <c r="M33" i="46"/>
  <c r="AH71" i="46"/>
  <c r="AH85" i="46"/>
  <c r="AH160" i="46"/>
  <c r="AH164" i="46"/>
  <c r="AH90" i="46"/>
  <c r="AH172" i="46"/>
  <c r="AH190" i="46"/>
  <c r="AH11" i="46"/>
  <c r="AH149" i="46"/>
  <c r="AH48" i="46"/>
  <c r="AH208" i="46"/>
  <c r="AH88" i="46"/>
  <c r="AH83" i="46"/>
  <c r="AH62" i="46"/>
  <c r="AH28" i="46"/>
  <c r="AH56" i="46"/>
  <c r="AH57" i="46"/>
  <c r="AH210" i="46"/>
  <c r="M26" i="46"/>
  <c r="AH215" i="46"/>
  <c r="AH72" i="46"/>
  <c r="AH14" i="46"/>
  <c r="AH49" i="46"/>
  <c r="AH163" i="46"/>
  <c r="AH18" i="46"/>
  <c r="AH165" i="46"/>
  <c r="AH180" i="46"/>
  <c r="AH34" i="46"/>
  <c r="AH60" i="46"/>
  <c r="AH239" i="46"/>
  <c r="AH121" i="46"/>
  <c r="AH242" i="46"/>
  <c r="AH246" i="46"/>
  <c r="AH107" i="46"/>
  <c r="AH106" i="46"/>
  <c r="AH100" i="46"/>
  <c r="AH86" i="46"/>
  <c r="AH41" i="46"/>
  <c r="AH196" i="46"/>
  <c r="M25" i="46"/>
  <c r="AH79" i="46"/>
  <c r="AH10" i="46"/>
  <c r="AH74" i="46"/>
  <c r="AI161" i="46"/>
  <c r="AH200" i="46"/>
  <c r="AH223" i="46"/>
  <c r="AH213" i="46"/>
  <c r="AH33" i="46"/>
  <c r="AH96" i="46"/>
  <c r="M22" i="46"/>
  <c r="AH93" i="46"/>
  <c r="M18" i="46"/>
  <c r="AH97" i="46"/>
  <c r="AH178" i="46"/>
  <c r="AH77" i="46"/>
  <c r="AH8" i="46"/>
  <c r="AH129" i="46"/>
  <c r="AH217" i="46"/>
  <c r="AH38" i="46"/>
  <c r="M29" i="46"/>
  <c r="AH227" i="46"/>
  <c r="AH237" i="46"/>
  <c r="AH175" i="46"/>
  <c r="AH52" i="46"/>
  <c r="AH114" i="46"/>
  <c r="AH150" i="46"/>
  <c r="AH103" i="46"/>
  <c r="AH167" i="46"/>
  <c r="AH146" i="46"/>
  <c r="AH92" i="46"/>
  <c r="AH94" i="46"/>
  <c r="AH156" i="46"/>
  <c r="AH224" i="46"/>
  <c r="AH134" i="46"/>
  <c r="AH75" i="46"/>
  <c r="AH21" i="46"/>
  <c r="AH138" i="46"/>
  <c r="AH250" i="46"/>
  <c r="AH5" i="46"/>
  <c r="AH116" i="46"/>
  <c r="AH166" i="46"/>
  <c r="AH252" i="46"/>
  <c r="AH218" i="46"/>
  <c r="AH9" i="46"/>
  <c r="AH234" i="46"/>
  <c r="AH201" i="46"/>
  <c r="AH111" i="46"/>
  <c r="AH53" i="46"/>
  <c r="AH66" i="46"/>
  <c r="AH212" i="46"/>
  <c r="AH192" i="46"/>
  <c r="AH59" i="46"/>
  <c r="AH136" i="46"/>
  <c r="AH80" i="46"/>
  <c r="AH135" i="46"/>
  <c r="AH82" i="46"/>
  <c r="AH58" i="46"/>
  <c r="AH4" i="46"/>
  <c r="AH226" i="46"/>
  <c r="AH194" i="46"/>
  <c r="AH115" i="46"/>
  <c r="AH162" i="46"/>
  <c r="AH87" i="46"/>
  <c r="AH124" i="46"/>
  <c r="AH191" i="46"/>
  <c r="AH17" i="46"/>
  <c r="AH153" i="46"/>
  <c r="AH113" i="46"/>
  <c r="AH251" i="46"/>
  <c r="AH64" i="46"/>
  <c r="AH187" i="46"/>
  <c r="AH30" i="46"/>
  <c r="AH69" i="46"/>
  <c r="AH139" i="46"/>
  <c r="AH170" i="46"/>
  <c r="AH126" i="46"/>
  <c r="AH63" i="46"/>
  <c r="AH45" i="46"/>
  <c r="AH229" i="46"/>
  <c r="AH16" i="46"/>
  <c r="AH118" i="46"/>
  <c r="AH128" i="46"/>
  <c r="AH61" i="46"/>
  <c r="AH15" i="46"/>
  <c r="AH23" i="46"/>
  <c r="AH253" i="46"/>
  <c r="AH32" i="46"/>
  <c r="AH46" i="46"/>
  <c r="AH225" i="46"/>
  <c r="AH54" i="46"/>
  <c r="AH13" i="46"/>
  <c r="AH189" i="46"/>
  <c r="M31" i="46"/>
  <c r="AH70" i="46"/>
  <c r="AH29" i="46"/>
  <c r="AH222" i="46"/>
  <c r="AH131" i="46"/>
  <c r="AH185" i="46"/>
  <c r="M32" i="46"/>
  <c r="AH81" i="46"/>
  <c r="AH78" i="46"/>
  <c r="AH101" i="46"/>
  <c r="AH89" i="46"/>
  <c r="AH161" i="46"/>
  <c r="AH132" i="46"/>
  <c r="AH130" i="46"/>
  <c r="AH31" i="46"/>
  <c r="AH6" i="46"/>
  <c r="AH202" i="46"/>
  <c r="AH51" i="46"/>
  <c r="M23" i="46"/>
  <c r="AH241" i="46"/>
  <c r="AH67" i="46"/>
  <c r="AH188" i="46"/>
  <c r="M28" i="46"/>
  <c r="AH68" i="46"/>
  <c r="AH249" i="46"/>
  <c r="AH98" i="46"/>
  <c r="AH211" i="46"/>
  <c r="AH248" i="46"/>
  <c r="AH236" i="46"/>
  <c r="AH205" i="46"/>
  <c r="AH158" i="46"/>
  <c r="AH243" i="46"/>
  <c r="AH209" i="46"/>
  <c r="AH147" i="46"/>
  <c r="AH91" i="46"/>
  <c r="AH27" i="46"/>
  <c r="AH240" i="46"/>
  <c r="M24" i="46"/>
  <c r="AH141" i="46"/>
  <c r="AH20" i="46"/>
  <c r="AH105" i="46"/>
  <c r="AH143" i="46"/>
  <c r="AH204" i="46"/>
  <c r="AH214" i="46"/>
  <c r="AH216" i="46"/>
  <c r="AH95" i="46"/>
  <c r="AH36" i="46"/>
  <c r="AH24" i="46"/>
  <c r="AH104" i="46"/>
  <c r="AH145" i="46"/>
  <c r="AH44" i="46"/>
  <c r="AH197" i="46"/>
  <c r="AH108" i="46"/>
  <c r="M20" i="46"/>
  <c r="AH109" i="46"/>
  <c r="AH181" i="46"/>
  <c r="AH110" i="46"/>
  <c r="AH206" i="46"/>
  <c r="AH37" i="46"/>
  <c r="AH230" i="46"/>
  <c r="AH168" i="46"/>
  <c r="AH148" i="46"/>
  <c r="AH73" i="46"/>
  <c r="AH247" i="46"/>
  <c r="AH7" i="46"/>
  <c r="AH233" i="46"/>
  <c r="M21" i="46"/>
  <c r="AH195" i="46"/>
  <c r="AH50" i="46"/>
  <c r="AH171" i="46"/>
  <c r="AH157" i="46"/>
  <c r="AH99" i="46"/>
  <c r="AH35" i="46"/>
  <c r="AH193" i="46"/>
  <c r="AH39" i="46"/>
  <c r="AH142" i="46"/>
  <c r="AH123" i="46"/>
  <c r="AH177" i="46"/>
  <c r="AH155" i="46"/>
  <c r="AH76" i="46"/>
  <c r="AH3" i="46"/>
  <c r="AH235" i="46"/>
  <c r="AH245" i="46"/>
  <c r="AH112" i="46"/>
  <c r="AH65" i="46"/>
  <c r="AH25" i="46"/>
  <c r="AH119" i="46"/>
  <c r="AH120" i="46"/>
  <c r="AH84" i="46"/>
  <c r="AH144" i="46"/>
  <c r="AH40" i="46"/>
  <c r="AH207" i="46"/>
  <c r="AH154" i="46"/>
  <c r="AH127" i="46"/>
  <c r="Y4" i="46"/>
  <c r="Y3" i="46"/>
  <c r="Y5" i="46"/>
  <c r="AI157" i="46" l="1"/>
  <c r="AI83" i="46"/>
  <c r="AI229" i="46"/>
  <c r="N28" i="46"/>
  <c r="AI151" i="46"/>
  <c r="AI91" i="46"/>
  <c r="AI252" i="46"/>
  <c r="AI205" i="46"/>
  <c r="AI173" i="46"/>
  <c r="AI194" i="46"/>
  <c r="AI210" i="46"/>
  <c r="AI4" i="46"/>
  <c r="AI35" i="46"/>
  <c r="AI80" i="46"/>
  <c r="AI28" i="46"/>
  <c r="AI192" i="46"/>
  <c r="AI113" i="46"/>
  <c r="AI110" i="46"/>
  <c r="AI172" i="46"/>
  <c r="AI82" i="46"/>
  <c r="AI232" i="46"/>
  <c r="AI174" i="46"/>
  <c r="AI6" i="46"/>
  <c r="AI29" i="46"/>
  <c r="AI169" i="46"/>
  <c r="AI223" i="46"/>
  <c r="AI115" i="46"/>
  <c r="AI147" i="46"/>
  <c r="AI239" i="46"/>
  <c r="AI145" i="46"/>
  <c r="AI79" i="46"/>
  <c r="AI46" i="46"/>
  <c r="AI228" i="46"/>
  <c r="AI257" i="46"/>
  <c r="AI43" i="46"/>
  <c r="AI242" i="46"/>
  <c r="AI162" i="46"/>
  <c r="AI86" i="46"/>
  <c r="AI141" i="46"/>
  <c r="AI32" i="46"/>
  <c r="AI53" i="46"/>
  <c r="AI249" i="46"/>
  <c r="AI3" i="46"/>
  <c r="AI219" i="46"/>
  <c r="AI137" i="46"/>
  <c r="AI143" i="46"/>
  <c r="AI21" i="46"/>
  <c r="AI248" i="46"/>
  <c r="AI150" i="46"/>
  <c r="AI26" i="46"/>
  <c r="AI218" i="46"/>
  <c r="N27" i="46"/>
  <c r="AI236" i="46"/>
  <c r="AI41" i="46"/>
  <c r="AI8" i="46"/>
  <c r="AI211" i="46"/>
  <c r="AI243" i="46"/>
  <c r="AI13" i="46"/>
  <c r="AI101" i="46"/>
  <c r="AI220" i="46"/>
  <c r="AI95" i="46"/>
  <c r="AI246" i="46"/>
  <c r="AI39" i="46"/>
  <c r="AI54" i="46"/>
  <c r="AI255" i="46"/>
  <c r="AI224" i="46"/>
  <c r="AI64" i="46"/>
  <c r="AI244" i="46"/>
  <c r="AI202" i="46"/>
  <c r="AI55" i="46"/>
  <c r="AI225" i="46"/>
  <c r="AI154" i="46"/>
  <c r="AI216" i="46"/>
  <c r="AI76" i="46"/>
  <c r="AI89" i="46"/>
  <c r="AI45" i="46"/>
  <c r="AI68" i="46"/>
  <c r="AI15" i="46"/>
  <c r="AI109" i="46"/>
  <c r="AI180" i="46"/>
  <c r="AI119" i="46"/>
  <c r="AI88" i="46"/>
  <c r="AI17" i="46"/>
  <c r="AI182" i="46"/>
  <c r="AI98" i="46"/>
  <c r="N22" i="46"/>
  <c r="AI235" i="46"/>
  <c r="AI155" i="46"/>
  <c r="AI139" i="46"/>
  <c r="AI105" i="46"/>
  <c r="AI48" i="46"/>
  <c r="AI159" i="46"/>
  <c r="AI238" i="46"/>
  <c r="AI117" i="46"/>
  <c r="AI70" i="46"/>
  <c r="AI214" i="46"/>
  <c r="AI50" i="46"/>
  <c r="AI18" i="46"/>
  <c r="AI138" i="46"/>
  <c r="AI134" i="46"/>
  <c r="AI190" i="46"/>
  <c r="AI100" i="46"/>
  <c r="AI163" i="46"/>
  <c r="AI204" i="46"/>
  <c r="AI185" i="46"/>
  <c r="AI126" i="46"/>
  <c r="AI77" i="46"/>
  <c r="AI189" i="46"/>
  <c r="AI136" i="46"/>
  <c r="AI49" i="46"/>
  <c r="AI67" i="46"/>
  <c r="AI206" i="46"/>
  <c r="AI58" i="46"/>
  <c r="AI131" i="46"/>
  <c r="AI230" i="46"/>
  <c r="AI170" i="46"/>
  <c r="AI52" i="46"/>
  <c r="AI56" i="46"/>
  <c r="AI247" i="46"/>
  <c r="AI61" i="46"/>
  <c r="AI144" i="46"/>
  <c r="AI121" i="46"/>
  <c r="AI122" i="46"/>
  <c r="AI94" i="46"/>
  <c r="AI156" i="46"/>
  <c r="AI74" i="46"/>
  <c r="AI71" i="46"/>
  <c r="AI16" i="46"/>
  <c r="AI97" i="46"/>
  <c r="AI7" i="46"/>
  <c r="AI5" i="46"/>
  <c r="AI84" i="46"/>
  <c r="AI153" i="46"/>
  <c r="AI142" i="46"/>
  <c r="AI107" i="46"/>
  <c r="AI51" i="46"/>
  <c r="AI42" i="46"/>
  <c r="AI193" i="46"/>
  <c r="AI90" i="46"/>
  <c r="N19" i="46"/>
  <c r="N26" i="46"/>
  <c r="AI99" i="46"/>
  <c r="AI10" i="46"/>
  <c r="AI148" i="46"/>
  <c r="AI152" i="46"/>
  <c r="AI186" i="46"/>
  <c r="AI60" i="46"/>
  <c r="AI203" i="46"/>
  <c r="AI14" i="46"/>
  <c r="AI12" i="46"/>
  <c r="AI165" i="46"/>
  <c r="AI175" i="46"/>
  <c r="AI226" i="46"/>
  <c r="AI120" i="46"/>
  <c r="AI166" i="46"/>
  <c r="AI38" i="46"/>
  <c r="AI125" i="46"/>
  <c r="AI118" i="46"/>
  <c r="AI66" i="46"/>
  <c r="AI31" i="46"/>
  <c r="AI123" i="46"/>
  <c r="AI111" i="46"/>
  <c r="AI19" i="46"/>
  <c r="AI40" i="46"/>
  <c r="AI69" i="46"/>
  <c r="AI62" i="46"/>
  <c r="AI176" i="46"/>
  <c r="AI36" i="46"/>
  <c r="AI188" i="46"/>
  <c r="AI215" i="46"/>
  <c r="N33" i="46"/>
  <c r="N23" i="46"/>
  <c r="AI251" i="46"/>
  <c r="AI208" i="46"/>
  <c r="AI195" i="46"/>
  <c r="AI234" i="46"/>
  <c r="N20" i="46"/>
  <c r="AI160" i="46"/>
  <c r="AI135" i="46"/>
  <c r="AI9" i="46"/>
  <c r="AI213" i="46"/>
  <c r="AI116" i="46"/>
  <c r="AI103" i="46"/>
  <c r="AI78" i="46"/>
  <c r="AI30" i="46"/>
  <c r="AI63" i="46"/>
  <c r="AI37" i="46"/>
  <c r="AI59" i="46"/>
  <c r="AI241" i="46"/>
  <c r="AI93" i="46"/>
  <c r="AI197" i="46"/>
  <c r="N29" i="46"/>
  <c r="AI184" i="46"/>
  <c r="AI34" i="46"/>
  <c r="AI44" i="46"/>
  <c r="AI47" i="46"/>
  <c r="AI198" i="46"/>
  <c r="AI73" i="46"/>
  <c r="AI11" i="46"/>
  <c r="N31" i="46"/>
  <c r="AI199" i="46"/>
  <c r="AI167" i="46"/>
  <c r="AI27" i="46"/>
  <c r="N25" i="46"/>
  <c r="AI227" i="46"/>
  <c r="AI196" i="46"/>
  <c r="AI200" i="46"/>
  <c r="AI177" i="46"/>
  <c r="AI240" i="46"/>
  <c r="AI254" i="46"/>
  <c r="N21" i="46"/>
  <c r="AI209" i="46"/>
  <c r="AI65" i="46"/>
  <c r="AI114" i="46"/>
  <c r="AI106" i="46"/>
  <c r="AI221" i="46"/>
  <c r="AI191" i="46"/>
  <c r="AI129" i="46"/>
  <c r="AI181" i="46"/>
  <c r="AI217" i="46"/>
  <c r="AI164" i="46"/>
  <c r="AI57" i="46"/>
  <c r="AI149" i="46"/>
  <c r="AI20" i="46"/>
  <c r="AI92" i="46"/>
  <c r="AI128" i="46"/>
  <c r="AI201" i="46"/>
  <c r="AI132" i="46"/>
  <c r="N24" i="46"/>
  <c r="AI104" i="46"/>
  <c r="AI22" i="46"/>
  <c r="AI24" i="46"/>
  <c r="AI72" i="46"/>
  <c r="AI245" i="46"/>
  <c r="AI102" i="46"/>
  <c r="N32" i="46"/>
  <c r="AI233" i="46"/>
  <c r="AI23" i="46"/>
  <c r="AI85" i="46"/>
  <c r="AI25" i="46"/>
  <c r="AI158" i="46"/>
  <c r="AI171" i="46"/>
  <c r="AI124" i="46"/>
  <c r="AI178" i="46"/>
  <c r="AI81" i="46"/>
  <c r="AI222" i="46"/>
  <c r="AI140" i="46"/>
  <c r="AI212" i="46"/>
  <c r="AI168" i="46"/>
  <c r="AI133" i="46"/>
  <c r="AI108" i="46"/>
  <c r="AI187" i="46"/>
  <c r="AI130" i="46"/>
  <c r="AI33" i="46"/>
  <c r="N30" i="46"/>
  <c r="AI231" i="46"/>
  <c r="N18" i="46"/>
  <c r="AI87" i="46"/>
  <c r="AI250" i="46"/>
  <c r="AI127" i="46"/>
  <c r="AI207" i="46"/>
  <c r="AI253" i="46"/>
  <c r="AI75" i="46"/>
  <c r="AI96" i="46"/>
  <c r="AI146" i="46"/>
  <c r="AI183" i="46"/>
  <c r="AI256" i="46"/>
  <c r="AI179" i="46"/>
  <c r="AI112" i="46"/>
  <c r="W3" i="46" a="1"/>
  <c r="W3" i="46" s="1"/>
  <c r="H13" i="44"/>
  <c r="N4" i="44"/>
  <c r="O14" i="47" a="1"/>
  <c r="H13" i="43"/>
  <c r="Y13" i="44"/>
  <c r="O13" i="45" a="1"/>
  <c r="Y3" i="44" a="1"/>
  <c r="Y9" i="44" a="1"/>
  <c r="W4" i="46" l="1"/>
  <c r="W5" i="46"/>
  <c r="Y3" i="44"/>
  <c r="O16" i="45"/>
  <c r="O22" i="47"/>
  <c r="O25" i="47"/>
  <c r="O19" i="45"/>
  <c r="O20" i="47"/>
  <c r="O21" i="45"/>
  <c r="O20" i="45"/>
  <c r="O18" i="47"/>
  <c r="O14" i="45"/>
  <c r="O27" i="47"/>
  <c r="O24" i="47"/>
  <c r="Y9" i="44"/>
  <c r="O13" i="45"/>
  <c r="O23" i="47"/>
  <c r="O15" i="47"/>
  <c r="Y5" i="44"/>
  <c r="O17" i="45"/>
  <c r="O14" i="47"/>
  <c r="O16" i="47"/>
  <c r="Y4" i="44"/>
  <c r="O19" i="47"/>
  <c r="O15" i="45"/>
  <c r="O17" i="47"/>
  <c r="O21" i="47"/>
  <c r="W9" i="43" a="1"/>
  <c r="W10" i="43" s="1"/>
  <c r="O18" i="45"/>
  <c r="O26" i="47"/>
  <c r="Y10" i="44"/>
  <c r="AJ110" i="46" l="1"/>
  <c r="AJ250" i="46"/>
  <c r="AJ64" i="46"/>
  <c r="AJ190" i="46"/>
  <c r="O18" i="46"/>
  <c r="D37" i="46" s="1"/>
  <c r="J25" i="33" s="1"/>
  <c r="N25" i="33" s="1"/>
  <c r="AJ254" i="46"/>
  <c r="AJ62" i="46"/>
  <c r="AJ11" i="46"/>
  <c r="AJ172" i="46"/>
  <c r="AJ251" i="46"/>
  <c r="O31" i="46"/>
  <c r="D50" i="46" s="1"/>
  <c r="J38" i="33" s="1"/>
  <c r="N38" i="33" s="1"/>
  <c r="AJ96" i="46"/>
  <c r="AJ135" i="46"/>
  <c r="AJ94" i="46"/>
  <c r="AJ170" i="46"/>
  <c r="O33" i="46"/>
  <c r="D52" i="46" s="1"/>
  <c r="J40" i="33" s="1"/>
  <c r="N40" i="33" s="1"/>
  <c r="AJ167" i="46"/>
  <c r="AJ162" i="46"/>
  <c r="AJ47" i="46"/>
  <c r="AJ240" i="46"/>
  <c r="AJ83" i="46"/>
  <c r="AJ61" i="46"/>
  <c r="AJ65" i="46"/>
  <c r="AJ126" i="46"/>
  <c r="AJ124" i="46"/>
  <c r="AJ182" i="46"/>
  <c r="O26" i="46"/>
  <c r="D45" i="46" s="1"/>
  <c r="J33" i="33" s="1"/>
  <c r="N33" i="33" s="1"/>
  <c r="AJ17" i="46"/>
  <c r="AJ34" i="46"/>
  <c r="AJ256" i="46"/>
  <c r="AJ134" i="46"/>
  <c r="AJ224" i="46"/>
  <c r="AJ109" i="46"/>
  <c r="AJ103" i="46"/>
  <c r="AJ74" i="46"/>
  <c r="AJ5" i="46"/>
  <c r="O28" i="46"/>
  <c r="D47" i="46" s="1"/>
  <c r="J35" i="33" s="1"/>
  <c r="N35" i="33" s="1"/>
  <c r="AJ222" i="46"/>
  <c r="AJ115" i="46"/>
  <c r="AJ82" i="46"/>
  <c r="AJ217" i="46"/>
  <c r="AJ243" i="46"/>
  <c r="AJ41" i="46"/>
  <c r="AJ210" i="46"/>
  <c r="AJ188" i="46"/>
  <c r="AJ229" i="46"/>
  <c r="AJ31" i="46"/>
  <c r="AJ147" i="46"/>
  <c r="AJ181" i="46"/>
  <c r="AJ218" i="46"/>
  <c r="AJ228" i="46"/>
  <c r="AJ238" i="46"/>
  <c r="AJ130" i="46"/>
  <c r="AJ150" i="46"/>
  <c r="AJ225" i="46"/>
  <c r="AJ8" i="46"/>
  <c r="AJ114" i="46"/>
  <c r="AJ9" i="46"/>
  <c r="AJ236" i="46"/>
  <c r="AJ169" i="46"/>
  <c r="AJ84" i="46"/>
  <c r="AJ102" i="46"/>
  <c r="AJ50" i="46"/>
  <c r="AJ22" i="46"/>
  <c r="AJ71" i="46"/>
  <c r="AJ187" i="46"/>
  <c r="AJ97" i="46"/>
  <c r="AJ20" i="46"/>
  <c r="AJ122" i="46"/>
  <c r="AJ16" i="46"/>
  <c r="AJ177" i="46"/>
  <c r="AJ197" i="46"/>
  <c r="AJ46" i="46"/>
  <c r="AJ98" i="46"/>
  <c r="AJ180" i="46"/>
  <c r="AJ247" i="46"/>
  <c r="AJ120" i="46"/>
  <c r="AJ86" i="46"/>
  <c r="AJ141" i="46"/>
  <c r="AJ23" i="46"/>
  <c r="AJ160" i="46"/>
  <c r="AJ119" i="46"/>
  <c r="AJ174" i="46"/>
  <c r="AJ148" i="46"/>
  <c r="AJ37" i="46"/>
  <c r="AJ79" i="46"/>
  <c r="AJ212" i="46"/>
  <c r="AJ234" i="46"/>
  <c r="AJ199" i="46"/>
  <c r="AJ127" i="46"/>
  <c r="AJ89" i="46"/>
  <c r="AJ24" i="46"/>
  <c r="AJ233" i="46"/>
  <c r="AJ132" i="46"/>
  <c r="AJ145" i="46"/>
  <c r="AJ92" i="46"/>
  <c r="AJ108" i="46"/>
  <c r="AJ196" i="46"/>
  <c r="AJ4" i="46"/>
  <c r="AJ176" i="46"/>
  <c r="AJ25" i="46"/>
  <c r="AJ21" i="46"/>
  <c r="AJ116" i="46"/>
  <c r="AJ29" i="46"/>
  <c r="AJ161" i="46"/>
  <c r="AJ43" i="46"/>
  <c r="AJ36" i="46"/>
  <c r="AJ242" i="46"/>
  <c r="AJ184" i="46"/>
  <c r="AJ191" i="46"/>
  <c r="AJ91" i="46"/>
  <c r="AJ230" i="46"/>
  <c r="AJ216" i="46"/>
  <c r="AJ186" i="46"/>
  <c r="AJ156" i="46"/>
  <c r="AJ123" i="46"/>
  <c r="AJ128" i="46"/>
  <c r="AJ198" i="46"/>
  <c r="AJ205" i="46"/>
  <c r="AJ143" i="46"/>
  <c r="AJ118" i="46"/>
  <c r="AJ18" i="46"/>
  <c r="AJ121" i="46"/>
  <c r="AJ211" i="46"/>
  <c r="AJ93" i="46"/>
  <c r="AJ155" i="46"/>
  <c r="AJ44" i="46"/>
  <c r="AJ252" i="46"/>
  <c r="AJ72" i="46"/>
  <c r="AJ193" i="46"/>
  <c r="AJ60" i="46"/>
  <c r="O22" i="46"/>
  <c r="D41" i="46" s="1"/>
  <c r="J29" i="33" s="1"/>
  <c r="N29" i="33" s="1"/>
  <c r="AJ54" i="46"/>
  <c r="AJ48" i="46"/>
  <c r="AJ7" i="46"/>
  <c r="O23" i="46"/>
  <c r="D42" i="46" s="1"/>
  <c r="J30" i="33" s="1"/>
  <c r="N30" i="33" s="1"/>
  <c r="AJ146" i="46"/>
  <c r="AJ66" i="46"/>
  <c r="AJ59" i="46"/>
  <c r="AJ27" i="46"/>
  <c r="AJ168" i="46"/>
  <c r="AJ221" i="46"/>
  <c r="AJ125" i="46"/>
  <c r="AJ133" i="46"/>
  <c r="AJ189" i="46"/>
  <c r="AJ200" i="46"/>
  <c r="AJ255" i="46"/>
  <c r="AJ76" i="46"/>
  <c r="AJ112" i="46"/>
  <c r="AJ55" i="46"/>
  <c r="AJ206" i="46"/>
  <c r="AJ142" i="46"/>
  <c r="AJ104" i="46"/>
  <c r="AJ138" i="46"/>
  <c r="AJ232" i="46"/>
  <c r="O29" i="46"/>
  <c r="D48" i="46" s="1"/>
  <c r="J36" i="33" s="1"/>
  <c r="N36" i="33" s="1"/>
  <c r="AJ68" i="46"/>
  <c r="AJ73" i="46"/>
  <c r="AJ3" i="46"/>
  <c r="AJ244" i="46"/>
  <c r="AJ33" i="46"/>
  <c r="AJ192" i="46"/>
  <c r="AJ164" i="46"/>
  <c r="AJ203" i="46"/>
  <c r="AJ19" i="46"/>
  <c r="AJ90" i="46"/>
  <c r="AJ129" i="46"/>
  <c r="O32" i="46"/>
  <c r="D51" i="46" s="1"/>
  <c r="J39" i="33" s="1"/>
  <c r="N39" i="33" s="1"/>
  <c r="AJ245" i="46"/>
  <c r="AJ70" i="46"/>
  <c r="O21" i="46"/>
  <c r="D40" i="46" s="1"/>
  <c r="J28" i="33" s="1"/>
  <c r="N28" i="33" s="1"/>
  <c r="AJ53" i="46"/>
  <c r="AJ202" i="46"/>
  <c r="AJ42" i="46"/>
  <c r="AJ231" i="46"/>
  <c r="AJ175" i="46"/>
  <c r="O30" i="46"/>
  <c r="D49" i="46" s="1"/>
  <c r="J37" i="33" s="1"/>
  <c r="N37" i="33" s="1"/>
  <c r="AJ215" i="46"/>
  <c r="AJ144" i="46"/>
  <c r="AJ15" i="46"/>
  <c r="AJ163" i="46"/>
  <c r="AJ235" i="46"/>
  <c r="AJ226" i="46"/>
  <c r="AJ253" i="46"/>
  <c r="AJ159" i="46"/>
  <c r="AJ179" i="46"/>
  <c r="AJ39" i="46"/>
  <c r="AJ38" i="46"/>
  <c r="AJ95" i="46"/>
  <c r="AJ257" i="46"/>
  <c r="AJ69" i="46"/>
  <c r="AJ111" i="46"/>
  <c r="AJ166" i="46"/>
  <c r="AJ237" i="46"/>
  <c r="AJ195" i="46"/>
  <c r="AJ185" i="46"/>
  <c r="AJ173" i="46"/>
  <c r="AJ201" i="46"/>
  <c r="AJ154" i="46"/>
  <c r="AJ204" i="46"/>
  <c r="AJ100" i="46"/>
  <c r="O24" i="46"/>
  <c r="D43" i="46" s="1"/>
  <c r="J31" i="33" s="1"/>
  <c r="N31" i="33" s="1"/>
  <c r="AJ12" i="46"/>
  <c r="AJ51" i="46"/>
  <c r="AJ56" i="46"/>
  <c r="AJ81" i="46"/>
  <c r="O27" i="46"/>
  <c r="D46" i="46" s="1"/>
  <c r="J34" i="33" s="1"/>
  <c r="N34" i="33" s="1"/>
  <c r="AJ249" i="46"/>
  <c r="AJ40" i="46"/>
  <c r="AJ207" i="46"/>
  <c r="AJ219" i="46"/>
  <c r="AJ227" i="46"/>
  <c r="AJ106" i="46"/>
  <c r="AJ137" i="46"/>
  <c r="AJ246" i="46"/>
  <c r="AJ107" i="46"/>
  <c r="AJ113" i="46"/>
  <c r="AJ77" i="46"/>
  <c r="AJ131" i="46"/>
  <c r="AJ32" i="46"/>
  <c r="O25" i="46"/>
  <c r="D44" i="46" s="1"/>
  <c r="J32" i="33" s="1"/>
  <c r="N32" i="33" s="1"/>
  <c r="AJ6" i="46"/>
  <c r="AJ45" i="46"/>
  <c r="AJ239" i="46"/>
  <c r="AJ67" i="46"/>
  <c r="AJ139" i="46"/>
  <c r="AJ209" i="46"/>
  <c r="AJ213" i="46"/>
  <c r="AJ57" i="46"/>
  <c r="AJ63" i="46"/>
  <c r="AJ78" i="46"/>
  <c r="AJ223" i="46"/>
  <c r="AJ178" i="46"/>
  <c r="O19" i="46"/>
  <c r="D38" i="46" s="1"/>
  <c r="J26" i="33" s="1"/>
  <c r="N26" i="33" s="1"/>
  <c r="AJ183" i="46"/>
  <c r="AJ80" i="46"/>
  <c r="AJ49" i="46"/>
  <c r="AJ149" i="46"/>
  <c r="AJ248" i="46"/>
  <c r="AJ214" i="46"/>
  <c r="AJ10" i="46"/>
  <c r="AJ105" i="46"/>
  <c r="AJ140" i="46"/>
  <c r="AJ165" i="46"/>
  <c r="AJ220" i="46"/>
  <c r="AJ52" i="46"/>
  <c r="AJ28" i="46"/>
  <c r="AJ88" i="46"/>
  <c r="AJ85" i="46"/>
  <c r="AJ14" i="46"/>
  <c r="AJ208" i="46"/>
  <c r="AJ241" i="46"/>
  <c r="AJ157" i="46"/>
  <c r="AJ87" i="46"/>
  <c r="AJ13" i="46"/>
  <c r="AJ117" i="46"/>
  <c r="AJ158" i="46"/>
  <c r="AJ99" i="46"/>
  <c r="AJ26" i="46"/>
  <c r="AJ75" i="46"/>
  <c r="AJ136" i="46"/>
  <c r="AJ30" i="46"/>
  <c r="AJ35" i="46"/>
  <c r="O20" i="46"/>
  <c r="D39" i="46" s="1"/>
  <c r="J27" i="33" s="1"/>
  <c r="N27" i="33" s="1"/>
  <c r="AJ152" i="46"/>
  <c r="AJ171" i="46"/>
  <c r="AJ153" i="46"/>
  <c r="AJ194" i="46"/>
  <c r="AJ58" i="46"/>
  <c r="AJ151" i="46"/>
  <c r="AJ101" i="46"/>
  <c r="W9" i="43"/>
  <c r="AI9" i="43" s="1"/>
  <c r="O25" i="33"/>
  <c r="O38" i="33"/>
  <c r="O40" i="33"/>
  <c r="O33" i="33"/>
  <c r="O35" i="33"/>
  <c r="O34" i="33"/>
  <c r="O31" i="33"/>
  <c r="O28" i="33"/>
  <c r="O29" i="33"/>
  <c r="O30" i="33"/>
  <c r="O39" i="33"/>
  <c r="O27" i="33"/>
  <c r="O37" i="33"/>
  <c r="O26" i="33"/>
  <c r="O36" i="33"/>
  <c r="O32" i="33"/>
  <c r="P25" i="33" s="1"/>
  <c r="AI62" i="43" l="1"/>
  <c r="AI48" i="43"/>
  <c r="AI42" i="43"/>
  <c r="AI8" i="43"/>
  <c r="AI45" i="43"/>
  <c r="AI49" i="43"/>
  <c r="AI15" i="43"/>
  <c r="AI64" i="43"/>
  <c r="AI16" i="43"/>
  <c r="AI30" i="43"/>
  <c r="AI40" i="43"/>
  <c r="AI38" i="43"/>
  <c r="AI55" i="43"/>
  <c r="AI28" i="43"/>
  <c r="AI29" i="43"/>
  <c r="AI24" i="43"/>
  <c r="AI54" i="43"/>
  <c r="AI3" i="43"/>
  <c r="AI14" i="43"/>
  <c r="AI22" i="43"/>
  <c r="AI50" i="43"/>
  <c r="AI35" i="43"/>
  <c r="AI47" i="43"/>
  <c r="AI53" i="43"/>
  <c r="AI65" i="43"/>
  <c r="AI60" i="43"/>
  <c r="AI39" i="43"/>
  <c r="AI41" i="43"/>
  <c r="AI5" i="43"/>
  <c r="AI31" i="43"/>
  <c r="AI18" i="43"/>
  <c r="AI20" i="43"/>
  <c r="AI10" i="43"/>
  <c r="AI52" i="43"/>
  <c r="AI17" i="43"/>
  <c r="AI37" i="43"/>
  <c r="AI11" i="43"/>
  <c r="AI63" i="43"/>
  <c r="AI13" i="43"/>
  <c r="AI23" i="43"/>
  <c r="AI56" i="43"/>
  <c r="AI59" i="43"/>
  <c r="AI6" i="43"/>
  <c r="AI44" i="43"/>
  <c r="AI27" i="43"/>
  <c r="AI36" i="43"/>
  <c r="AI25" i="43"/>
  <c r="AI32" i="43"/>
  <c r="AI4" i="43"/>
  <c r="AI61" i="43"/>
  <c r="AI43" i="43"/>
  <c r="AI21" i="43"/>
  <c r="AI19" i="43"/>
  <c r="AI57" i="43"/>
  <c r="AI12" i="43"/>
  <c r="AI58" i="43"/>
  <c r="AI34" i="43"/>
  <c r="AI26" i="43"/>
  <c r="AI7" i="43"/>
  <c r="AI51" i="43"/>
  <c r="AI46" i="43"/>
  <c r="N22" i="43"/>
  <c r="AI33" i="43"/>
  <c r="N23" i="43" l="1"/>
  <c r="N21" i="43"/>
  <c r="N20" i="43"/>
  <c r="N19" i="43"/>
  <c r="N24" i="43"/>
  <c r="N18" i="43"/>
  <c r="W13" i="43" l="1"/>
  <c r="M22" i="43" s="1"/>
  <c r="W13" i="44"/>
  <c r="M22" i="44" s="1"/>
  <c r="AH11" i="43" l="1"/>
  <c r="AH8" i="43"/>
  <c r="AH7" i="43"/>
  <c r="AH48" i="43"/>
  <c r="AH35" i="43"/>
  <c r="AH16" i="44"/>
  <c r="AH20" i="44"/>
  <c r="AH5" i="43"/>
  <c r="AH44" i="43"/>
  <c r="AH53" i="43"/>
  <c r="AH6" i="43"/>
  <c r="AH20" i="43"/>
  <c r="AH24" i="43"/>
  <c r="AH16" i="43"/>
  <c r="AH28" i="43"/>
  <c r="AH17" i="43"/>
  <c r="AH64" i="43"/>
  <c r="AH63" i="43"/>
  <c r="AH23" i="43"/>
  <c r="AH39" i="43"/>
  <c r="AH13" i="43"/>
  <c r="AH41" i="43"/>
  <c r="AH65" i="43"/>
  <c r="AH21" i="43"/>
  <c r="AH4" i="43"/>
  <c r="AH15" i="43"/>
  <c r="AH51" i="43"/>
  <c r="AH34" i="43"/>
  <c r="AH61" i="43"/>
  <c r="AH36" i="43"/>
  <c r="AH62" i="43"/>
  <c r="AH52" i="43"/>
  <c r="AH37" i="43"/>
  <c r="AH27" i="43"/>
  <c r="AH25" i="43"/>
  <c r="AH18" i="43"/>
  <c r="AH56" i="43"/>
  <c r="M21" i="43"/>
  <c r="AH40" i="43"/>
  <c r="AH29" i="43"/>
  <c r="AH33" i="43"/>
  <c r="AH49" i="43"/>
  <c r="AH43" i="43"/>
  <c r="M20" i="43"/>
  <c r="AH47" i="43"/>
  <c r="AH45" i="43"/>
  <c r="AH19" i="43"/>
  <c r="AH3" i="43"/>
  <c r="AH42" i="43"/>
  <c r="AH54" i="43"/>
  <c r="M24" i="43"/>
  <c r="AH22" i="43"/>
  <c r="M19" i="43"/>
  <c r="AH5" i="44"/>
  <c r="AH12" i="44"/>
  <c r="AH38" i="43"/>
  <c r="AH50" i="43"/>
  <c r="AH59" i="43"/>
  <c r="AH31" i="43"/>
  <c r="AH32" i="43"/>
  <c r="M23" i="43"/>
  <c r="AH24" i="44"/>
  <c r="AH7" i="44"/>
  <c r="AH15" i="44"/>
  <c r="AH4" i="44"/>
  <c r="AH18" i="44"/>
  <c r="M18" i="44"/>
  <c r="AH26" i="43"/>
  <c r="AH57" i="43"/>
  <c r="AH46" i="43"/>
  <c r="AH14" i="43"/>
  <c r="AH60" i="43"/>
  <c r="M18" i="43"/>
  <c r="M20" i="44"/>
  <c r="AH30" i="43"/>
  <c r="AH55" i="43"/>
  <c r="AH10" i="43"/>
  <c r="AH58" i="43"/>
  <c r="AH12" i="43"/>
  <c r="AH9" i="43"/>
  <c r="AH22" i="44"/>
  <c r="AH3" i="44"/>
  <c r="AH11" i="44"/>
  <c r="AH17" i="44"/>
  <c r="AH9" i="44"/>
  <c r="AH13" i="44"/>
  <c r="AH23" i="44"/>
  <c r="AH6" i="44"/>
  <c r="M19" i="44"/>
  <c r="AH8" i="44"/>
  <c r="AH14" i="44"/>
  <c r="M21" i="44"/>
  <c r="AH21" i="44"/>
  <c r="AH10" i="44"/>
  <c r="AH19" i="44"/>
  <c r="W3" i="44" a="1"/>
  <c r="W4" i="44" s="1"/>
  <c r="W3" i="44" l="1"/>
  <c r="W5" i="44"/>
  <c r="O18" i="44" l="1"/>
  <c r="D26" i="44" s="1"/>
  <c r="J3" i="33" s="1"/>
  <c r="N3" i="33" s="1"/>
  <c r="O20" i="44"/>
  <c r="D28" i="44" s="1"/>
  <c r="J5" i="33" s="1"/>
  <c r="N5" i="33" s="1"/>
  <c r="O22" i="44"/>
  <c r="D30" i="44" s="1"/>
  <c r="J7" i="33" s="1"/>
  <c r="N7" i="33" s="1"/>
  <c r="O3" i="33"/>
  <c r="O5" i="33"/>
  <c r="O7" i="33"/>
  <c r="O19" i="44"/>
  <c r="D27" i="44" s="1"/>
  <c r="J4" i="33" s="1"/>
  <c r="N4" i="33" s="1"/>
  <c r="O4" i="33"/>
  <c r="O21" i="44"/>
  <c r="D29" i="44" s="1"/>
  <c r="J6" i="33" s="1"/>
  <c r="N6" i="33" s="1"/>
  <c r="O6" i="33"/>
  <c r="AJ6" i="44"/>
  <c r="AJ19" i="44"/>
  <c r="AJ8" i="44"/>
  <c r="AJ24" i="44"/>
  <c r="AJ10" i="44"/>
  <c r="AJ17" i="44"/>
  <c r="AJ15" i="44"/>
  <c r="AJ22" i="44"/>
  <c r="AJ5" i="44"/>
  <c r="AJ16" i="44"/>
  <c r="AJ3" i="44"/>
  <c r="AJ21" i="44"/>
  <c r="AJ12" i="44"/>
  <c r="AJ11" i="44"/>
  <c r="AJ4" i="44"/>
  <c r="AJ14" i="44"/>
  <c r="AJ7" i="44"/>
  <c r="AJ9" i="44"/>
  <c r="AJ18" i="44"/>
  <c r="AJ20" i="44"/>
  <c r="AJ23" i="44"/>
  <c r="AJ13" i="44"/>
  <c r="W9" i="44" a="1"/>
  <c r="W10" i="44" s="1"/>
  <c r="W3" i="43" a="1"/>
  <c r="W3" i="43" s="1"/>
  <c r="W4" i="43" l="1"/>
  <c r="W9" i="44"/>
  <c r="AI8" i="44" s="1"/>
  <c r="W5" i="43"/>
  <c r="O19" i="43" l="1"/>
  <c r="D29" i="43" s="1"/>
  <c r="J9" i="33" s="1"/>
  <c r="N9" i="33" s="1"/>
  <c r="N22" i="44"/>
  <c r="AI11" i="44"/>
  <c r="AI24" i="44"/>
  <c r="AI10" i="44"/>
  <c r="N18" i="44"/>
  <c r="O22" i="43"/>
  <c r="D32" i="43" s="1"/>
  <c r="J12" i="33" s="1"/>
  <c r="N12" i="33" s="1"/>
  <c r="AI22" i="44"/>
  <c r="AI16" i="44"/>
  <c r="AI9" i="44"/>
  <c r="AI23" i="44"/>
  <c r="AI7" i="44"/>
  <c r="AI17" i="44"/>
  <c r="N21" i="44"/>
  <c r="AI12" i="44"/>
  <c r="AI6" i="44"/>
  <c r="AI14" i="44"/>
  <c r="AI20" i="44"/>
  <c r="AI18" i="44"/>
  <c r="AI21" i="44"/>
  <c r="AI4" i="44"/>
  <c r="AI3" i="44"/>
  <c r="N20" i="44"/>
  <c r="AI15" i="44"/>
  <c r="AI13" i="44"/>
  <c r="AI5" i="44"/>
  <c r="AI19" i="44"/>
  <c r="N19" i="44"/>
  <c r="O18" i="43"/>
  <c r="D28" i="43" s="1"/>
  <c r="J8" i="33" s="1"/>
  <c r="N8" i="33" s="1"/>
  <c r="O9" i="33"/>
  <c r="O12" i="33"/>
  <c r="O8" i="33"/>
  <c r="O24" i="43"/>
  <c r="D34" i="43" s="1"/>
  <c r="J14" i="33" s="1"/>
  <c r="N14" i="33" s="1"/>
  <c r="O14" i="33"/>
  <c r="O20" i="43"/>
  <c r="D30" i="43" s="1"/>
  <c r="J10" i="33" s="1"/>
  <c r="N10" i="33" s="1"/>
  <c r="O10" i="33"/>
  <c r="O21" i="43"/>
  <c r="D31" i="43" s="1"/>
  <c r="J11" i="33" s="1"/>
  <c r="N11" i="33" s="1"/>
  <c r="O11" i="33"/>
  <c r="O23" i="43"/>
  <c r="D33" i="43" s="1"/>
  <c r="J13" i="33" s="1"/>
  <c r="N13" i="33" s="1"/>
  <c r="O13" i="33"/>
  <c r="AJ48" i="43"/>
  <c r="AJ50" i="43"/>
  <c r="AJ27" i="43"/>
  <c r="AJ33" i="43"/>
  <c r="AJ40" i="43"/>
  <c r="AJ65" i="43"/>
  <c r="AJ57" i="43"/>
  <c r="AJ37" i="43"/>
  <c r="AJ45" i="43"/>
  <c r="AJ62" i="43"/>
  <c r="AJ6" i="43"/>
  <c r="AJ42" i="43"/>
  <c r="AJ47" i="43"/>
  <c r="AJ18" i="43"/>
  <c r="AJ21" i="43"/>
  <c r="AJ20" i="43"/>
  <c r="AJ53" i="43"/>
  <c r="AJ29" i="43"/>
  <c r="AJ52" i="43"/>
  <c r="AJ55" i="43"/>
  <c r="AJ26" i="43"/>
  <c r="AJ31" i="43"/>
  <c r="AJ35" i="43"/>
  <c r="AJ17" i="43"/>
  <c r="AJ38" i="43"/>
  <c r="AJ4" i="43"/>
  <c r="AJ3" i="43"/>
  <c r="AJ60" i="43"/>
  <c r="AJ54" i="43"/>
  <c r="AJ34" i="43"/>
  <c r="AJ12" i="43"/>
  <c r="AJ8" i="43"/>
  <c r="AJ14" i="43"/>
  <c r="AJ61" i="43"/>
  <c r="AJ24" i="43"/>
  <c r="AJ19" i="43"/>
  <c r="AJ30" i="43"/>
  <c r="AJ51" i="43"/>
  <c r="AJ28" i="43"/>
  <c r="AJ39" i="43"/>
  <c r="AJ56" i="43"/>
  <c r="AJ64" i="43"/>
  <c r="AJ7" i="43"/>
  <c r="AJ36" i="43"/>
  <c r="AJ9" i="43"/>
  <c r="AJ15" i="43"/>
  <c r="AJ43" i="43"/>
  <c r="AJ23" i="43"/>
  <c r="AJ58" i="43"/>
  <c r="AJ44" i="43"/>
  <c r="AJ16" i="43"/>
  <c r="AJ10" i="43"/>
  <c r="AJ13" i="43"/>
  <c r="AJ41" i="43"/>
  <c r="AJ11" i="43"/>
  <c r="AJ32" i="43"/>
  <c r="AJ49" i="43"/>
  <c r="AJ5" i="43"/>
  <c r="AJ25" i="43"/>
  <c r="AJ59" i="43"/>
  <c r="AJ46" i="43"/>
  <c r="AJ22" i="43"/>
  <c r="AJ63" i="43"/>
  <c r="P8" i="33"/>
  <c r="P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<sst xmlns="http://schemas.openxmlformats.org/spreadsheetml/2006/main" count="606" uniqueCount="196">
  <si>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</si>
  <si>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</si>
  <si>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</si>
  <si>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</si>
  <si>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</si>
  <si>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</si>
  <si>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</si>
  <si>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</si>
  <si>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</si>
  <si>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</si>
  <si>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</si>
  <si>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</si>
  <si>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</si>
  <si>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</si>
  <si>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</si>
  <si>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</si>
  <si>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</si>
  <si>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</si>
  <si>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</si>
  <si>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</si>
  <si>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</si>
  <si>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</si>
  <si>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</si>
  <si>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</si>
  <si>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</si>
  <si>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</si>
  <si>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</si>
  <si>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</si>
  <si>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</si>
  <si>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</si>
  <si>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</si>
  <si>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</si>
  <si>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</si>
  <si>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</si>
  <si>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</si>
  <si>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</si>
  <si>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</si>
  <si>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</si>
  <si>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</si>
  <si>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</si>
  <si>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</si>
  <si>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</si>
  <si>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</si>
  <si>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</si>
  <si>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</si>
  <si>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</si>
  <si>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</si>
  <si>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</si>
  <si>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</si>
  <si>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</si>
  <si>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</si>
  <si>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</si>
  <si>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</si>
  <si>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</si>
  <si>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</si>
  <si>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</si>
  <si>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</si>
  <si>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</si>
  <si>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</si>
  <si>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</si>
  <si>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</si>
  <si>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</si>
  <si>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</si>
  <si>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</si>
  <si>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</si>
  <si>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</si>
  <si>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</si>
  <si>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</si>
  <si>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</si>
  <si>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</si>
  <si>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</si>
  <si>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</si>
  <si>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</si>
  <si>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</si>
  <si>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</si>
  <si>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</si>
  <si>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</si>
  <si>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</si>
  <si>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</si>
  <si>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</si>
  <si>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</si>
  <si>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</si>
  <si>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</si>
  <si>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</si>
  <si>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</si>
  <si>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</si>
  <si>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</si>
  <si>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</si>
  <si>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</si>
  <si>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</si>
  <si>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</si>
  <si>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</si>
  <si>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</si>
  <si>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</si>
  <si>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</si>
  <si>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</si>
  <si>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</si>
  <si>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</si>
  <si>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</si>
  <si>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</si>
  <si>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</si>
  <si>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</si>
  <si>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</si>
  <si>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</si>
  <si>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</si>
  <si>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</si>
  <si>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</si>
  <si>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</si>
  <si>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</si>
  <si>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</si>
  <si>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</si>
  <si>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</si>
  <si>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</si>
  <si>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</si>
  <si>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</si>
  <si>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</si>
  <si>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</si>
  <si>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</si>
  <si>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</si>
  <si>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</si>
  <si>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</si>
  <si>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</si>
  <si>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</si>
  <si>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</si>
  <si>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</si>
  <si>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</si>
  <si>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</si>
  <si>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</si>
  <si>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OIS 6M ON curve</t>
  </si>
  <si>
    <t>6M Instruments</t>
  </si>
  <si>
    <t>diff</t>
  </si>
  <si>
    <t>3M Market quote</t>
  </si>
  <si>
    <t xml:space="preserve">OIS 3M </t>
  </si>
  <si>
    <t>OIS 6M</t>
  </si>
  <si>
    <t xml:space="preserve">   </t>
  </si>
  <si>
    <t>6M market day counter</t>
  </si>
  <si>
    <t>interp. basis</t>
  </si>
  <si>
    <t>Index</t>
  </si>
  <si>
    <t>Euribor6M</t>
  </si>
  <si>
    <t>Interpolated 6M basis</t>
  </si>
  <si>
    <t>OIS constructor</t>
  </si>
  <si>
    <t>Interpolator</t>
  </si>
  <si>
    <t>selected</t>
  </si>
  <si>
    <t>CubicNaturalSpline</t>
  </si>
  <si>
    <t>Basis Interpolation</t>
  </si>
  <si>
    <t>OIS Constructor</t>
  </si>
  <si>
    <t>Synthetic Deposits 6M</t>
  </si>
  <si>
    <t>INTERP+FRA</t>
  </si>
  <si>
    <t>Instruments Selection</t>
  </si>
  <si>
    <t>Contributions</t>
  </si>
  <si>
    <t>Euribor3M</t>
  </si>
  <si>
    <t>INTERP+FUT</t>
  </si>
  <si>
    <t>Synthetic Deposits 3M</t>
  </si>
  <si>
    <t>Interpolated 3M basis</t>
  </si>
  <si>
    <t>First Serial inclusion</t>
  </si>
  <si>
    <t>Euribor1M</t>
  </si>
  <si>
    <t>Interpolated 1M basis</t>
  </si>
  <si>
    <t>1M market day counter</t>
  </si>
  <si>
    <t>Synthetic Deposits 1M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</si>
  <si>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</si>
  <si>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</si>
  <si>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</si>
  <si>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</si>
  <si>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</si>
  <si>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</si>
  <si>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</si>
  <si>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</si>
  <si>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Name</t>
  </si>
  <si>
    <t>End date</t>
  </si>
  <si>
    <t>0D</t>
  </si>
  <si>
    <t>X1S</t>
  </si>
  <si>
    <t>Annual</t>
  </si>
  <si>
    <t>1M Euribor Curve</t>
  </si>
  <si>
    <t>Pricing Euribor 1M FRA</t>
  </si>
  <si>
    <t>Maturity</t>
  </si>
  <si>
    <t>Euribor1Y</t>
  </si>
  <si>
    <t>quad</t>
  </si>
  <si>
    <t>LogLinear</t>
  </si>
  <si>
    <t>6Y</t>
  </si>
  <si>
    <t>7Y</t>
  </si>
  <si>
    <t>8Y</t>
  </si>
  <si>
    <t>30/360 (Bond Basis)</t>
  </si>
  <si>
    <t>Discount factor</t>
  </si>
  <si>
    <t>Implied FRA</t>
  </si>
  <si>
    <t>0x12</t>
  </si>
  <si>
    <t>12x24</t>
  </si>
  <si>
    <t>24x36</t>
  </si>
  <si>
    <t>36x48</t>
  </si>
  <si>
    <t>48x60</t>
  </si>
  <si>
    <t>60x72</t>
  </si>
  <si>
    <t>Synthetic Deposits 1Y</t>
  </si>
  <si>
    <t>1M Curve Settings</t>
  </si>
  <si>
    <t>1Y Curve Settings</t>
  </si>
  <si>
    <t>Additional Settings</t>
  </si>
  <si>
    <t>basis</t>
  </si>
  <si>
    <t>6M Market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</si>
</sst>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</numFmts>
  <fonts count="2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36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1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0" borderId="8" xfId="0" applyFont="1" applyBorder="1"/>
    <xf numFmtId="0" fontId="11" fillId="5" borderId="23" xfId="14" applyFont="1" applyFill="1" applyBorder="1"/>
    <xf numFmtId="0" fontId="11" fillId="5" borderId="24" xfId="14" applyFont="1" applyFill="1" applyBorder="1"/>
    <xf numFmtId="0" fontId="11" fillId="5" borderId="25" xfId="14" applyFont="1" applyFill="1" applyBorder="1"/>
    <xf numFmtId="0" fontId="11" fillId="0" borderId="0" xfId="14" applyFont="1"/>
    <xf numFmtId="0" fontId="11" fillId="5" borderId="23" xfId="20" applyFont="1" applyFill="1" applyBorder="1" applyAlignment="1">
      <alignment horizontal="center"/>
    </xf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5" xfId="14" applyFont="1" applyFill="1" applyBorder="1" applyAlignment="1">
      <alignment horizontal="center"/>
    </xf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2" fillId="5" borderId="5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5" fillId="5" borderId="5" xfId="14" applyFont="1" applyFill="1" applyBorder="1"/>
    <xf numFmtId="0" fontId="12" fillId="5" borderId="10" xfId="14" applyFont="1" applyFill="1" applyBorder="1" applyAlignment="1">
      <alignment horizontal="center"/>
    </xf>
    <xf numFmtId="0" fontId="5" fillId="5" borderId="12" xfId="14" applyFont="1" applyFill="1" applyBorder="1"/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0" xfId="15" applyFont="1" applyFill="1" applyBorder="1"/>
    <xf numFmtId="0" fontId="11" fillId="8" borderId="5" xfId="15" applyFont="1" applyFill="1" applyBorder="1"/>
    <xf numFmtId="168" fontId="12" fillId="5" borderId="6" xfId="15" applyNumberFormat="1" applyFont="1" applyFill="1" applyBorder="1" applyAlignment="1">
      <alignment horizontal="center"/>
    </xf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8" xfId="17" applyNumberFormat="1" applyFont="1" applyFill="1" applyBorder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1" xfId="0" applyNumberFormat="1" applyFont="1" applyFill="1" applyBorder="1" applyAlignment="1"/>
    <xf numFmtId="172" fontId="11" fillId="8" borderId="31" xfId="17" applyNumberFormat="1" applyFont="1" applyFill="1" applyBorder="1"/>
    <xf numFmtId="172" fontId="11" fillId="8" borderId="32" xfId="0" applyNumberFormat="1" applyFont="1" applyFill="1" applyBorder="1"/>
    <xf numFmtId="0" fontId="21" fillId="12" borderId="51" xfId="0" applyFont="1" applyFill="1" applyBorder="1" applyAlignment="1">
      <alignment horizontal="center" vertical="center" wrapText="1"/>
    </xf>
    <xf numFmtId="0" fontId="21" fillId="12" borderId="52" xfId="0" applyFont="1" applyFill="1" applyBorder="1" applyAlignment="1">
      <alignment horizontal="center" vertical="center" wrapText="1"/>
    </xf>
    <xf numFmtId="0" fontId="21" fillId="12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2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2" borderId="55" xfId="0" applyFont="1" applyFill="1" applyBorder="1" applyAlignment="1">
      <alignment horizontal="center" vertical="center" wrapText="1"/>
    </xf>
    <xf numFmtId="0" fontId="21" fillId="12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2" fontId="11" fillId="8" borderId="16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0" fontId="11" fillId="8" borderId="16" xfId="0" applyFont="1" applyFill="1" applyBorder="1"/>
    <xf numFmtId="171" fontId="11" fillId="8" borderId="8" xfId="0" applyNumberFormat="1" applyFont="1" applyFill="1" applyBorder="1"/>
    <xf numFmtId="0" fontId="11" fillId="8" borderId="8" xfId="0" applyFont="1" applyFill="1" applyBorder="1"/>
    <xf numFmtId="171" fontId="11" fillId="8" borderId="31" xfId="0" applyNumberFormat="1" applyFont="1" applyFill="1" applyBorder="1"/>
    <xf numFmtId="0" fontId="11" fillId="8" borderId="31" xfId="0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21" xfId="0" applyFont="1" applyFill="1" applyBorder="1"/>
    <xf numFmtId="0" fontId="11" fillId="8" borderId="13" xfId="0" applyFont="1" applyFill="1" applyBorder="1"/>
    <xf numFmtId="0" fontId="11" fillId="8" borderId="54" xfId="0" applyFont="1" applyFill="1" applyBorder="1"/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2" fillId="8" borderId="39" xfId="0" applyFont="1" applyFill="1" applyBorder="1" applyAlignment="1"/>
    <xf numFmtId="172" fontId="22" fillId="8" borderId="30" xfId="17" applyNumberFormat="1" applyFont="1" applyFill="1" applyBorder="1"/>
    <xf numFmtId="171" fontId="11" fillId="8" borderId="46" xfId="0" applyNumberFormat="1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39" xfId="0" applyNumberFormat="1" applyFont="1" applyFill="1" applyBorder="1"/>
    <xf numFmtId="173" fontId="11" fillId="8" borderId="8" xfId="0" applyNumberFormat="1" applyFont="1" applyFill="1" applyBorder="1"/>
    <xf numFmtId="173" fontId="11" fillId="8" borderId="30" xfId="0" applyNumberFormat="1" applyFont="1" applyFill="1" applyBorder="1"/>
    <xf numFmtId="173" fontId="11" fillId="8" borderId="43" xfId="0" applyNumberFormat="1" applyFont="1" applyFill="1" applyBorder="1"/>
    <xf numFmtId="173" fontId="11" fillId="8" borderId="31" xfId="0" applyNumberFormat="1" applyFont="1" applyFill="1" applyBorder="1"/>
    <xf numFmtId="173" fontId="11" fillId="8" borderId="32" xfId="0" applyNumberFormat="1" applyFont="1" applyFill="1" applyBorder="1"/>
    <xf numFmtId="0" fontId="21" fillId="12" borderId="1" xfId="0" applyFont="1" applyFill="1" applyBorder="1" applyAlignment="1">
      <alignment horizontal="centerContinuous" vertical="center" wrapText="1"/>
    </xf>
    <xf numFmtId="0" fontId="21" fillId="12" borderId="2" xfId="0" applyFont="1" applyFill="1" applyBorder="1" applyAlignment="1">
      <alignment horizontal="centerContinuous" vertical="center" wrapText="1"/>
    </xf>
    <xf numFmtId="0" fontId="21" fillId="12" borderId="3" xfId="0" applyFont="1" applyFill="1" applyBorder="1" applyAlignment="1">
      <alignment horizontal="centerContinuous" vertical="center" wrapText="1"/>
    </xf>
    <xf numFmtId="0" fontId="21" fillId="12" borderId="29" xfId="0" applyFont="1" applyFill="1" applyBorder="1" applyAlignment="1">
      <alignment horizontal="center" vertical="center" wrapText="1"/>
    </xf>
    <xf numFmtId="0" fontId="21" fillId="12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1" fontId="11" fillId="10" borderId="58" xfId="0" applyNumberFormat="1" applyFont="1" applyFill="1" applyBorder="1" applyAlignment="1">
      <alignment horizontal="center" vertical="center"/>
    </xf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1" fontId="11" fillId="8" borderId="58" xfId="0" applyNumberFormat="1" applyFont="1" applyFill="1" applyBorder="1" applyAlignment="1">
      <alignment horizontal="center" vertical="center"/>
    </xf>
    <xf numFmtId="0" fontId="21" fillId="12" borderId="45" xfId="0" applyFont="1" applyFill="1" applyBorder="1" applyAlignment="1">
      <alignment horizontal="center" vertical="center" wrapText="1"/>
    </xf>
    <xf numFmtId="0" fontId="21" fillId="12" borderId="27" xfId="0" applyFont="1" applyFill="1" applyBorder="1" applyAlignment="1">
      <alignment horizontal="center" vertical="center" wrapText="1"/>
    </xf>
    <xf numFmtId="0" fontId="21" fillId="12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172" fontId="11" fillId="0" borderId="30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172" fontId="11" fillId="0" borderId="32" xfId="0" applyNumberFormat="1" applyFont="1" applyBorder="1"/>
    <xf numFmtId="0" fontId="11" fillId="0" borderId="24" xfId="0" applyFont="1" applyBorder="1"/>
    <xf numFmtId="0" fontId="11" fillId="0" borderId="31" xfId="0" applyFont="1" applyBorder="1"/>
    <xf numFmtId="0" fontId="11" fillId="8" borderId="4" xfId="14" applyFont="1" applyFill="1" applyBorder="1"/>
    <xf numFmtId="0" fontId="24" fillId="12" borderId="6" xfId="14" applyFont="1" applyFill="1" applyBorder="1" applyAlignment="1">
      <alignment horizontal="center" vertical="center" wrapText="1"/>
    </xf>
    <xf numFmtId="0" fontId="24" fillId="12" borderId="6" xfId="32" applyFont="1" applyFill="1" applyBorder="1" applyAlignment="1">
      <alignment horizontal="center" vertical="center" wrapText="1"/>
    </xf>
    <xf numFmtId="0" fontId="21" fillId="12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2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2" borderId="19" xfId="14" applyFont="1" applyFill="1" applyBorder="1" applyAlignment="1">
      <alignment horizontal="centerContinuous" vertical="center"/>
    </xf>
    <xf numFmtId="0" fontId="21" fillId="12" borderId="20" xfId="14" applyFont="1" applyFill="1" applyBorder="1" applyAlignment="1">
      <alignment horizontal="centerContinuous" vertical="center"/>
    </xf>
    <xf numFmtId="0" fontId="21" fillId="12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2" borderId="1" xfId="14" applyFont="1" applyFill="1" applyBorder="1" applyAlignment="1">
      <alignment horizontal="centerContinuous" vertical="center"/>
    </xf>
    <xf numFmtId="0" fontId="21" fillId="12" borderId="2" xfId="14" applyFont="1" applyFill="1" applyBorder="1" applyAlignment="1">
      <alignment horizontal="centerContinuous" vertical="center"/>
    </xf>
    <xf numFmtId="0" fontId="21" fillId="12" borderId="3" xfId="14" applyFont="1" applyFill="1" applyBorder="1" applyAlignment="1">
      <alignment horizontal="centerContinuous" vertical="center"/>
    </xf>
    <xf numFmtId="0" fontId="21" fillId="12" borderId="48" xfId="43" applyFont="1" applyFill="1" applyBorder="1" applyAlignment="1">
      <alignment horizontal="center" vertical="center"/>
    </xf>
    <xf numFmtId="0" fontId="21" fillId="12" borderId="49" xfId="43" applyFont="1" applyFill="1" applyBorder="1" applyAlignment="1">
      <alignment horizontal="center" vertical="center"/>
    </xf>
    <xf numFmtId="0" fontId="21" fillId="12" borderId="50" xfId="43" applyFont="1" applyFill="1" applyBorder="1" applyAlignment="1">
      <alignment horizontal="center" vertical="center"/>
    </xf>
    <xf numFmtId="0" fontId="11" fillId="8" borderId="45" xfId="14" applyFont="1" applyFill="1" applyBorder="1" applyAlignment="1">
      <alignment horizontal="center" vertical="center"/>
    </xf>
    <xf numFmtId="171" fontId="25" fillId="8" borderId="27" xfId="43" applyNumberFormat="1" applyFont="1" applyFill="1" applyBorder="1"/>
    <xf numFmtId="0" fontId="25" fillId="8" borderId="27" xfId="43" applyFont="1" applyFill="1" applyBorder="1"/>
    <xf numFmtId="172" fontId="25" fillId="8" borderId="47" xfId="43" applyNumberFormat="1" applyFont="1" applyFill="1" applyBorder="1"/>
    <xf numFmtId="0" fontId="11" fillId="8" borderId="39" xfId="14" applyFont="1" applyFill="1" applyBorder="1" applyAlignment="1">
      <alignment horizontal="center" vertical="center"/>
    </xf>
    <xf numFmtId="171" fontId="25" fillId="8" borderId="8" xfId="43" applyNumberFormat="1" applyFont="1" applyFill="1" applyBorder="1"/>
    <xf numFmtId="0" fontId="25" fillId="8" borderId="8" xfId="43" applyFont="1" applyFill="1" applyBorder="1"/>
    <xf numFmtId="172" fontId="25" fillId="8" borderId="30" xfId="43" applyNumberFormat="1" applyFont="1" applyFill="1" applyBorder="1"/>
    <xf numFmtId="0" fontId="11" fillId="8" borderId="43" xfId="14" applyFont="1" applyFill="1" applyBorder="1" applyAlignment="1">
      <alignment horizontal="center" vertical="center"/>
    </xf>
    <xf numFmtId="171" fontId="25" fillId="8" borderId="31" xfId="43" applyNumberFormat="1" applyFont="1" applyFill="1" applyBorder="1"/>
    <xf numFmtId="0" fontId="25" fillId="8" borderId="31" xfId="43" applyFont="1" applyFill="1" applyBorder="1"/>
    <xf numFmtId="172" fontId="25" fillId="8" borderId="32" xfId="43" applyNumberFormat="1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1" fontId="11" fillId="8" borderId="0" xfId="0" applyNumberFormat="1" applyFont="1" applyFill="1" applyBorder="1" applyAlignment="1"/>
    <xf numFmtId="171" fontId="11" fillId="8" borderId="0" xfId="0" applyNumberFormat="1" applyFont="1" applyFill="1" applyBorder="1"/>
    <xf numFmtId="172" fontId="11" fillId="8" borderId="0" xfId="17" applyNumberFormat="1" applyFont="1" applyFill="1" applyBorder="1"/>
    <xf numFmtId="173" fontId="11" fillId="8" borderId="0" xfId="0" applyNumberFormat="1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2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172" fontId="11" fillId="0" borderId="16" xfId="11" applyNumberFormat="1" applyFont="1" applyBorder="1"/>
    <xf numFmtId="172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172" fontId="11" fillId="0" borderId="8" xfId="11" applyNumberFormat="1" applyFont="1" applyBorder="1"/>
    <xf numFmtId="172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172" fontId="11" fillId="0" borderId="18" xfId="11" applyNumberFormat="1" applyFont="1" applyBorder="1"/>
    <xf numFmtId="172" fontId="11" fillId="0" borderId="18" xfId="8" applyNumberFormat="1" applyFont="1" applyBorder="1"/>
    <xf numFmtId="0" fontId="11" fillId="0" borderId="0" xfId="14" applyFont="1" applyBorder="1"/>
    <xf numFmtId="0" fontId="21" fillId="12" borderId="6" xfId="8" applyFont="1" applyFill="1" applyBorder="1" applyAlignment="1">
      <alignment horizontal="center" vertical="center" wrapText="1"/>
    </xf>
    <xf numFmtId="0" fontId="11" fillId="11" borderId="18" xfId="8" applyFont="1" applyFill="1" applyBorder="1"/>
    <xf numFmtId="171" fontId="11" fillId="11" borderId="18" xfId="8" applyNumberFormat="1" applyFont="1" applyFill="1" applyBorder="1"/>
    <xf numFmtId="172" fontId="11" fillId="11" borderId="18" xfId="11" applyNumberFormat="1" applyFont="1" applyFill="1" applyBorder="1"/>
    <xf numFmtId="172" fontId="11" fillId="11" borderId="18" xfId="8" applyNumberFormat="1" applyFont="1" applyFill="1" applyBorder="1"/>
    <xf numFmtId="0" fontId="11" fillId="11" borderId="16" xfId="8" applyFont="1" applyFill="1" applyBorder="1"/>
    <xf numFmtId="171" fontId="11" fillId="11" borderId="16" xfId="8" applyNumberFormat="1" applyFont="1" applyFill="1" applyBorder="1"/>
    <xf numFmtId="172" fontId="11" fillId="11" borderId="16" xfId="11" applyNumberFormat="1" applyFont="1" applyFill="1" applyBorder="1"/>
    <xf numFmtId="172" fontId="11" fillId="11" borderId="16" xfId="8" applyNumberFormat="1" applyFont="1" applyFill="1" applyBorder="1"/>
    <xf numFmtId="0" fontId="11" fillId="10" borderId="16" xfId="8" applyFont="1" applyFill="1" applyBorder="1"/>
    <xf numFmtId="171" fontId="11" fillId="10" borderId="16" xfId="8" applyNumberFormat="1" applyFont="1" applyFill="1" applyBorder="1"/>
    <xf numFmtId="172" fontId="11" fillId="10" borderId="16" xfId="11" applyNumberFormat="1" applyFont="1" applyFill="1" applyBorder="1"/>
    <xf numFmtId="172" fontId="11" fillId="10" borderId="16" xfId="8" applyNumberFormat="1" applyFont="1" applyFill="1" applyBorder="1"/>
    <xf numFmtId="0" fontId="21" fillId="12" borderId="41" xfId="14" applyFont="1" applyFill="1" applyBorder="1"/>
    <xf numFmtId="0" fontId="21" fillId="12" borderId="40" xfId="14" applyFont="1" applyFill="1" applyBorder="1"/>
    <xf numFmtId="0" fontId="26" fillId="12" borderId="27" xfId="14" applyFont="1" applyFill="1" applyBorder="1" applyAlignment="1">
      <alignment horizontal="left"/>
    </xf>
    <xf numFmtId="0" fontId="21" fillId="12" borderId="26" xfId="14" applyFont="1" applyFill="1" applyBorder="1" applyAlignment="1">
      <alignment horizontal="left"/>
    </xf>
    <xf numFmtId="0" fontId="21" fillId="12" borderId="44" xfId="14" applyFont="1" applyFill="1" applyBorder="1" applyAlignment="1">
      <alignment horizontal="left"/>
    </xf>
    <xf numFmtId="0" fontId="27" fillId="12" borderId="35" xfId="14" applyFont="1" applyFill="1" applyBorder="1" applyAlignment="1">
      <alignment horizontal="center"/>
    </xf>
    <xf numFmtId="0" fontId="27" fillId="12" borderId="37" xfId="14" applyFont="1" applyFill="1" applyBorder="1" applyAlignment="1">
      <alignment horizontal="center"/>
    </xf>
    <xf numFmtId="0" fontId="26" fillId="12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2" borderId="28" xfId="21" applyNumberFormat="1" applyFont="1" applyFill="1" applyBorder="1" applyAlignment="1">
      <alignment horizontal="center" vertical="center" wrapText="1"/>
    </xf>
    <xf numFmtId="173" fontId="24" fillId="12" borderId="29" xfId="21" applyNumberFormat="1" applyFont="1" applyFill="1" applyBorder="1" applyAlignment="1">
      <alignment horizontal="center" vertical="center" wrapText="1"/>
    </xf>
    <xf numFmtId="172" fontId="24" fillId="12" borderId="26" xfId="21" applyNumberFormat="1" applyFont="1" applyFill="1" applyBorder="1" applyAlignment="1">
      <alignment horizontal="center" vertical="center" wrapText="1"/>
    </xf>
    <xf numFmtId="172" fontId="24" fillId="12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0" borderId="4" xfId="0" applyNumberFormat="1" applyFont="1" applyBorder="1"/>
    <xf numFmtId="171" fontId="11" fillId="0" borderId="10" xfId="0" applyNumberFormat="1" applyFont="1" applyBorder="1"/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6" xfId="17" applyNumberFormat="1" applyFont="1" applyFill="1" applyBorder="1"/>
    <xf numFmtId="172" fontId="11" fillId="8" borderId="19" xfId="17" applyNumberFormat="1" applyFont="1" applyFill="1" applyBorder="1"/>
    <xf numFmtId="172" fontId="11" fillId="8" borderId="56" xfId="17" applyNumberFormat="1" applyFont="1" applyFill="1" applyBorder="1"/>
    <xf numFmtId="171" fontId="11" fillId="11" borderId="58" xfId="0" applyNumberFormat="1" applyFont="1" applyFill="1" applyBorder="1" applyAlignment="1">
      <alignment horizontal="center" vertical="center"/>
    </xf>
    <xf numFmtId="172" fontId="22" fillId="8" borderId="8" xfId="0" applyNumberFormat="1" applyFont="1" applyFill="1" applyBorder="1" applyAlignment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0" borderId="52" xfId="0" applyFont="1" applyBorder="1"/>
    <xf numFmtId="0" fontId="11" fillId="10" borderId="52" xfId="0" applyFont="1" applyFill="1" applyBorder="1" applyAlignment="1">
      <alignment horizontal="center"/>
    </xf>
    <xf numFmtId="172" fontId="22" fillId="0" borderId="53" xfId="0" applyNumberFormat="1" applyFont="1" applyBorder="1"/>
    <xf numFmtId="0" fontId="11" fillId="10" borderId="43" xfId="0" applyFont="1" applyFill="1" applyBorder="1" applyAlignment="1">
      <alignment horizontal="center"/>
    </xf>
    <xf numFmtId="0" fontId="21" fillId="12" borderId="49" xfId="0" applyFont="1" applyFill="1" applyBorder="1" applyAlignment="1">
      <alignment horizontal="center" vertical="center" wrapText="1"/>
    </xf>
    <xf numFmtId="0" fontId="21" fillId="12" borderId="50" xfId="0" applyFont="1" applyFill="1" applyBorder="1" applyAlignment="1">
      <alignment horizontal="center" vertical="center" wrapText="1"/>
    </xf>
    <xf numFmtId="172" fontId="11" fillId="0" borderId="37" xfId="0" applyNumberFormat="1" applyFont="1" applyBorder="1"/>
    <xf numFmtId="172" fontId="11" fillId="0" borderId="53" xfId="0" applyNumberFormat="1" applyFont="1" applyBorder="1"/>
    <xf numFmtId="172" fontId="22" fillId="0" borderId="52" xfId="0" applyNumberFormat="1" applyFont="1" applyBorder="1"/>
    <xf numFmtId="171" fontId="11" fillId="11" borderId="56" xfId="0" applyNumberFormat="1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5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41954</c:v>
                </c:pt>
                <c:pt idx="1">
                  <c:v>41955</c:v>
                </c:pt>
                <c:pt idx="2">
                  <c:v>41956</c:v>
                </c:pt>
                <c:pt idx="3">
                  <c:v>41957</c:v>
                </c:pt>
                <c:pt idx="4">
                  <c:v>41960</c:v>
                </c:pt>
                <c:pt idx="5">
                  <c:v>41961</c:v>
                </c:pt>
                <c:pt idx="6">
                  <c:v>41962</c:v>
                </c:pt>
                <c:pt idx="7">
                  <c:v>41963</c:v>
                </c:pt>
                <c:pt idx="8">
                  <c:v>41964</c:v>
                </c:pt>
                <c:pt idx="9">
                  <c:v>41967</c:v>
                </c:pt>
                <c:pt idx="10">
                  <c:v>41968</c:v>
                </c:pt>
                <c:pt idx="11">
                  <c:v>41969</c:v>
                </c:pt>
                <c:pt idx="12">
                  <c:v>41970</c:v>
                </c:pt>
                <c:pt idx="13">
                  <c:v>41971</c:v>
                </c:pt>
                <c:pt idx="14">
                  <c:v>41974</c:v>
                </c:pt>
                <c:pt idx="15">
                  <c:v>41975</c:v>
                </c:pt>
                <c:pt idx="16">
                  <c:v>41976</c:v>
                </c:pt>
                <c:pt idx="17">
                  <c:v>41977</c:v>
                </c:pt>
                <c:pt idx="18">
                  <c:v>41978</c:v>
                </c:pt>
                <c:pt idx="19">
                  <c:v>41981</c:v>
                </c:pt>
                <c:pt idx="20">
                  <c:v>41982</c:v>
                </c:pt>
                <c:pt idx="21">
                  <c:v>41983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2.8323086165067305E-4</c:v>
                </c:pt>
                <c:pt idx="1">
                  <c:v>2.8323086165067305E-4</c:v>
                </c:pt>
                <c:pt idx="2">
                  <c:v>2.8323086165067305E-4</c:v>
                </c:pt>
                <c:pt idx="3">
                  <c:v>2.8323086165067305E-4</c:v>
                </c:pt>
                <c:pt idx="4">
                  <c:v>2.8323086165067305E-4</c:v>
                </c:pt>
                <c:pt idx="5">
                  <c:v>2.8323086165067305E-4</c:v>
                </c:pt>
                <c:pt idx="6">
                  <c:v>2.8323086165067305E-4</c:v>
                </c:pt>
                <c:pt idx="7">
                  <c:v>2.8323086165067305E-4</c:v>
                </c:pt>
                <c:pt idx="8">
                  <c:v>2.8323086165067305E-4</c:v>
                </c:pt>
                <c:pt idx="9">
                  <c:v>2.8323086165067305E-4</c:v>
                </c:pt>
                <c:pt idx="10">
                  <c:v>2.8323086165067305E-4</c:v>
                </c:pt>
                <c:pt idx="11">
                  <c:v>2.8323086165067305E-4</c:v>
                </c:pt>
                <c:pt idx="12">
                  <c:v>2.8323086165067305E-4</c:v>
                </c:pt>
                <c:pt idx="13">
                  <c:v>2.8323086165067305E-4</c:v>
                </c:pt>
                <c:pt idx="14">
                  <c:v>2.8323086165067305E-4</c:v>
                </c:pt>
                <c:pt idx="15">
                  <c:v>2.8323086165067305E-4</c:v>
                </c:pt>
                <c:pt idx="16">
                  <c:v>2.8323086165067305E-4</c:v>
                </c:pt>
                <c:pt idx="17">
                  <c:v>2.8323086165067305E-4</c:v>
                </c:pt>
                <c:pt idx="18">
                  <c:v>2.8323086165067305E-4</c:v>
                </c:pt>
                <c:pt idx="19">
                  <c:v>2.8323086165067305E-4</c:v>
                </c:pt>
                <c:pt idx="20">
                  <c:v>2.8323086165067305E-4</c:v>
                </c:pt>
                <c:pt idx="21">
                  <c:v>2.8323086165067305E-4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41954</c:v>
                </c:pt>
                <c:pt idx="1">
                  <c:v>41955</c:v>
                </c:pt>
                <c:pt idx="2">
                  <c:v>41956</c:v>
                </c:pt>
                <c:pt idx="3">
                  <c:v>41957</c:v>
                </c:pt>
                <c:pt idx="4">
                  <c:v>41960</c:v>
                </c:pt>
                <c:pt idx="5">
                  <c:v>41961</c:v>
                </c:pt>
                <c:pt idx="6">
                  <c:v>41962</c:v>
                </c:pt>
                <c:pt idx="7">
                  <c:v>41963</c:v>
                </c:pt>
                <c:pt idx="8">
                  <c:v>41964</c:v>
                </c:pt>
                <c:pt idx="9">
                  <c:v>41967</c:v>
                </c:pt>
                <c:pt idx="10">
                  <c:v>41968</c:v>
                </c:pt>
                <c:pt idx="11">
                  <c:v>41969</c:v>
                </c:pt>
                <c:pt idx="12">
                  <c:v>41970</c:v>
                </c:pt>
                <c:pt idx="13">
                  <c:v>41971</c:v>
                </c:pt>
                <c:pt idx="14">
                  <c:v>41974</c:v>
                </c:pt>
                <c:pt idx="15">
                  <c:v>41975</c:v>
                </c:pt>
                <c:pt idx="16">
                  <c:v>41976</c:v>
                </c:pt>
                <c:pt idx="17">
                  <c:v>41977</c:v>
                </c:pt>
                <c:pt idx="18">
                  <c:v>41978</c:v>
                </c:pt>
                <c:pt idx="19">
                  <c:v>41981</c:v>
                </c:pt>
                <c:pt idx="20">
                  <c:v>41982</c:v>
                </c:pt>
                <c:pt idx="21">
                  <c:v>41983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2.5879281256192301E-4</c:v>
                </c:pt>
                <c:pt idx="1">
                  <c:v>2.6042201583450635E-4</c:v>
                </c:pt>
                <c:pt idx="2">
                  <c:v>2.6205121910708969E-4</c:v>
                </c:pt>
                <c:pt idx="3">
                  <c:v>2.6368042237967298E-4</c:v>
                </c:pt>
                <c:pt idx="4">
                  <c:v>2.6856803219742301E-4</c:v>
                </c:pt>
                <c:pt idx="5">
                  <c:v>2.7019723547000636E-4</c:v>
                </c:pt>
                <c:pt idx="6">
                  <c:v>2.7182643874258965E-4</c:v>
                </c:pt>
                <c:pt idx="7">
                  <c:v>2.7345564201517299E-4</c:v>
                </c:pt>
                <c:pt idx="8">
                  <c:v>2.7508484528775633E-4</c:v>
                </c:pt>
                <c:pt idx="9">
                  <c:v>2.7997245510550631E-4</c:v>
                </c:pt>
                <c:pt idx="10">
                  <c:v>2.8160165837808965E-4</c:v>
                </c:pt>
                <c:pt idx="11">
                  <c:v>2.83230861650673E-4</c:v>
                </c:pt>
                <c:pt idx="12">
                  <c:v>2.8486006492325634E-4</c:v>
                </c:pt>
                <c:pt idx="13">
                  <c:v>2.8648926819583968E-4</c:v>
                </c:pt>
                <c:pt idx="14">
                  <c:v>2.9137687801358966E-4</c:v>
                </c:pt>
                <c:pt idx="15">
                  <c:v>2.93006081286173E-4</c:v>
                </c:pt>
                <c:pt idx="16">
                  <c:v>2.9463528455875635E-4</c:v>
                </c:pt>
                <c:pt idx="17">
                  <c:v>2.9626448783133969E-4</c:v>
                </c:pt>
                <c:pt idx="18">
                  <c:v>2.9789369110392298E-4</c:v>
                </c:pt>
                <c:pt idx="19">
                  <c:v>3.0278130092167301E-4</c:v>
                </c:pt>
                <c:pt idx="20">
                  <c:v>3.0441050419425635E-4</c:v>
                </c:pt>
                <c:pt idx="21">
                  <c:v>3.0603970746683964E-4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41954</c:v>
                </c:pt>
                <c:pt idx="1">
                  <c:v>41955</c:v>
                </c:pt>
                <c:pt idx="2">
                  <c:v>41956</c:v>
                </c:pt>
                <c:pt idx="3">
                  <c:v>41957</c:v>
                </c:pt>
                <c:pt idx="4">
                  <c:v>41960</c:v>
                </c:pt>
                <c:pt idx="5">
                  <c:v>41961</c:v>
                </c:pt>
                <c:pt idx="6">
                  <c:v>41962</c:v>
                </c:pt>
                <c:pt idx="7">
                  <c:v>41963</c:v>
                </c:pt>
                <c:pt idx="8">
                  <c:v>41964</c:v>
                </c:pt>
                <c:pt idx="9">
                  <c:v>41967</c:v>
                </c:pt>
                <c:pt idx="10">
                  <c:v>41968</c:v>
                </c:pt>
                <c:pt idx="11">
                  <c:v>41969</c:v>
                </c:pt>
                <c:pt idx="12">
                  <c:v>41970</c:v>
                </c:pt>
                <c:pt idx="13">
                  <c:v>41971</c:v>
                </c:pt>
                <c:pt idx="14">
                  <c:v>41974</c:v>
                </c:pt>
                <c:pt idx="15">
                  <c:v>41975</c:v>
                </c:pt>
                <c:pt idx="16">
                  <c:v>41976</c:v>
                </c:pt>
                <c:pt idx="17">
                  <c:v>41977</c:v>
                </c:pt>
                <c:pt idx="18">
                  <c:v>41978</c:v>
                </c:pt>
                <c:pt idx="19">
                  <c:v>41981</c:v>
                </c:pt>
                <c:pt idx="20">
                  <c:v>41982</c:v>
                </c:pt>
                <c:pt idx="21">
                  <c:v>41983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2.6798629662119734E-4</c:v>
                </c:pt>
                <c:pt idx="1">
                  <c:v>2.6872086515467925E-4</c:v>
                </c:pt>
                <c:pt idx="2">
                  <c:v>2.6948509008835233E-4</c:v>
                </c:pt>
                <c:pt idx="3">
                  <c:v>2.7027897142221669E-4</c:v>
                </c:pt>
                <c:pt idx="4">
                  <c:v>2.7283855382495689E-4</c:v>
                </c:pt>
                <c:pt idx="5">
                  <c:v>2.7375106075958603E-4</c:v>
                </c:pt>
                <c:pt idx="6">
                  <c:v>2.746932240944064E-4</c:v>
                </c:pt>
                <c:pt idx="7">
                  <c:v>2.7566504382941798E-4</c:v>
                </c:pt>
                <c:pt idx="8">
                  <c:v>2.766665199646208E-4</c:v>
                </c:pt>
                <c:pt idx="9">
                  <c:v>2.7984888677137629E-4</c:v>
                </c:pt>
                <c:pt idx="10">
                  <c:v>2.8096898850734394E-4</c:v>
                </c:pt>
                <c:pt idx="11">
                  <c:v>2.8211874664350271E-4</c:v>
                </c:pt>
                <c:pt idx="12">
                  <c:v>2.8329816117985275E-4</c:v>
                </c:pt>
                <c:pt idx="13">
                  <c:v>2.8450723211639401E-4</c:v>
                </c:pt>
                <c:pt idx="14">
                  <c:v>2.8831238332716492E-4</c:v>
                </c:pt>
                <c:pt idx="15">
                  <c:v>2.8964007986447096E-4</c:v>
                </c:pt>
                <c:pt idx="16">
                  <c:v>2.9099743280196818E-4</c:v>
                </c:pt>
                <c:pt idx="17">
                  <c:v>2.9238444213965673E-4</c:v>
                </c:pt>
                <c:pt idx="18">
                  <c:v>2.9380110787753633E-4</c:v>
                </c:pt>
                <c:pt idx="19">
                  <c:v>2.9822904349232265E-4</c:v>
                </c:pt>
                <c:pt idx="20">
                  <c:v>2.9976433483096715E-4</c:v>
                </c:pt>
                <c:pt idx="21">
                  <c:v>3.0132928256980287E-4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85536"/>
        <c:axId val="568648064"/>
      </c:lineChart>
      <c:dateAx>
        <c:axId val="1335855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8648064"/>
        <c:crosses val="autoZero"/>
        <c:auto val="1"/>
        <c:lblOffset val="100"/>
        <c:baseTimeUnit val="days"/>
      </c:dateAx>
      <c:valAx>
        <c:axId val="5686480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33585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41954</c:v>
                </c:pt>
                <c:pt idx="1">
                  <c:v>41955</c:v>
                </c:pt>
                <c:pt idx="2">
                  <c:v>41956</c:v>
                </c:pt>
                <c:pt idx="3">
                  <c:v>41957</c:v>
                </c:pt>
                <c:pt idx="4">
                  <c:v>41960</c:v>
                </c:pt>
                <c:pt idx="5">
                  <c:v>41961</c:v>
                </c:pt>
                <c:pt idx="6">
                  <c:v>41962</c:v>
                </c:pt>
                <c:pt idx="7">
                  <c:v>41963</c:v>
                </c:pt>
                <c:pt idx="8">
                  <c:v>41964</c:v>
                </c:pt>
                <c:pt idx="9">
                  <c:v>41967</c:v>
                </c:pt>
                <c:pt idx="10">
                  <c:v>41968</c:v>
                </c:pt>
                <c:pt idx="11">
                  <c:v>41969</c:v>
                </c:pt>
                <c:pt idx="12">
                  <c:v>41970</c:v>
                </c:pt>
                <c:pt idx="13">
                  <c:v>41971</c:v>
                </c:pt>
                <c:pt idx="14">
                  <c:v>41974</c:v>
                </c:pt>
                <c:pt idx="15">
                  <c:v>41975</c:v>
                </c:pt>
                <c:pt idx="16">
                  <c:v>41976</c:v>
                </c:pt>
                <c:pt idx="17">
                  <c:v>41977</c:v>
                </c:pt>
                <c:pt idx="18">
                  <c:v>41978</c:v>
                </c:pt>
                <c:pt idx="19">
                  <c:v>41981</c:v>
                </c:pt>
                <c:pt idx="20">
                  <c:v>41982</c:v>
                </c:pt>
                <c:pt idx="21">
                  <c:v>41983</c:v>
                </c:pt>
                <c:pt idx="22">
                  <c:v>41984</c:v>
                </c:pt>
                <c:pt idx="23">
                  <c:v>41985</c:v>
                </c:pt>
                <c:pt idx="24">
                  <c:v>41988</c:v>
                </c:pt>
                <c:pt idx="25">
                  <c:v>41989</c:v>
                </c:pt>
                <c:pt idx="26">
                  <c:v>41990</c:v>
                </c:pt>
                <c:pt idx="27">
                  <c:v>41991</c:v>
                </c:pt>
                <c:pt idx="28">
                  <c:v>41992</c:v>
                </c:pt>
                <c:pt idx="29">
                  <c:v>41995</c:v>
                </c:pt>
                <c:pt idx="30">
                  <c:v>41996</c:v>
                </c:pt>
                <c:pt idx="31">
                  <c:v>41997</c:v>
                </c:pt>
                <c:pt idx="32">
                  <c:v>42002</c:v>
                </c:pt>
                <c:pt idx="33">
                  <c:v>42003</c:v>
                </c:pt>
                <c:pt idx="34">
                  <c:v>42004</c:v>
                </c:pt>
                <c:pt idx="35">
                  <c:v>42006</c:v>
                </c:pt>
                <c:pt idx="36">
                  <c:v>42009</c:v>
                </c:pt>
                <c:pt idx="37">
                  <c:v>42010</c:v>
                </c:pt>
                <c:pt idx="38">
                  <c:v>42011</c:v>
                </c:pt>
                <c:pt idx="39">
                  <c:v>42012</c:v>
                </c:pt>
                <c:pt idx="40">
                  <c:v>42013</c:v>
                </c:pt>
                <c:pt idx="41">
                  <c:v>42016</c:v>
                </c:pt>
                <c:pt idx="42">
                  <c:v>42017</c:v>
                </c:pt>
                <c:pt idx="43">
                  <c:v>42018</c:v>
                </c:pt>
                <c:pt idx="44">
                  <c:v>42019</c:v>
                </c:pt>
                <c:pt idx="45">
                  <c:v>42020</c:v>
                </c:pt>
                <c:pt idx="46">
                  <c:v>42023</c:v>
                </c:pt>
                <c:pt idx="47">
                  <c:v>42024</c:v>
                </c:pt>
                <c:pt idx="48">
                  <c:v>42025</c:v>
                </c:pt>
                <c:pt idx="49">
                  <c:v>42026</c:v>
                </c:pt>
                <c:pt idx="50">
                  <c:v>42027</c:v>
                </c:pt>
                <c:pt idx="51">
                  <c:v>42030</c:v>
                </c:pt>
                <c:pt idx="52">
                  <c:v>42031</c:v>
                </c:pt>
                <c:pt idx="53">
                  <c:v>42032</c:v>
                </c:pt>
                <c:pt idx="54">
                  <c:v>42033</c:v>
                </c:pt>
                <c:pt idx="55">
                  <c:v>42034</c:v>
                </c:pt>
                <c:pt idx="56">
                  <c:v>42037</c:v>
                </c:pt>
                <c:pt idx="57">
                  <c:v>42038</c:v>
                </c:pt>
                <c:pt idx="58">
                  <c:v>42039</c:v>
                </c:pt>
                <c:pt idx="59">
                  <c:v>42040</c:v>
                </c:pt>
                <c:pt idx="60">
                  <c:v>42041</c:v>
                </c:pt>
                <c:pt idx="61">
                  <c:v>42044</c:v>
                </c:pt>
                <c:pt idx="62">
                  <c:v>42045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1.0643861371905003E-3</c:v>
                </c:pt>
                <c:pt idx="1">
                  <c:v>1.0643861371905003E-3</c:v>
                </c:pt>
                <c:pt idx="2">
                  <c:v>1.0643861371905003E-3</c:v>
                </c:pt>
                <c:pt idx="3">
                  <c:v>1.0643861371905003E-3</c:v>
                </c:pt>
                <c:pt idx="4">
                  <c:v>1.0643861371905003E-3</c:v>
                </c:pt>
                <c:pt idx="5">
                  <c:v>1.0643861371905003E-3</c:v>
                </c:pt>
                <c:pt idx="6">
                  <c:v>1.0643861371905003E-3</c:v>
                </c:pt>
                <c:pt idx="7">
                  <c:v>1.0643861371905003E-3</c:v>
                </c:pt>
                <c:pt idx="8">
                  <c:v>1.0643861371905003E-3</c:v>
                </c:pt>
                <c:pt idx="9">
                  <c:v>1.0643861371905003E-3</c:v>
                </c:pt>
                <c:pt idx="10">
                  <c:v>1.0643861371905003E-3</c:v>
                </c:pt>
                <c:pt idx="11">
                  <c:v>1.0643861371905003E-3</c:v>
                </c:pt>
                <c:pt idx="12">
                  <c:v>1.0643861371905003E-3</c:v>
                </c:pt>
                <c:pt idx="13">
                  <c:v>1.0643861371905003E-3</c:v>
                </c:pt>
                <c:pt idx="14">
                  <c:v>1.0643861371905003E-3</c:v>
                </c:pt>
                <c:pt idx="15">
                  <c:v>1.0643861371905003E-3</c:v>
                </c:pt>
                <c:pt idx="16">
                  <c:v>1.0643861371905003E-3</c:v>
                </c:pt>
                <c:pt idx="17">
                  <c:v>1.0643861371905003E-3</c:v>
                </c:pt>
                <c:pt idx="18">
                  <c:v>1.0643861371905003E-3</c:v>
                </c:pt>
                <c:pt idx="19">
                  <c:v>1.0643861371905003E-3</c:v>
                </c:pt>
                <c:pt idx="20">
                  <c:v>1.0643861371905003E-3</c:v>
                </c:pt>
                <c:pt idx="21">
                  <c:v>1.0643861371905003E-3</c:v>
                </c:pt>
                <c:pt idx="22">
                  <c:v>1.0643861371905003E-3</c:v>
                </c:pt>
                <c:pt idx="23">
                  <c:v>1.0643861371905003E-3</c:v>
                </c:pt>
                <c:pt idx="24">
                  <c:v>1.0643861371905003E-3</c:v>
                </c:pt>
                <c:pt idx="25">
                  <c:v>1.0643861371905003E-3</c:v>
                </c:pt>
                <c:pt idx="26">
                  <c:v>1.0643861371905003E-3</c:v>
                </c:pt>
                <c:pt idx="27">
                  <c:v>1.0643861371905003E-3</c:v>
                </c:pt>
                <c:pt idx="28">
                  <c:v>1.0643861371905003E-3</c:v>
                </c:pt>
                <c:pt idx="29">
                  <c:v>1.0643861371905003E-3</c:v>
                </c:pt>
                <c:pt idx="30">
                  <c:v>1.0643861371905003E-3</c:v>
                </c:pt>
                <c:pt idx="31">
                  <c:v>1.0643861371905003E-3</c:v>
                </c:pt>
                <c:pt idx="32">
                  <c:v>1.0643861371905003E-3</c:v>
                </c:pt>
                <c:pt idx="33">
                  <c:v>1.0643861371905003E-3</c:v>
                </c:pt>
                <c:pt idx="34">
                  <c:v>1.0643861371905003E-3</c:v>
                </c:pt>
                <c:pt idx="35">
                  <c:v>1.0643861371905003E-3</c:v>
                </c:pt>
                <c:pt idx="36">
                  <c:v>1.0643861371905003E-3</c:v>
                </c:pt>
                <c:pt idx="37">
                  <c:v>1.0643861371905003E-3</c:v>
                </c:pt>
                <c:pt idx="38">
                  <c:v>1.0643861371905003E-3</c:v>
                </c:pt>
                <c:pt idx="39">
                  <c:v>1.0643861371905003E-3</c:v>
                </c:pt>
                <c:pt idx="40">
                  <c:v>1.0643861371905003E-3</c:v>
                </c:pt>
                <c:pt idx="41">
                  <c:v>1.0643861371905003E-3</c:v>
                </c:pt>
                <c:pt idx="42">
                  <c:v>1.0643861371905003E-3</c:v>
                </c:pt>
                <c:pt idx="43">
                  <c:v>1.0643861371905003E-3</c:v>
                </c:pt>
                <c:pt idx="44">
                  <c:v>1.0643861371905003E-3</c:v>
                </c:pt>
                <c:pt idx="45">
                  <c:v>1.0643861371905003E-3</c:v>
                </c:pt>
                <c:pt idx="46">
                  <c:v>1.0643861371905003E-3</c:v>
                </c:pt>
                <c:pt idx="47">
                  <c:v>1.0643861371905003E-3</c:v>
                </c:pt>
                <c:pt idx="48">
                  <c:v>1.0643861371905003E-3</c:v>
                </c:pt>
                <c:pt idx="49">
                  <c:v>1.0643861371905003E-3</c:v>
                </c:pt>
                <c:pt idx="50">
                  <c:v>1.0643861371905003E-3</c:v>
                </c:pt>
                <c:pt idx="51">
                  <c:v>1.0643861371905003E-3</c:v>
                </c:pt>
                <c:pt idx="52">
                  <c:v>1.0643861371905003E-3</c:v>
                </c:pt>
                <c:pt idx="53">
                  <c:v>1.0643861371905003E-3</c:v>
                </c:pt>
                <c:pt idx="54">
                  <c:v>1.0643861371905003E-3</c:v>
                </c:pt>
                <c:pt idx="55">
                  <c:v>1.0643861371905003E-3</c:v>
                </c:pt>
                <c:pt idx="56">
                  <c:v>1.0643861371905003E-3</c:v>
                </c:pt>
                <c:pt idx="57">
                  <c:v>1.0643861371905003E-3</c:v>
                </c:pt>
                <c:pt idx="58">
                  <c:v>1.0643861371905003E-3</c:v>
                </c:pt>
                <c:pt idx="59">
                  <c:v>1.0643861371905003E-3</c:v>
                </c:pt>
                <c:pt idx="60">
                  <c:v>1.0643861371905003E-3</c:v>
                </c:pt>
                <c:pt idx="61">
                  <c:v>1.0643861371905003E-3</c:v>
                </c:pt>
                <c:pt idx="62">
                  <c:v>1.0643861371905003E-3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41954</c:v>
                </c:pt>
                <c:pt idx="1">
                  <c:v>41955</c:v>
                </c:pt>
                <c:pt idx="2">
                  <c:v>41956</c:v>
                </c:pt>
                <c:pt idx="3">
                  <c:v>41957</c:v>
                </c:pt>
                <c:pt idx="4">
                  <c:v>41960</c:v>
                </c:pt>
                <c:pt idx="5">
                  <c:v>41961</c:v>
                </c:pt>
                <c:pt idx="6">
                  <c:v>41962</c:v>
                </c:pt>
                <c:pt idx="7">
                  <c:v>41963</c:v>
                </c:pt>
                <c:pt idx="8">
                  <c:v>41964</c:v>
                </c:pt>
                <c:pt idx="9">
                  <c:v>41967</c:v>
                </c:pt>
                <c:pt idx="10">
                  <c:v>41968</c:v>
                </c:pt>
                <c:pt idx="11">
                  <c:v>41969</c:v>
                </c:pt>
                <c:pt idx="12">
                  <c:v>41970</c:v>
                </c:pt>
                <c:pt idx="13">
                  <c:v>41971</c:v>
                </c:pt>
                <c:pt idx="14">
                  <c:v>41974</c:v>
                </c:pt>
                <c:pt idx="15">
                  <c:v>41975</c:v>
                </c:pt>
                <c:pt idx="16">
                  <c:v>41976</c:v>
                </c:pt>
                <c:pt idx="17">
                  <c:v>41977</c:v>
                </c:pt>
                <c:pt idx="18">
                  <c:v>41978</c:v>
                </c:pt>
                <c:pt idx="19">
                  <c:v>41981</c:v>
                </c:pt>
                <c:pt idx="20">
                  <c:v>41982</c:v>
                </c:pt>
                <c:pt idx="21">
                  <c:v>41983</c:v>
                </c:pt>
                <c:pt idx="22">
                  <c:v>41984</c:v>
                </c:pt>
                <c:pt idx="23">
                  <c:v>41985</c:v>
                </c:pt>
                <c:pt idx="24">
                  <c:v>41988</c:v>
                </c:pt>
                <c:pt idx="25">
                  <c:v>41989</c:v>
                </c:pt>
                <c:pt idx="26">
                  <c:v>41990</c:v>
                </c:pt>
                <c:pt idx="27">
                  <c:v>41991</c:v>
                </c:pt>
                <c:pt idx="28">
                  <c:v>41992</c:v>
                </c:pt>
                <c:pt idx="29">
                  <c:v>41995</c:v>
                </c:pt>
                <c:pt idx="30">
                  <c:v>41996</c:v>
                </c:pt>
                <c:pt idx="31">
                  <c:v>41997</c:v>
                </c:pt>
                <c:pt idx="32">
                  <c:v>42002</c:v>
                </c:pt>
                <c:pt idx="33">
                  <c:v>42003</c:v>
                </c:pt>
                <c:pt idx="34">
                  <c:v>42004</c:v>
                </c:pt>
                <c:pt idx="35">
                  <c:v>42006</c:v>
                </c:pt>
                <c:pt idx="36">
                  <c:v>42009</c:v>
                </c:pt>
                <c:pt idx="37">
                  <c:v>42010</c:v>
                </c:pt>
                <c:pt idx="38">
                  <c:v>42011</c:v>
                </c:pt>
                <c:pt idx="39">
                  <c:v>42012</c:v>
                </c:pt>
                <c:pt idx="40">
                  <c:v>42013</c:v>
                </c:pt>
                <c:pt idx="41">
                  <c:v>42016</c:v>
                </c:pt>
                <c:pt idx="42">
                  <c:v>42017</c:v>
                </c:pt>
                <c:pt idx="43">
                  <c:v>42018</c:v>
                </c:pt>
                <c:pt idx="44">
                  <c:v>42019</c:v>
                </c:pt>
                <c:pt idx="45">
                  <c:v>42020</c:v>
                </c:pt>
                <c:pt idx="46">
                  <c:v>42023</c:v>
                </c:pt>
                <c:pt idx="47">
                  <c:v>42024</c:v>
                </c:pt>
                <c:pt idx="48">
                  <c:v>42025</c:v>
                </c:pt>
                <c:pt idx="49">
                  <c:v>42026</c:v>
                </c:pt>
                <c:pt idx="50">
                  <c:v>42027</c:v>
                </c:pt>
                <c:pt idx="51">
                  <c:v>42030</c:v>
                </c:pt>
                <c:pt idx="52">
                  <c:v>42031</c:v>
                </c:pt>
                <c:pt idx="53">
                  <c:v>42032</c:v>
                </c:pt>
                <c:pt idx="54">
                  <c:v>42033</c:v>
                </c:pt>
                <c:pt idx="55">
                  <c:v>42034</c:v>
                </c:pt>
                <c:pt idx="56">
                  <c:v>42037</c:v>
                </c:pt>
                <c:pt idx="57">
                  <c:v>42038</c:v>
                </c:pt>
                <c:pt idx="58">
                  <c:v>42039</c:v>
                </c:pt>
                <c:pt idx="59">
                  <c:v>42040</c:v>
                </c:pt>
                <c:pt idx="60">
                  <c:v>42041</c:v>
                </c:pt>
                <c:pt idx="61">
                  <c:v>42044</c:v>
                </c:pt>
                <c:pt idx="62">
                  <c:v>42045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8.9686271618956426E-4</c:v>
                </c:pt>
                <c:pt idx="1">
                  <c:v>9.0050452968958462E-4</c:v>
                </c:pt>
                <c:pt idx="2">
                  <c:v>9.0414634318960498E-4</c:v>
                </c:pt>
                <c:pt idx="3">
                  <c:v>9.0778815668962533E-4</c:v>
                </c:pt>
                <c:pt idx="4">
                  <c:v>9.1871359718968641E-4</c:v>
                </c:pt>
                <c:pt idx="5">
                  <c:v>9.2235541068970677E-4</c:v>
                </c:pt>
                <c:pt idx="6">
                  <c:v>9.2599722418972713E-4</c:v>
                </c:pt>
                <c:pt idx="7">
                  <c:v>9.2963903768974749E-4</c:v>
                </c:pt>
                <c:pt idx="8">
                  <c:v>9.3328085118976785E-4</c:v>
                </c:pt>
                <c:pt idx="9">
                  <c:v>9.4420629168982893E-4</c:v>
                </c:pt>
                <c:pt idx="10">
                  <c:v>9.4784810518984929E-4</c:v>
                </c:pt>
                <c:pt idx="11">
                  <c:v>9.5148991868986964E-4</c:v>
                </c:pt>
                <c:pt idx="12">
                  <c:v>9.5513173218989E-4</c:v>
                </c:pt>
                <c:pt idx="13">
                  <c:v>9.5877354568991036E-4</c:v>
                </c:pt>
                <c:pt idx="14">
                  <c:v>9.6969898618997144E-4</c:v>
                </c:pt>
                <c:pt idx="15">
                  <c:v>9.733407996899918E-4</c:v>
                </c:pt>
                <c:pt idx="16">
                  <c:v>9.7698261319001216E-4</c:v>
                </c:pt>
                <c:pt idx="17">
                  <c:v>9.8062442669003252E-4</c:v>
                </c:pt>
                <c:pt idx="18">
                  <c:v>9.8426624019005288E-4</c:v>
                </c:pt>
                <c:pt idx="19">
                  <c:v>9.9519168069011395E-4</c:v>
                </c:pt>
                <c:pt idx="20">
                  <c:v>9.9883349419013431E-4</c:v>
                </c:pt>
                <c:pt idx="21">
                  <c:v>1.0024753076901547E-3</c:v>
                </c:pt>
                <c:pt idx="22">
                  <c:v>1.006117121190175E-3</c:v>
                </c:pt>
                <c:pt idx="23">
                  <c:v>1.0097589346901954E-3</c:v>
                </c:pt>
                <c:pt idx="24">
                  <c:v>1.0206843751902565E-3</c:v>
                </c:pt>
                <c:pt idx="25">
                  <c:v>1.0243261886902768E-3</c:v>
                </c:pt>
                <c:pt idx="26">
                  <c:v>1.0279680021902972E-3</c:v>
                </c:pt>
                <c:pt idx="27">
                  <c:v>1.0316098156903175E-3</c:v>
                </c:pt>
                <c:pt idx="28">
                  <c:v>1.0352516291903379E-3</c:v>
                </c:pt>
                <c:pt idx="29">
                  <c:v>1.046177069690399E-3</c:v>
                </c:pt>
                <c:pt idx="30">
                  <c:v>1.0498188831904193E-3</c:v>
                </c:pt>
                <c:pt idx="31">
                  <c:v>1.0534606966904397E-3</c:v>
                </c:pt>
                <c:pt idx="32">
                  <c:v>1.0716697641905413E-3</c:v>
                </c:pt>
                <c:pt idx="33">
                  <c:v>1.0753115776905619E-3</c:v>
                </c:pt>
                <c:pt idx="34">
                  <c:v>1.078953391190582E-3</c:v>
                </c:pt>
                <c:pt idx="35">
                  <c:v>1.0862370181906227E-3</c:v>
                </c:pt>
                <c:pt idx="36">
                  <c:v>1.0971624586906838E-3</c:v>
                </c:pt>
                <c:pt idx="37">
                  <c:v>1.1008042721907042E-3</c:v>
                </c:pt>
                <c:pt idx="38">
                  <c:v>1.1044460856907245E-3</c:v>
                </c:pt>
                <c:pt idx="39">
                  <c:v>1.1080878991907451E-3</c:v>
                </c:pt>
                <c:pt idx="40">
                  <c:v>1.1117297126907652E-3</c:v>
                </c:pt>
                <c:pt idx="41">
                  <c:v>1.1226551531908263E-3</c:v>
                </c:pt>
                <c:pt idx="42">
                  <c:v>1.1262969666908467E-3</c:v>
                </c:pt>
                <c:pt idx="43">
                  <c:v>1.129938780190867E-3</c:v>
                </c:pt>
                <c:pt idx="44">
                  <c:v>1.1335805936908874E-3</c:v>
                </c:pt>
                <c:pt idx="45">
                  <c:v>1.1372224071909077E-3</c:v>
                </c:pt>
                <c:pt idx="46">
                  <c:v>1.1481478476909688E-3</c:v>
                </c:pt>
                <c:pt idx="47">
                  <c:v>1.1517896611909892E-3</c:v>
                </c:pt>
                <c:pt idx="48">
                  <c:v>1.1554314746910095E-3</c:v>
                </c:pt>
                <c:pt idx="49">
                  <c:v>1.1590732881910299E-3</c:v>
                </c:pt>
                <c:pt idx="50">
                  <c:v>1.1627151016910503E-3</c:v>
                </c:pt>
                <c:pt idx="51">
                  <c:v>1.1736405421911113E-3</c:v>
                </c:pt>
                <c:pt idx="52">
                  <c:v>1.1772823556911317E-3</c:v>
                </c:pt>
                <c:pt idx="53">
                  <c:v>1.1809241691911521E-3</c:v>
                </c:pt>
                <c:pt idx="54">
                  <c:v>1.1845659826911724E-3</c:v>
                </c:pt>
                <c:pt idx="55">
                  <c:v>1.1882077961911928E-3</c:v>
                </c:pt>
                <c:pt idx="56">
                  <c:v>1.1991332366912538E-3</c:v>
                </c:pt>
                <c:pt idx="57">
                  <c:v>1.2027750501912742E-3</c:v>
                </c:pt>
                <c:pt idx="58">
                  <c:v>1.2064168636912946E-3</c:v>
                </c:pt>
                <c:pt idx="59">
                  <c:v>1.2100586771913149E-3</c:v>
                </c:pt>
                <c:pt idx="60">
                  <c:v>1.2137004906913353E-3</c:v>
                </c:pt>
                <c:pt idx="61">
                  <c:v>1.2246259311913964E-3</c:v>
                </c:pt>
                <c:pt idx="62">
                  <c:v>1.2282677446914167E-3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41954</c:v>
                </c:pt>
                <c:pt idx="1">
                  <c:v>41955</c:v>
                </c:pt>
                <c:pt idx="2">
                  <c:v>41956</c:v>
                </c:pt>
                <c:pt idx="3">
                  <c:v>41957</c:v>
                </c:pt>
                <c:pt idx="4">
                  <c:v>41960</c:v>
                </c:pt>
                <c:pt idx="5">
                  <c:v>41961</c:v>
                </c:pt>
                <c:pt idx="6">
                  <c:v>41962</c:v>
                </c:pt>
                <c:pt idx="7">
                  <c:v>41963</c:v>
                </c:pt>
                <c:pt idx="8">
                  <c:v>41964</c:v>
                </c:pt>
                <c:pt idx="9">
                  <c:v>41967</c:v>
                </c:pt>
                <c:pt idx="10">
                  <c:v>41968</c:v>
                </c:pt>
                <c:pt idx="11">
                  <c:v>41969</c:v>
                </c:pt>
                <c:pt idx="12">
                  <c:v>41970</c:v>
                </c:pt>
                <c:pt idx="13">
                  <c:v>41971</c:v>
                </c:pt>
                <c:pt idx="14">
                  <c:v>41974</c:v>
                </c:pt>
                <c:pt idx="15">
                  <c:v>41975</c:v>
                </c:pt>
                <c:pt idx="16">
                  <c:v>41976</c:v>
                </c:pt>
                <c:pt idx="17">
                  <c:v>41977</c:v>
                </c:pt>
                <c:pt idx="18">
                  <c:v>41978</c:v>
                </c:pt>
                <c:pt idx="19">
                  <c:v>41981</c:v>
                </c:pt>
                <c:pt idx="20">
                  <c:v>41982</c:v>
                </c:pt>
                <c:pt idx="21">
                  <c:v>41983</c:v>
                </c:pt>
                <c:pt idx="22">
                  <c:v>41984</c:v>
                </c:pt>
                <c:pt idx="23">
                  <c:v>41985</c:v>
                </c:pt>
                <c:pt idx="24">
                  <c:v>41988</c:v>
                </c:pt>
                <c:pt idx="25">
                  <c:v>41989</c:v>
                </c:pt>
                <c:pt idx="26">
                  <c:v>41990</c:v>
                </c:pt>
                <c:pt idx="27">
                  <c:v>41991</c:v>
                </c:pt>
                <c:pt idx="28">
                  <c:v>41992</c:v>
                </c:pt>
                <c:pt idx="29">
                  <c:v>41995</c:v>
                </c:pt>
                <c:pt idx="30">
                  <c:v>41996</c:v>
                </c:pt>
                <c:pt idx="31">
                  <c:v>41997</c:v>
                </c:pt>
                <c:pt idx="32">
                  <c:v>42002</c:v>
                </c:pt>
                <c:pt idx="33">
                  <c:v>42003</c:v>
                </c:pt>
                <c:pt idx="34">
                  <c:v>42004</c:v>
                </c:pt>
                <c:pt idx="35">
                  <c:v>42006</c:v>
                </c:pt>
                <c:pt idx="36">
                  <c:v>42009</c:v>
                </c:pt>
                <c:pt idx="37">
                  <c:v>42010</c:v>
                </c:pt>
                <c:pt idx="38">
                  <c:v>42011</c:v>
                </c:pt>
                <c:pt idx="39">
                  <c:v>42012</c:v>
                </c:pt>
                <c:pt idx="40">
                  <c:v>42013</c:v>
                </c:pt>
                <c:pt idx="41">
                  <c:v>42016</c:v>
                </c:pt>
                <c:pt idx="42">
                  <c:v>42017</c:v>
                </c:pt>
                <c:pt idx="43">
                  <c:v>42018</c:v>
                </c:pt>
                <c:pt idx="44">
                  <c:v>42019</c:v>
                </c:pt>
                <c:pt idx="45">
                  <c:v>42020</c:v>
                </c:pt>
                <c:pt idx="46">
                  <c:v>42023</c:v>
                </c:pt>
                <c:pt idx="47">
                  <c:v>42024</c:v>
                </c:pt>
                <c:pt idx="48">
                  <c:v>42025</c:v>
                </c:pt>
                <c:pt idx="49">
                  <c:v>42026</c:v>
                </c:pt>
                <c:pt idx="50">
                  <c:v>42027</c:v>
                </c:pt>
                <c:pt idx="51">
                  <c:v>42030</c:v>
                </c:pt>
                <c:pt idx="52">
                  <c:v>42031</c:v>
                </c:pt>
                <c:pt idx="53">
                  <c:v>42032</c:v>
                </c:pt>
                <c:pt idx="54">
                  <c:v>42033</c:v>
                </c:pt>
                <c:pt idx="55">
                  <c:v>42034</c:v>
                </c:pt>
                <c:pt idx="56">
                  <c:v>42037</c:v>
                </c:pt>
                <c:pt idx="57">
                  <c:v>42038</c:v>
                </c:pt>
                <c:pt idx="58">
                  <c:v>42039</c:v>
                </c:pt>
                <c:pt idx="59">
                  <c:v>42040</c:v>
                </c:pt>
                <c:pt idx="60">
                  <c:v>42041</c:v>
                </c:pt>
                <c:pt idx="61">
                  <c:v>42044</c:v>
                </c:pt>
                <c:pt idx="62">
                  <c:v>42045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8.9486297380154088E-4</c:v>
                </c:pt>
                <c:pt idx="1">
                  <c:v>8.9861609230329346E-4</c:v>
                </c:pt>
                <c:pt idx="2">
                  <c:v>9.0236696221915249E-4</c:v>
                </c:pt>
                <c:pt idx="3">
                  <c:v>9.0611558354911797E-4</c:v>
                </c:pt>
                <c:pt idx="4">
                  <c:v>9.1734795602365282E-4</c:v>
                </c:pt>
                <c:pt idx="5">
                  <c:v>9.210875830100439E-4</c:v>
                </c:pt>
                <c:pt idx="6">
                  <c:v>9.2482496141054144E-4</c:v>
                </c:pt>
                <c:pt idx="7">
                  <c:v>9.2856009122514543E-4</c:v>
                </c:pt>
                <c:pt idx="8">
                  <c:v>9.3229297245385576E-4</c:v>
                </c:pt>
                <c:pt idx="9">
                  <c:v>9.4347812462462549E-4</c:v>
                </c:pt>
                <c:pt idx="10">
                  <c:v>9.4720201150976164E-4</c:v>
                </c:pt>
                <c:pt idx="11">
                  <c:v>9.5092364980900413E-4</c:v>
                </c:pt>
                <c:pt idx="12">
                  <c:v>9.5464303952235297E-4</c:v>
                </c:pt>
                <c:pt idx="13">
                  <c:v>9.5836018064980827E-4</c:v>
                </c:pt>
                <c:pt idx="14">
                  <c:v>9.6949811251681288E-4</c:v>
                </c:pt>
                <c:pt idx="15">
                  <c:v>9.7320625930069388E-4</c:v>
                </c:pt>
                <c:pt idx="16">
                  <c:v>9.7691215749868133E-4</c:v>
                </c:pt>
                <c:pt idx="17">
                  <c:v>9.8061580711077513E-4</c:v>
                </c:pt>
                <c:pt idx="18">
                  <c:v>9.843172081369755E-4</c:v>
                </c:pt>
                <c:pt idx="19">
                  <c:v>9.9540791970021488E-4</c:v>
                </c:pt>
                <c:pt idx="20">
                  <c:v>9.9910032638284084E-4</c:v>
                </c:pt>
                <c:pt idx="21">
                  <c:v>1.0027904844795734E-3</c:v>
                </c:pt>
                <c:pt idx="22">
                  <c:v>1.006478393990412E-3</c:v>
                </c:pt>
                <c:pt idx="23">
                  <c:v>1.0101640549153572E-3</c:v>
                </c:pt>
                <c:pt idx="24">
                  <c:v>1.0212075461748314E-3</c:v>
                </c:pt>
                <c:pt idx="25">
                  <c:v>1.0248842127562024E-3</c:v>
                </c:pt>
                <c:pt idx="26">
                  <c:v>1.0285586307516798E-3</c:v>
                </c:pt>
                <c:pt idx="27">
                  <c:v>1.0322308001612635E-3</c:v>
                </c:pt>
                <c:pt idx="28">
                  <c:v>1.0359007209849536E-3</c:v>
                </c:pt>
                <c:pt idx="29">
                  <c:v>1.0468969919406627E-3</c:v>
                </c:pt>
                <c:pt idx="30">
                  <c:v>1.0505579184207786E-3</c:v>
                </c:pt>
                <c:pt idx="31">
                  <c:v>1.054216596315001E-3</c:v>
                </c:pt>
                <c:pt idx="32">
                  <c:v>1.0724762569977086E-3</c:v>
                </c:pt>
                <c:pt idx="33">
                  <c:v>1.0761214433765694E-3</c:v>
                </c:pt>
                <c:pt idx="34">
                  <c:v>1.0797643811695367E-3</c:v>
                </c:pt>
                <c:pt idx="35">
                  <c:v>1.0870435109977905E-3</c:v>
                </c:pt>
                <c:pt idx="36">
                  <c:v>1.0979453413459692E-3</c:v>
                </c:pt>
                <c:pt idx="37">
                  <c:v>1.101574787623575E-3</c:v>
                </c:pt>
                <c:pt idx="38">
                  <c:v>1.1052019853152871E-3</c:v>
                </c:pt>
                <c:pt idx="39">
                  <c:v>1.1088269344211059E-3</c:v>
                </c:pt>
                <c:pt idx="40">
                  <c:v>1.1124496349410307E-3</c:v>
                </c:pt>
                <c:pt idx="41">
                  <c:v>1.1233042449854444E-3</c:v>
                </c:pt>
                <c:pt idx="42">
                  <c:v>1.126917951161795E-3</c:v>
                </c:pt>
                <c:pt idx="43">
                  <c:v>1.1305294087522522E-3</c:v>
                </c:pt>
                <c:pt idx="44">
                  <c:v>1.1341386177568158E-3</c:v>
                </c:pt>
                <c:pt idx="45">
                  <c:v>1.1377455781754859E-3</c:v>
                </c:pt>
                <c:pt idx="46">
                  <c:v>1.1485529679161343E-3</c:v>
                </c:pt>
                <c:pt idx="47">
                  <c:v>1.1521509339912298E-3</c:v>
                </c:pt>
                <c:pt idx="48">
                  <c:v>1.1557466514804321E-3</c:v>
                </c:pt>
                <c:pt idx="49">
                  <c:v>1.1593401203837403E-3</c:v>
                </c:pt>
                <c:pt idx="50">
                  <c:v>1.1629313407011553E-3</c:v>
                </c:pt>
                <c:pt idx="51">
                  <c:v>1.1736915101380387E-3</c:v>
                </c:pt>
                <c:pt idx="52">
                  <c:v>1.1772737361118793E-3</c:v>
                </c:pt>
                <c:pt idx="53">
                  <c:v>1.1808537134998264E-3</c:v>
                </c:pt>
                <c:pt idx="54">
                  <c:v>1.1844314423018799E-3</c:v>
                </c:pt>
                <c:pt idx="55">
                  <c:v>1.1880069225180397E-3</c:v>
                </c:pt>
                <c:pt idx="56">
                  <c:v>1.1987198716511577E-3</c:v>
                </c:pt>
                <c:pt idx="57">
                  <c:v>1.2022863575237434E-3</c:v>
                </c:pt>
                <c:pt idx="58">
                  <c:v>1.2058505948104353E-3</c:v>
                </c:pt>
                <c:pt idx="59">
                  <c:v>1.2094125835112337E-3</c:v>
                </c:pt>
                <c:pt idx="60">
                  <c:v>1.2129723236261386E-3</c:v>
                </c:pt>
                <c:pt idx="61">
                  <c:v>1.2236380524554915E-3</c:v>
                </c:pt>
                <c:pt idx="62">
                  <c:v>1.227188798226822E-3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419520"/>
        <c:axId val="577421312"/>
      </c:lineChart>
      <c:dateAx>
        <c:axId val="5774195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7421312"/>
        <c:crosses val="autoZero"/>
        <c:auto val="1"/>
        <c:lblOffset val="100"/>
        <c:baseTimeUnit val="days"/>
      </c:dateAx>
      <c:valAx>
        <c:axId val="5774213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7419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41954</c:v>
                </c:pt>
                <c:pt idx="1">
                  <c:v>41955</c:v>
                </c:pt>
                <c:pt idx="2">
                  <c:v>41956</c:v>
                </c:pt>
                <c:pt idx="3">
                  <c:v>41957</c:v>
                </c:pt>
                <c:pt idx="4">
                  <c:v>41960</c:v>
                </c:pt>
                <c:pt idx="5">
                  <c:v>41961</c:v>
                </c:pt>
                <c:pt idx="6">
                  <c:v>41962</c:v>
                </c:pt>
                <c:pt idx="7">
                  <c:v>41963</c:v>
                </c:pt>
                <c:pt idx="8">
                  <c:v>41964</c:v>
                </c:pt>
                <c:pt idx="9">
                  <c:v>41967</c:v>
                </c:pt>
                <c:pt idx="10">
                  <c:v>41968</c:v>
                </c:pt>
                <c:pt idx="11">
                  <c:v>41969</c:v>
                </c:pt>
                <c:pt idx="12">
                  <c:v>41970</c:v>
                </c:pt>
                <c:pt idx="13">
                  <c:v>41971</c:v>
                </c:pt>
                <c:pt idx="14">
                  <c:v>41974</c:v>
                </c:pt>
                <c:pt idx="15">
                  <c:v>41975</c:v>
                </c:pt>
                <c:pt idx="16">
                  <c:v>41976</c:v>
                </c:pt>
                <c:pt idx="17">
                  <c:v>41977</c:v>
                </c:pt>
                <c:pt idx="18">
                  <c:v>41978</c:v>
                </c:pt>
                <c:pt idx="19">
                  <c:v>41981</c:v>
                </c:pt>
                <c:pt idx="20">
                  <c:v>41982</c:v>
                </c:pt>
                <c:pt idx="21">
                  <c:v>41983</c:v>
                </c:pt>
                <c:pt idx="22">
                  <c:v>41984</c:v>
                </c:pt>
                <c:pt idx="23">
                  <c:v>41985</c:v>
                </c:pt>
                <c:pt idx="24">
                  <c:v>41988</c:v>
                </c:pt>
                <c:pt idx="25">
                  <c:v>41989</c:v>
                </c:pt>
                <c:pt idx="26">
                  <c:v>41990</c:v>
                </c:pt>
                <c:pt idx="27">
                  <c:v>41991</c:v>
                </c:pt>
                <c:pt idx="28">
                  <c:v>41992</c:v>
                </c:pt>
                <c:pt idx="29">
                  <c:v>41995</c:v>
                </c:pt>
                <c:pt idx="30">
                  <c:v>41996</c:v>
                </c:pt>
                <c:pt idx="31">
                  <c:v>41997</c:v>
                </c:pt>
                <c:pt idx="32">
                  <c:v>42002</c:v>
                </c:pt>
                <c:pt idx="33">
                  <c:v>42003</c:v>
                </c:pt>
                <c:pt idx="34">
                  <c:v>42004</c:v>
                </c:pt>
                <c:pt idx="35">
                  <c:v>42006</c:v>
                </c:pt>
                <c:pt idx="36">
                  <c:v>42009</c:v>
                </c:pt>
                <c:pt idx="37">
                  <c:v>42010</c:v>
                </c:pt>
                <c:pt idx="38">
                  <c:v>42011</c:v>
                </c:pt>
                <c:pt idx="39">
                  <c:v>42012</c:v>
                </c:pt>
                <c:pt idx="40">
                  <c:v>42013</c:v>
                </c:pt>
                <c:pt idx="41">
                  <c:v>42016</c:v>
                </c:pt>
                <c:pt idx="42">
                  <c:v>42017</c:v>
                </c:pt>
                <c:pt idx="43">
                  <c:v>42018</c:v>
                </c:pt>
                <c:pt idx="44">
                  <c:v>42019</c:v>
                </c:pt>
                <c:pt idx="45">
                  <c:v>42020</c:v>
                </c:pt>
                <c:pt idx="46">
                  <c:v>42023</c:v>
                </c:pt>
                <c:pt idx="47">
                  <c:v>42024</c:v>
                </c:pt>
                <c:pt idx="48">
                  <c:v>42025</c:v>
                </c:pt>
                <c:pt idx="49">
                  <c:v>42026</c:v>
                </c:pt>
                <c:pt idx="50">
                  <c:v>42027</c:v>
                </c:pt>
                <c:pt idx="51">
                  <c:v>42030</c:v>
                </c:pt>
                <c:pt idx="52">
                  <c:v>42031</c:v>
                </c:pt>
                <c:pt idx="53">
                  <c:v>42032</c:v>
                </c:pt>
                <c:pt idx="54">
                  <c:v>42033</c:v>
                </c:pt>
                <c:pt idx="55">
                  <c:v>42034</c:v>
                </c:pt>
                <c:pt idx="56">
                  <c:v>42037</c:v>
                </c:pt>
                <c:pt idx="57">
                  <c:v>42038</c:v>
                </c:pt>
                <c:pt idx="58">
                  <c:v>42039</c:v>
                </c:pt>
                <c:pt idx="59">
                  <c:v>42040</c:v>
                </c:pt>
                <c:pt idx="60">
                  <c:v>42041</c:v>
                </c:pt>
                <c:pt idx="61">
                  <c:v>42044</c:v>
                </c:pt>
                <c:pt idx="62">
                  <c:v>42045</c:v>
                </c:pt>
                <c:pt idx="63">
                  <c:v>42046</c:v>
                </c:pt>
                <c:pt idx="64">
                  <c:v>42047</c:v>
                </c:pt>
                <c:pt idx="65">
                  <c:v>42048</c:v>
                </c:pt>
                <c:pt idx="66">
                  <c:v>42051</c:v>
                </c:pt>
                <c:pt idx="67">
                  <c:v>42052</c:v>
                </c:pt>
                <c:pt idx="68">
                  <c:v>42053</c:v>
                </c:pt>
                <c:pt idx="69">
                  <c:v>42054</c:v>
                </c:pt>
                <c:pt idx="70">
                  <c:v>42055</c:v>
                </c:pt>
                <c:pt idx="71">
                  <c:v>42058</c:v>
                </c:pt>
                <c:pt idx="72">
                  <c:v>42059</c:v>
                </c:pt>
                <c:pt idx="73">
                  <c:v>42060</c:v>
                </c:pt>
                <c:pt idx="74">
                  <c:v>42061</c:v>
                </c:pt>
                <c:pt idx="75">
                  <c:v>42062</c:v>
                </c:pt>
                <c:pt idx="76">
                  <c:v>42065</c:v>
                </c:pt>
                <c:pt idx="77">
                  <c:v>42066</c:v>
                </c:pt>
                <c:pt idx="78">
                  <c:v>42067</c:v>
                </c:pt>
                <c:pt idx="79">
                  <c:v>42068</c:v>
                </c:pt>
                <c:pt idx="80">
                  <c:v>42069</c:v>
                </c:pt>
                <c:pt idx="81">
                  <c:v>42072</c:v>
                </c:pt>
                <c:pt idx="82">
                  <c:v>42073</c:v>
                </c:pt>
                <c:pt idx="83">
                  <c:v>42074</c:v>
                </c:pt>
                <c:pt idx="84">
                  <c:v>42075</c:v>
                </c:pt>
                <c:pt idx="85">
                  <c:v>42076</c:v>
                </c:pt>
                <c:pt idx="86">
                  <c:v>42079</c:v>
                </c:pt>
                <c:pt idx="87">
                  <c:v>42080</c:v>
                </c:pt>
                <c:pt idx="88">
                  <c:v>42081</c:v>
                </c:pt>
                <c:pt idx="89">
                  <c:v>42082</c:v>
                </c:pt>
                <c:pt idx="90">
                  <c:v>42083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42093</c:v>
                </c:pt>
                <c:pt idx="97">
                  <c:v>42094</c:v>
                </c:pt>
                <c:pt idx="98">
                  <c:v>42095</c:v>
                </c:pt>
                <c:pt idx="99">
                  <c:v>42096</c:v>
                </c:pt>
                <c:pt idx="100">
                  <c:v>42101</c:v>
                </c:pt>
                <c:pt idx="101">
                  <c:v>42102</c:v>
                </c:pt>
                <c:pt idx="102">
                  <c:v>42103</c:v>
                </c:pt>
                <c:pt idx="103">
                  <c:v>42104</c:v>
                </c:pt>
                <c:pt idx="104">
                  <c:v>42107</c:v>
                </c:pt>
                <c:pt idx="105">
                  <c:v>42108</c:v>
                </c:pt>
                <c:pt idx="106">
                  <c:v>42109</c:v>
                </c:pt>
                <c:pt idx="107">
                  <c:v>42110</c:v>
                </c:pt>
                <c:pt idx="108">
                  <c:v>42111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42121</c:v>
                </c:pt>
                <c:pt idx="115">
                  <c:v>42122</c:v>
                </c:pt>
                <c:pt idx="116">
                  <c:v>42123</c:v>
                </c:pt>
                <c:pt idx="117">
                  <c:v>42124</c:v>
                </c:pt>
                <c:pt idx="118">
                  <c:v>42128</c:v>
                </c:pt>
                <c:pt idx="119">
                  <c:v>42129</c:v>
                </c:pt>
                <c:pt idx="120">
                  <c:v>42130</c:v>
                </c:pt>
                <c:pt idx="121">
                  <c:v>42131</c:v>
                </c:pt>
                <c:pt idx="122">
                  <c:v>42132</c:v>
                </c:pt>
                <c:pt idx="123">
                  <c:v>42135</c:v>
                </c:pt>
                <c:pt idx="124">
                  <c:v>42136</c:v>
                </c:pt>
                <c:pt idx="125">
                  <c:v>42137</c:v>
                </c:pt>
                <c:pt idx="126">
                  <c:v>42138</c:v>
                </c:pt>
                <c:pt idx="127">
                  <c:v>42139</c:v>
                </c:pt>
                <c:pt idx="128">
                  <c:v>42142</c:v>
                </c:pt>
                <c:pt idx="129">
                  <c:v>42143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2.236821855019167E-3</c:v>
                </c:pt>
                <c:pt idx="1">
                  <c:v>2.236821855019167E-3</c:v>
                </c:pt>
                <c:pt idx="2">
                  <c:v>2.236821855019167E-3</c:v>
                </c:pt>
                <c:pt idx="3">
                  <c:v>2.236821855019167E-3</c:v>
                </c:pt>
                <c:pt idx="4">
                  <c:v>2.236821855019167E-3</c:v>
                </c:pt>
                <c:pt idx="5">
                  <c:v>2.236821855019167E-3</c:v>
                </c:pt>
                <c:pt idx="6">
                  <c:v>2.236821855019167E-3</c:v>
                </c:pt>
                <c:pt idx="7">
                  <c:v>2.236821855019167E-3</c:v>
                </c:pt>
                <c:pt idx="8">
                  <c:v>2.236821855019167E-3</c:v>
                </c:pt>
                <c:pt idx="9">
                  <c:v>2.236821855019167E-3</c:v>
                </c:pt>
                <c:pt idx="10">
                  <c:v>2.236821855019167E-3</c:v>
                </c:pt>
                <c:pt idx="11">
                  <c:v>2.236821855019167E-3</c:v>
                </c:pt>
                <c:pt idx="12">
                  <c:v>2.236821855019167E-3</c:v>
                </c:pt>
                <c:pt idx="13">
                  <c:v>2.236821855019167E-3</c:v>
                </c:pt>
                <c:pt idx="14">
                  <c:v>2.236821855019167E-3</c:v>
                </c:pt>
                <c:pt idx="15">
                  <c:v>2.236821855019167E-3</c:v>
                </c:pt>
                <c:pt idx="16">
                  <c:v>2.236821855019167E-3</c:v>
                </c:pt>
                <c:pt idx="17">
                  <c:v>2.236821855019167E-3</c:v>
                </c:pt>
                <c:pt idx="18">
                  <c:v>2.236821855019167E-3</c:v>
                </c:pt>
                <c:pt idx="19">
                  <c:v>2.236821855019167E-3</c:v>
                </c:pt>
                <c:pt idx="20">
                  <c:v>2.236821855019167E-3</c:v>
                </c:pt>
                <c:pt idx="21">
                  <c:v>2.236821855019167E-3</c:v>
                </c:pt>
                <c:pt idx="22">
                  <c:v>2.236821855019167E-3</c:v>
                </c:pt>
                <c:pt idx="23">
                  <c:v>2.236821855019167E-3</c:v>
                </c:pt>
                <c:pt idx="24">
                  <c:v>2.236821855019167E-3</c:v>
                </c:pt>
                <c:pt idx="25">
                  <c:v>2.236821855019167E-3</c:v>
                </c:pt>
                <c:pt idx="26">
                  <c:v>2.236821855019167E-3</c:v>
                </c:pt>
                <c:pt idx="27">
                  <c:v>2.236821855019167E-3</c:v>
                </c:pt>
                <c:pt idx="28">
                  <c:v>2.236821855019167E-3</c:v>
                </c:pt>
                <c:pt idx="29">
                  <c:v>2.236821855019167E-3</c:v>
                </c:pt>
                <c:pt idx="30">
                  <c:v>2.236821855019167E-3</c:v>
                </c:pt>
                <c:pt idx="31">
                  <c:v>2.236821855019167E-3</c:v>
                </c:pt>
                <c:pt idx="32">
                  <c:v>2.236821855019167E-3</c:v>
                </c:pt>
                <c:pt idx="33">
                  <c:v>2.236821855019167E-3</c:v>
                </c:pt>
                <c:pt idx="34">
                  <c:v>2.236821855019167E-3</c:v>
                </c:pt>
                <c:pt idx="35">
                  <c:v>2.236821855019167E-3</c:v>
                </c:pt>
                <c:pt idx="36">
                  <c:v>2.236821855019167E-3</c:v>
                </c:pt>
                <c:pt idx="37">
                  <c:v>2.236821855019167E-3</c:v>
                </c:pt>
                <c:pt idx="38">
                  <c:v>2.236821855019167E-3</c:v>
                </c:pt>
                <c:pt idx="39">
                  <c:v>2.236821855019167E-3</c:v>
                </c:pt>
                <c:pt idx="40">
                  <c:v>2.236821855019167E-3</c:v>
                </c:pt>
                <c:pt idx="41">
                  <c:v>2.236821855019167E-3</c:v>
                </c:pt>
                <c:pt idx="42">
                  <c:v>2.236821855019167E-3</c:v>
                </c:pt>
                <c:pt idx="43">
                  <c:v>2.236821855019167E-3</c:v>
                </c:pt>
                <c:pt idx="44">
                  <c:v>2.236821855019167E-3</c:v>
                </c:pt>
                <c:pt idx="45">
                  <c:v>2.236821855019167E-3</c:v>
                </c:pt>
                <c:pt idx="46">
                  <c:v>2.236821855019167E-3</c:v>
                </c:pt>
                <c:pt idx="47">
                  <c:v>2.236821855019167E-3</c:v>
                </c:pt>
                <c:pt idx="48">
                  <c:v>2.236821855019167E-3</c:v>
                </c:pt>
                <c:pt idx="49">
                  <c:v>2.236821855019167E-3</c:v>
                </c:pt>
                <c:pt idx="50">
                  <c:v>2.236821855019167E-3</c:v>
                </c:pt>
                <c:pt idx="51">
                  <c:v>2.236821855019167E-3</c:v>
                </c:pt>
                <c:pt idx="52">
                  <c:v>2.236821855019167E-3</c:v>
                </c:pt>
                <c:pt idx="53">
                  <c:v>2.236821855019167E-3</c:v>
                </c:pt>
                <c:pt idx="54">
                  <c:v>2.236821855019167E-3</c:v>
                </c:pt>
                <c:pt idx="55">
                  <c:v>2.236821855019167E-3</c:v>
                </c:pt>
                <c:pt idx="56">
                  <c:v>2.236821855019167E-3</c:v>
                </c:pt>
                <c:pt idx="57">
                  <c:v>2.236821855019167E-3</c:v>
                </c:pt>
                <c:pt idx="58">
                  <c:v>2.236821855019167E-3</c:v>
                </c:pt>
                <c:pt idx="59">
                  <c:v>2.236821855019167E-3</c:v>
                </c:pt>
                <c:pt idx="60">
                  <c:v>2.236821855019167E-3</c:v>
                </c:pt>
                <c:pt idx="61">
                  <c:v>2.236821855019167E-3</c:v>
                </c:pt>
                <c:pt idx="62">
                  <c:v>2.236821855019167E-3</c:v>
                </c:pt>
                <c:pt idx="63">
                  <c:v>2.236821855019167E-3</c:v>
                </c:pt>
                <c:pt idx="64">
                  <c:v>2.236821855019167E-3</c:v>
                </c:pt>
                <c:pt idx="65">
                  <c:v>2.236821855019167E-3</c:v>
                </c:pt>
                <c:pt idx="66">
                  <c:v>2.236821855019167E-3</c:v>
                </c:pt>
                <c:pt idx="67">
                  <c:v>2.236821855019167E-3</c:v>
                </c:pt>
                <c:pt idx="68">
                  <c:v>2.236821855019167E-3</c:v>
                </c:pt>
                <c:pt idx="69">
                  <c:v>2.236821855019167E-3</c:v>
                </c:pt>
                <c:pt idx="70">
                  <c:v>2.236821855019167E-3</c:v>
                </c:pt>
                <c:pt idx="71">
                  <c:v>2.236821855019167E-3</c:v>
                </c:pt>
                <c:pt idx="72">
                  <c:v>2.236821855019167E-3</c:v>
                </c:pt>
                <c:pt idx="73">
                  <c:v>2.236821855019167E-3</c:v>
                </c:pt>
                <c:pt idx="74">
                  <c:v>2.236821855019167E-3</c:v>
                </c:pt>
                <c:pt idx="75">
                  <c:v>2.236821855019167E-3</c:v>
                </c:pt>
                <c:pt idx="76">
                  <c:v>2.236821855019167E-3</c:v>
                </c:pt>
                <c:pt idx="77">
                  <c:v>2.236821855019167E-3</c:v>
                </c:pt>
                <c:pt idx="78">
                  <c:v>2.236821855019167E-3</c:v>
                </c:pt>
                <c:pt idx="79">
                  <c:v>2.236821855019167E-3</c:v>
                </c:pt>
                <c:pt idx="80">
                  <c:v>2.236821855019167E-3</c:v>
                </c:pt>
                <c:pt idx="81">
                  <c:v>2.236821855019167E-3</c:v>
                </c:pt>
                <c:pt idx="82">
                  <c:v>2.236821855019167E-3</c:v>
                </c:pt>
                <c:pt idx="83">
                  <c:v>2.236821855019167E-3</c:v>
                </c:pt>
                <c:pt idx="84">
                  <c:v>2.236821855019167E-3</c:v>
                </c:pt>
                <c:pt idx="85">
                  <c:v>2.236821855019167E-3</c:v>
                </c:pt>
                <c:pt idx="86">
                  <c:v>2.236821855019167E-3</c:v>
                </c:pt>
                <c:pt idx="87">
                  <c:v>2.236821855019167E-3</c:v>
                </c:pt>
                <c:pt idx="88">
                  <c:v>2.236821855019167E-3</c:v>
                </c:pt>
                <c:pt idx="89">
                  <c:v>2.236821855019167E-3</c:v>
                </c:pt>
                <c:pt idx="90">
                  <c:v>2.236821855019167E-3</c:v>
                </c:pt>
                <c:pt idx="91">
                  <c:v>2.236821855019167E-3</c:v>
                </c:pt>
                <c:pt idx="92">
                  <c:v>2.236821855019167E-3</c:v>
                </c:pt>
                <c:pt idx="93">
                  <c:v>2.236821855019167E-3</c:v>
                </c:pt>
                <c:pt idx="94">
                  <c:v>2.236821855019167E-3</c:v>
                </c:pt>
                <c:pt idx="95">
                  <c:v>2.236821855019167E-3</c:v>
                </c:pt>
                <c:pt idx="96">
                  <c:v>2.236821855019167E-3</c:v>
                </c:pt>
                <c:pt idx="97">
                  <c:v>2.236821855019167E-3</c:v>
                </c:pt>
                <c:pt idx="98">
                  <c:v>2.236821855019167E-3</c:v>
                </c:pt>
                <c:pt idx="99">
                  <c:v>2.236821855019167E-3</c:v>
                </c:pt>
                <c:pt idx="100">
                  <c:v>2.236821855019167E-3</c:v>
                </c:pt>
                <c:pt idx="101">
                  <c:v>2.236821855019167E-3</c:v>
                </c:pt>
                <c:pt idx="102">
                  <c:v>2.236821855019167E-3</c:v>
                </c:pt>
                <c:pt idx="103">
                  <c:v>2.236821855019167E-3</c:v>
                </c:pt>
                <c:pt idx="104">
                  <c:v>2.236821855019167E-3</c:v>
                </c:pt>
                <c:pt idx="105">
                  <c:v>2.236821855019167E-3</c:v>
                </c:pt>
                <c:pt idx="106">
                  <c:v>2.236821855019167E-3</c:v>
                </c:pt>
                <c:pt idx="107">
                  <c:v>2.236821855019167E-3</c:v>
                </c:pt>
                <c:pt idx="108">
                  <c:v>2.236821855019167E-3</c:v>
                </c:pt>
                <c:pt idx="109">
                  <c:v>2.236821855019167E-3</c:v>
                </c:pt>
                <c:pt idx="110">
                  <c:v>2.236821855019167E-3</c:v>
                </c:pt>
                <c:pt idx="111">
                  <c:v>2.236821855019167E-3</c:v>
                </c:pt>
                <c:pt idx="112">
                  <c:v>2.236821855019167E-3</c:v>
                </c:pt>
                <c:pt idx="113">
                  <c:v>2.236821855019167E-3</c:v>
                </c:pt>
                <c:pt idx="114">
                  <c:v>2.236821855019167E-3</c:v>
                </c:pt>
                <c:pt idx="115">
                  <c:v>2.236821855019167E-3</c:v>
                </c:pt>
                <c:pt idx="116">
                  <c:v>2.236821855019167E-3</c:v>
                </c:pt>
                <c:pt idx="117">
                  <c:v>2.236821855019167E-3</c:v>
                </c:pt>
                <c:pt idx="118">
                  <c:v>2.236821855019167E-3</c:v>
                </c:pt>
                <c:pt idx="119">
                  <c:v>2.236821855019167E-3</c:v>
                </c:pt>
                <c:pt idx="120">
                  <c:v>2.236821855019167E-3</c:v>
                </c:pt>
                <c:pt idx="121">
                  <c:v>2.236821855019167E-3</c:v>
                </c:pt>
                <c:pt idx="122">
                  <c:v>2.236821855019167E-3</c:v>
                </c:pt>
                <c:pt idx="123">
                  <c:v>2.236821855019167E-3</c:v>
                </c:pt>
                <c:pt idx="124">
                  <c:v>2.236821855019167E-3</c:v>
                </c:pt>
                <c:pt idx="125">
                  <c:v>2.236821855019167E-3</c:v>
                </c:pt>
                <c:pt idx="126">
                  <c:v>2.236821855019167E-3</c:v>
                </c:pt>
                <c:pt idx="127">
                  <c:v>2.236821855019167E-3</c:v>
                </c:pt>
                <c:pt idx="128">
                  <c:v>2.236821855019167E-3</c:v>
                </c:pt>
                <c:pt idx="129">
                  <c:v>2.236821855019167E-3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41954</c:v>
                </c:pt>
                <c:pt idx="1">
                  <c:v>41955</c:v>
                </c:pt>
                <c:pt idx="2">
                  <c:v>41956</c:v>
                </c:pt>
                <c:pt idx="3">
                  <c:v>41957</c:v>
                </c:pt>
                <c:pt idx="4">
                  <c:v>41960</c:v>
                </c:pt>
                <c:pt idx="5">
                  <c:v>41961</c:v>
                </c:pt>
                <c:pt idx="6">
                  <c:v>41962</c:v>
                </c:pt>
                <c:pt idx="7">
                  <c:v>41963</c:v>
                </c:pt>
                <c:pt idx="8">
                  <c:v>41964</c:v>
                </c:pt>
                <c:pt idx="9">
                  <c:v>41967</c:v>
                </c:pt>
                <c:pt idx="10">
                  <c:v>41968</c:v>
                </c:pt>
                <c:pt idx="11">
                  <c:v>41969</c:v>
                </c:pt>
                <c:pt idx="12">
                  <c:v>41970</c:v>
                </c:pt>
                <c:pt idx="13">
                  <c:v>41971</c:v>
                </c:pt>
                <c:pt idx="14">
                  <c:v>41974</c:v>
                </c:pt>
                <c:pt idx="15">
                  <c:v>41975</c:v>
                </c:pt>
                <c:pt idx="16">
                  <c:v>41976</c:v>
                </c:pt>
                <c:pt idx="17">
                  <c:v>41977</c:v>
                </c:pt>
                <c:pt idx="18">
                  <c:v>41978</c:v>
                </c:pt>
                <c:pt idx="19">
                  <c:v>41981</c:v>
                </c:pt>
                <c:pt idx="20">
                  <c:v>41982</c:v>
                </c:pt>
                <c:pt idx="21">
                  <c:v>41983</c:v>
                </c:pt>
                <c:pt idx="22">
                  <c:v>41984</c:v>
                </c:pt>
                <c:pt idx="23">
                  <c:v>41985</c:v>
                </c:pt>
                <c:pt idx="24">
                  <c:v>41988</c:v>
                </c:pt>
                <c:pt idx="25">
                  <c:v>41989</c:v>
                </c:pt>
                <c:pt idx="26">
                  <c:v>41990</c:v>
                </c:pt>
                <c:pt idx="27">
                  <c:v>41991</c:v>
                </c:pt>
                <c:pt idx="28">
                  <c:v>41992</c:v>
                </c:pt>
                <c:pt idx="29">
                  <c:v>41995</c:v>
                </c:pt>
                <c:pt idx="30">
                  <c:v>41996</c:v>
                </c:pt>
                <c:pt idx="31">
                  <c:v>41997</c:v>
                </c:pt>
                <c:pt idx="32">
                  <c:v>42002</c:v>
                </c:pt>
                <c:pt idx="33">
                  <c:v>42003</c:v>
                </c:pt>
                <c:pt idx="34">
                  <c:v>42004</c:v>
                </c:pt>
                <c:pt idx="35">
                  <c:v>42006</c:v>
                </c:pt>
                <c:pt idx="36">
                  <c:v>42009</c:v>
                </c:pt>
                <c:pt idx="37">
                  <c:v>42010</c:v>
                </c:pt>
                <c:pt idx="38">
                  <c:v>42011</c:v>
                </c:pt>
                <c:pt idx="39">
                  <c:v>42012</c:v>
                </c:pt>
                <c:pt idx="40">
                  <c:v>42013</c:v>
                </c:pt>
                <c:pt idx="41">
                  <c:v>42016</c:v>
                </c:pt>
                <c:pt idx="42">
                  <c:v>42017</c:v>
                </c:pt>
                <c:pt idx="43">
                  <c:v>42018</c:v>
                </c:pt>
                <c:pt idx="44">
                  <c:v>42019</c:v>
                </c:pt>
                <c:pt idx="45">
                  <c:v>42020</c:v>
                </c:pt>
                <c:pt idx="46">
                  <c:v>42023</c:v>
                </c:pt>
                <c:pt idx="47">
                  <c:v>42024</c:v>
                </c:pt>
                <c:pt idx="48">
                  <c:v>42025</c:v>
                </c:pt>
                <c:pt idx="49">
                  <c:v>42026</c:v>
                </c:pt>
                <c:pt idx="50">
                  <c:v>42027</c:v>
                </c:pt>
                <c:pt idx="51">
                  <c:v>42030</c:v>
                </c:pt>
                <c:pt idx="52">
                  <c:v>42031</c:v>
                </c:pt>
                <c:pt idx="53">
                  <c:v>42032</c:v>
                </c:pt>
                <c:pt idx="54">
                  <c:v>42033</c:v>
                </c:pt>
                <c:pt idx="55">
                  <c:v>42034</c:v>
                </c:pt>
                <c:pt idx="56">
                  <c:v>42037</c:v>
                </c:pt>
                <c:pt idx="57">
                  <c:v>42038</c:v>
                </c:pt>
                <c:pt idx="58">
                  <c:v>42039</c:v>
                </c:pt>
                <c:pt idx="59">
                  <c:v>42040</c:v>
                </c:pt>
                <c:pt idx="60">
                  <c:v>42041</c:v>
                </c:pt>
                <c:pt idx="61">
                  <c:v>42044</c:v>
                </c:pt>
                <c:pt idx="62">
                  <c:v>42045</c:v>
                </c:pt>
                <c:pt idx="63">
                  <c:v>42046</c:v>
                </c:pt>
                <c:pt idx="64">
                  <c:v>42047</c:v>
                </c:pt>
                <c:pt idx="65">
                  <c:v>42048</c:v>
                </c:pt>
                <c:pt idx="66">
                  <c:v>42051</c:v>
                </c:pt>
                <c:pt idx="67">
                  <c:v>42052</c:v>
                </c:pt>
                <c:pt idx="68">
                  <c:v>42053</c:v>
                </c:pt>
                <c:pt idx="69">
                  <c:v>42054</c:v>
                </c:pt>
                <c:pt idx="70">
                  <c:v>42055</c:v>
                </c:pt>
                <c:pt idx="71">
                  <c:v>42058</c:v>
                </c:pt>
                <c:pt idx="72">
                  <c:v>42059</c:v>
                </c:pt>
                <c:pt idx="73">
                  <c:v>42060</c:v>
                </c:pt>
                <c:pt idx="74">
                  <c:v>42061</c:v>
                </c:pt>
                <c:pt idx="75">
                  <c:v>42062</c:v>
                </c:pt>
                <c:pt idx="76">
                  <c:v>42065</c:v>
                </c:pt>
                <c:pt idx="77">
                  <c:v>42066</c:v>
                </c:pt>
                <c:pt idx="78">
                  <c:v>42067</c:v>
                </c:pt>
                <c:pt idx="79">
                  <c:v>42068</c:v>
                </c:pt>
                <c:pt idx="80">
                  <c:v>42069</c:v>
                </c:pt>
                <c:pt idx="81">
                  <c:v>42072</c:v>
                </c:pt>
                <c:pt idx="82">
                  <c:v>42073</c:v>
                </c:pt>
                <c:pt idx="83">
                  <c:v>42074</c:v>
                </c:pt>
                <c:pt idx="84">
                  <c:v>42075</c:v>
                </c:pt>
                <c:pt idx="85">
                  <c:v>42076</c:v>
                </c:pt>
                <c:pt idx="86">
                  <c:v>42079</c:v>
                </c:pt>
                <c:pt idx="87">
                  <c:v>42080</c:v>
                </c:pt>
                <c:pt idx="88">
                  <c:v>42081</c:v>
                </c:pt>
                <c:pt idx="89">
                  <c:v>42082</c:v>
                </c:pt>
                <c:pt idx="90">
                  <c:v>42083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42093</c:v>
                </c:pt>
                <c:pt idx="97">
                  <c:v>42094</c:v>
                </c:pt>
                <c:pt idx="98">
                  <c:v>42095</c:v>
                </c:pt>
                <c:pt idx="99">
                  <c:v>42096</c:v>
                </c:pt>
                <c:pt idx="100">
                  <c:v>42101</c:v>
                </c:pt>
                <c:pt idx="101">
                  <c:v>42102</c:v>
                </c:pt>
                <c:pt idx="102">
                  <c:v>42103</c:v>
                </c:pt>
                <c:pt idx="103">
                  <c:v>42104</c:v>
                </c:pt>
                <c:pt idx="104">
                  <c:v>42107</c:v>
                </c:pt>
                <c:pt idx="105">
                  <c:v>42108</c:v>
                </c:pt>
                <c:pt idx="106">
                  <c:v>42109</c:v>
                </c:pt>
                <c:pt idx="107">
                  <c:v>42110</c:v>
                </c:pt>
                <c:pt idx="108">
                  <c:v>42111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42121</c:v>
                </c:pt>
                <c:pt idx="115">
                  <c:v>42122</c:v>
                </c:pt>
                <c:pt idx="116">
                  <c:v>42123</c:v>
                </c:pt>
                <c:pt idx="117">
                  <c:v>42124</c:v>
                </c:pt>
                <c:pt idx="118">
                  <c:v>42128</c:v>
                </c:pt>
                <c:pt idx="119">
                  <c:v>42129</c:v>
                </c:pt>
                <c:pt idx="120">
                  <c:v>42130</c:v>
                </c:pt>
                <c:pt idx="121">
                  <c:v>42131</c:v>
                </c:pt>
                <c:pt idx="122">
                  <c:v>42132</c:v>
                </c:pt>
                <c:pt idx="123">
                  <c:v>42135</c:v>
                </c:pt>
                <c:pt idx="124">
                  <c:v>42136</c:v>
                </c:pt>
                <c:pt idx="125">
                  <c:v>42137</c:v>
                </c:pt>
                <c:pt idx="126">
                  <c:v>42138</c:v>
                </c:pt>
                <c:pt idx="127">
                  <c:v>42139</c:v>
                </c:pt>
                <c:pt idx="128">
                  <c:v>42142</c:v>
                </c:pt>
                <c:pt idx="129">
                  <c:v>42143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2.0436920045067714E-3</c:v>
                </c:pt>
                <c:pt idx="1">
                  <c:v>2.045826036004146E-3</c:v>
                </c:pt>
                <c:pt idx="2">
                  <c:v>2.0479600675015206E-3</c:v>
                </c:pt>
                <c:pt idx="3">
                  <c:v>2.0500940989988952E-3</c:v>
                </c:pt>
                <c:pt idx="4">
                  <c:v>2.0564961934910189E-3</c:v>
                </c:pt>
                <c:pt idx="5">
                  <c:v>2.058630224988393E-3</c:v>
                </c:pt>
                <c:pt idx="6">
                  <c:v>2.0607642564857676E-3</c:v>
                </c:pt>
                <c:pt idx="7">
                  <c:v>2.0628982879831422E-3</c:v>
                </c:pt>
                <c:pt idx="8">
                  <c:v>2.0650323194805168E-3</c:v>
                </c:pt>
                <c:pt idx="9">
                  <c:v>2.0714344139726405E-3</c:v>
                </c:pt>
                <c:pt idx="10">
                  <c:v>2.0735684454700151E-3</c:v>
                </c:pt>
                <c:pt idx="11">
                  <c:v>2.0757024769673896E-3</c:v>
                </c:pt>
                <c:pt idx="12">
                  <c:v>2.0778365084647642E-3</c:v>
                </c:pt>
                <c:pt idx="13">
                  <c:v>2.0799705399621388E-3</c:v>
                </c:pt>
                <c:pt idx="14">
                  <c:v>2.0863726344542625E-3</c:v>
                </c:pt>
                <c:pt idx="15">
                  <c:v>2.0885066659516367E-3</c:v>
                </c:pt>
                <c:pt idx="16">
                  <c:v>2.0906406974490113E-3</c:v>
                </c:pt>
                <c:pt idx="17">
                  <c:v>2.0927747289463858E-3</c:v>
                </c:pt>
                <c:pt idx="18">
                  <c:v>2.0949087604437604E-3</c:v>
                </c:pt>
                <c:pt idx="19">
                  <c:v>2.1013108549358841E-3</c:v>
                </c:pt>
                <c:pt idx="20">
                  <c:v>2.1034448864332587E-3</c:v>
                </c:pt>
                <c:pt idx="21">
                  <c:v>2.1055789179306333E-3</c:v>
                </c:pt>
                <c:pt idx="22">
                  <c:v>2.1077129494280079E-3</c:v>
                </c:pt>
                <c:pt idx="23">
                  <c:v>2.1098469809253824E-3</c:v>
                </c:pt>
                <c:pt idx="24">
                  <c:v>2.1162490754175062E-3</c:v>
                </c:pt>
                <c:pt idx="25">
                  <c:v>2.1183831069148803E-3</c:v>
                </c:pt>
                <c:pt idx="26">
                  <c:v>2.1205171384122549E-3</c:v>
                </c:pt>
                <c:pt idx="27">
                  <c:v>2.1226511699096295E-3</c:v>
                </c:pt>
                <c:pt idx="28">
                  <c:v>2.1247852014070041E-3</c:v>
                </c:pt>
                <c:pt idx="29">
                  <c:v>2.1311872958991278E-3</c:v>
                </c:pt>
                <c:pt idx="30">
                  <c:v>2.1333213273965024E-3</c:v>
                </c:pt>
                <c:pt idx="31">
                  <c:v>2.1354553588938769E-3</c:v>
                </c:pt>
                <c:pt idx="32">
                  <c:v>2.1461255163807494E-3</c:v>
                </c:pt>
                <c:pt idx="33">
                  <c:v>2.148259547878124E-3</c:v>
                </c:pt>
                <c:pt idx="34">
                  <c:v>2.1503935793754985E-3</c:v>
                </c:pt>
                <c:pt idx="35">
                  <c:v>2.1546616423702477E-3</c:v>
                </c:pt>
                <c:pt idx="36">
                  <c:v>2.1610637368623714E-3</c:v>
                </c:pt>
                <c:pt idx="37">
                  <c:v>2.163197768359746E-3</c:v>
                </c:pt>
                <c:pt idx="38">
                  <c:v>2.1653317998571206E-3</c:v>
                </c:pt>
                <c:pt idx="39">
                  <c:v>2.1674658313544952E-3</c:v>
                </c:pt>
                <c:pt idx="40">
                  <c:v>2.1695998628518697E-3</c:v>
                </c:pt>
                <c:pt idx="41">
                  <c:v>2.176001957343993E-3</c:v>
                </c:pt>
                <c:pt idx="42">
                  <c:v>2.1781359888413676E-3</c:v>
                </c:pt>
                <c:pt idx="43">
                  <c:v>2.1802700203387422E-3</c:v>
                </c:pt>
                <c:pt idx="44">
                  <c:v>2.1824040518361168E-3</c:v>
                </c:pt>
                <c:pt idx="45">
                  <c:v>2.1845380833334913E-3</c:v>
                </c:pt>
                <c:pt idx="46">
                  <c:v>2.1909401778256151E-3</c:v>
                </c:pt>
                <c:pt idx="47">
                  <c:v>2.1930742093229896E-3</c:v>
                </c:pt>
                <c:pt idx="48">
                  <c:v>2.1952082408203642E-3</c:v>
                </c:pt>
                <c:pt idx="49">
                  <c:v>2.1973422723177388E-3</c:v>
                </c:pt>
                <c:pt idx="50">
                  <c:v>2.1994763038151134E-3</c:v>
                </c:pt>
                <c:pt idx="51">
                  <c:v>2.2058783983072367E-3</c:v>
                </c:pt>
                <c:pt idx="52">
                  <c:v>2.2080124298046113E-3</c:v>
                </c:pt>
                <c:pt idx="53">
                  <c:v>2.2101464613019858E-3</c:v>
                </c:pt>
                <c:pt idx="54">
                  <c:v>2.2122804927993604E-3</c:v>
                </c:pt>
                <c:pt idx="55">
                  <c:v>2.214414524296735E-3</c:v>
                </c:pt>
                <c:pt idx="56">
                  <c:v>2.2208166187888587E-3</c:v>
                </c:pt>
                <c:pt idx="57">
                  <c:v>2.2229506502862333E-3</c:v>
                </c:pt>
                <c:pt idx="58">
                  <c:v>2.2250846817836079E-3</c:v>
                </c:pt>
                <c:pt idx="59">
                  <c:v>2.2272187132809824E-3</c:v>
                </c:pt>
                <c:pt idx="60">
                  <c:v>2.229352744778357E-3</c:v>
                </c:pt>
                <c:pt idx="61">
                  <c:v>2.2357548392704803E-3</c:v>
                </c:pt>
                <c:pt idx="62">
                  <c:v>2.2378888707678549E-3</c:v>
                </c:pt>
                <c:pt idx="63">
                  <c:v>2.2400229022652295E-3</c:v>
                </c:pt>
                <c:pt idx="64">
                  <c:v>2.2421569337626041E-3</c:v>
                </c:pt>
                <c:pt idx="65">
                  <c:v>2.2442909652599786E-3</c:v>
                </c:pt>
                <c:pt idx="66">
                  <c:v>2.2506930597521024E-3</c:v>
                </c:pt>
                <c:pt idx="67">
                  <c:v>2.2528270912494769E-3</c:v>
                </c:pt>
                <c:pt idx="68">
                  <c:v>2.2549611227468515E-3</c:v>
                </c:pt>
                <c:pt idx="69">
                  <c:v>2.2570951542442261E-3</c:v>
                </c:pt>
                <c:pt idx="70">
                  <c:v>2.2592291857416007E-3</c:v>
                </c:pt>
                <c:pt idx="71">
                  <c:v>2.265631280233724E-3</c:v>
                </c:pt>
                <c:pt idx="72">
                  <c:v>2.2677653117310985E-3</c:v>
                </c:pt>
                <c:pt idx="73">
                  <c:v>2.2698993432284731E-3</c:v>
                </c:pt>
                <c:pt idx="74">
                  <c:v>2.2720333747258477E-3</c:v>
                </c:pt>
                <c:pt idx="75">
                  <c:v>2.2741674062232223E-3</c:v>
                </c:pt>
                <c:pt idx="76">
                  <c:v>2.280569500715346E-3</c:v>
                </c:pt>
                <c:pt idx="77">
                  <c:v>2.2827035322127206E-3</c:v>
                </c:pt>
                <c:pt idx="78">
                  <c:v>2.2848375637100952E-3</c:v>
                </c:pt>
                <c:pt idx="79">
                  <c:v>2.2869715952074697E-3</c:v>
                </c:pt>
                <c:pt idx="80">
                  <c:v>2.2891056267048439E-3</c:v>
                </c:pt>
                <c:pt idx="81">
                  <c:v>2.2955077211969676E-3</c:v>
                </c:pt>
                <c:pt idx="82">
                  <c:v>2.2976417526943422E-3</c:v>
                </c:pt>
                <c:pt idx="83">
                  <c:v>2.2997757841917168E-3</c:v>
                </c:pt>
                <c:pt idx="84">
                  <c:v>2.3019098156890913E-3</c:v>
                </c:pt>
                <c:pt idx="85">
                  <c:v>2.3040438471864659E-3</c:v>
                </c:pt>
                <c:pt idx="86">
                  <c:v>2.3104459416785897E-3</c:v>
                </c:pt>
                <c:pt idx="87">
                  <c:v>2.3125799731759642E-3</c:v>
                </c:pt>
                <c:pt idx="88">
                  <c:v>2.3147140046733388E-3</c:v>
                </c:pt>
                <c:pt idx="89">
                  <c:v>2.316848036170713E-3</c:v>
                </c:pt>
                <c:pt idx="90">
                  <c:v>2.318982067668088E-3</c:v>
                </c:pt>
                <c:pt idx="91">
                  <c:v>2.3253841621602113E-3</c:v>
                </c:pt>
                <c:pt idx="92">
                  <c:v>2.3275181936575858E-3</c:v>
                </c:pt>
                <c:pt idx="93">
                  <c:v>2.3296522251549604E-3</c:v>
                </c:pt>
                <c:pt idx="94">
                  <c:v>2.331786256652335E-3</c:v>
                </c:pt>
                <c:pt idx="95">
                  <c:v>2.3339202881497096E-3</c:v>
                </c:pt>
                <c:pt idx="96">
                  <c:v>2.3403223826418333E-3</c:v>
                </c:pt>
                <c:pt idx="97">
                  <c:v>2.3424564141392079E-3</c:v>
                </c:pt>
                <c:pt idx="98">
                  <c:v>2.3445904456365825E-3</c:v>
                </c:pt>
                <c:pt idx="99">
                  <c:v>2.346724477133957E-3</c:v>
                </c:pt>
                <c:pt idx="100">
                  <c:v>2.3573946346208295E-3</c:v>
                </c:pt>
                <c:pt idx="101">
                  <c:v>2.3595286661182041E-3</c:v>
                </c:pt>
                <c:pt idx="102">
                  <c:v>2.3616626976155786E-3</c:v>
                </c:pt>
                <c:pt idx="103">
                  <c:v>2.3637967291129532E-3</c:v>
                </c:pt>
                <c:pt idx="104">
                  <c:v>2.3701988236050769E-3</c:v>
                </c:pt>
                <c:pt idx="105">
                  <c:v>2.3723328551024515E-3</c:v>
                </c:pt>
                <c:pt idx="106">
                  <c:v>2.3744668865998261E-3</c:v>
                </c:pt>
                <c:pt idx="107">
                  <c:v>2.3766009180972002E-3</c:v>
                </c:pt>
                <c:pt idx="108">
                  <c:v>2.3787349495945748E-3</c:v>
                </c:pt>
                <c:pt idx="109">
                  <c:v>2.3851370440866985E-3</c:v>
                </c:pt>
                <c:pt idx="110">
                  <c:v>2.3872710755840731E-3</c:v>
                </c:pt>
                <c:pt idx="111">
                  <c:v>2.3894051070814477E-3</c:v>
                </c:pt>
                <c:pt idx="112">
                  <c:v>2.3915391385788223E-3</c:v>
                </c:pt>
                <c:pt idx="113">
                  <c:v>2.3936731700761969E-3</c:v>
                </c:pt>
                <c:pt idx="114">
                  <c:v>2.4000752645683206E-3</c:v>
                </c:pt>
                <c:pt idx="115">
                  <c:v>2.4022092960656952E-3</c:v>
                </c:pt>
                <c:pt idx="116">
                  <c:v>2.4043433275630693E-3</c:v>
                </c:pt>
                <c:pt idx="117">
                  <c:v>2.4064773590604439E-3</c:v>
                </c:pt>
                <c:pt idx="118">
                  <c:v>2.4150134850499422E-3</c:v>
                </c:pt>
                <c:pt idx="119">
                  <c:v>2.4171475165473168E-3</c:v>
                </c:pt>
                <c:pt idx="120">
                  <c:v>2.4192815480446913E-3</c:v>
                </c:pt>
                <c:pt idx="121">
                  <c:v>2.4214155795420659E-3</c:v>
                </c:pt>
                <c:pt idx="122">
                  <c:v>2.4235496110394405E-3</c:v>
                </c:pt>
                <c:pt idx="123">
                  <c:v>2.4299517055315642E-3</c:v>
                </c:pt>
                <c:pt idx="124">
                  <c:v>2.4320857370289384E-3</c:v>
                </c:pt>
                <c:pt idx="125">
                  <c:v>2.4342197685263134E-3</c:v>
                </c:pt>
                <c:pt idx="126">
                  <c:v>2.4363538000236875E-3</c:v>
                </c:pt>
                <c:pt idx="127">
                  <c:v>2.4384878315210621E-3</c:v>
                </c:pt>
                <c:pt idx="128">
                  <c:v>2.4448899260131858E-3</c:v>
                </c:pt>
                <c:pt idx="129">
                  <c:v>2.4470239575105604E-3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41954</c:v>
                </c:pt>
                <c:pt idx="1">
                  <c:v>41955</c:v>
                </c:pt>
                <c:pt idx="2">
                  <c:v>41956</c:v>
                </c:pt>
                <c:pt idx="3">
                  <c:v>41957</c:v>
                </c:pt>
                <c:pt idx="4">
                  <c:v>41960</c:v>
                </c:pt>
                <c:pt idx="5">
                  <c:v>41961</c:v>
                </c:pt>
                <c:pt idx="6">
                  <c:v>41962</c:v>
                </c:pt>
                <c:pt idx="7">
                  <c:v>41963</c:v>
                </c:pt>
                <c:pt idx="8">
                  <c:v>41964</c:v>
                </c:pt>
                <c:pt idx="9">
                  <c:v>41967</c:v>
                </c:pt>
                <c:pt idx="10">
                  <c:v>41968</c:v>
                </c:pt>
                <c:pt idx="11">
                  <c:v>41969</c:v>
                </c:pt>
                <c:pt idx="12">
                  <c:v>41970</c:v>
                </c:pt>
                <c:pt idx="13">
                  <c:v>41971</c:v>
                </c:pt>
                <c:pt idx="14">
                  <c:v>41974</c:v>
                </c:pt>
                <c:pt idx="15">
                  <c:v>41975</c:v>
                </c:pt>
                <c:pt idx="16">
                  <c:v>41976</c:v>
                </c:pt>
                <c:pt idx="17">
                  <c:v>41977</c:v>
                </c:pt>
                <c:pt idx="18">
                  <c:v>41978</c:v>
                </c:pt>
                <c:pt idx="19">
                  <c:v>41981</c:v>
                </c:pt>
                <c:pt idx="20">
                  <c:v>41982</c:v>
                </c:pt>
                <c:pt idx="21">
                  <c:v>41983</c:v>
                </c:pt>
                <c:pt idx="22">
                  <c:v>41984</c:v>
                </c:pt>
                <c:pt idx="23">
                  <c:v>41985</c:v>
                </c:pt>
                <c:pt idx="24">
                  <c:v>41988</c:v>
                </c:pt>
                <c:pt idx="25">
                  <c:v>41989</c:v>
                </c:pt>
                <c:pt idx="26">
                  <c:v>41990</c:v>
                </c:pt>
                <c:pt idx="27">
                  <c:v>41991</c:v>
                </c:pt>
                <c:pt idx="28">
                  <c:v>41992</c:v>
                </c:pt>
                <c:pt idx="29">
                  <c:v>41995</c:v>
                </c:pt>
                <c:pt idx="30">
                  <c:v>41996</c:v>
                </c:pt>
                <c:pt idx="31">
                  <c:v>41997</c:v>
                </c:pt>
                <c:pt idx="32">
                  <c:v>42002</c:v>
                </c:pt>
                <c:pt idx="33">
                  <c:v>42003</c:v>
                </c:pt>
                <c:pt idx="34">
                  <c:v>42004</c:v>
                </c:pt>
                <c:pt idx="35">
                  <c:v>42006</c:v>
                </c:pt>
                <c:pt idx="36">
                  <c:v>42009</c:v>
                </c:pt>
                <c:pt idx="37">
                  <c:v>42010</c:v>
                </c:pt>
                <c:pt idx="38">
                  <c:v>42011</c:v>
                </c:pt>
                <c:pt idx="39">
                  <c:v>42012</c:v>
                </c:pt>
                <c:pt idx="40">
                  <c:v>42013</c:v>
                </c:pt>
                <c:pt idx="41">
                  <c:v>42016</c:v>
                </c:pt>
                <c:pt idx="42">
                  <c:v>42017</c:v>
                </c:pt>
                <c:pt idx="43">
                  <c:v>42018</c:v>
                </c:pt>
                <c:pt idx="44">
                  <c:v>42019</c:v>
                </c:pt>
                <c:pt idx="45">
                  <c:v>42020</c:v>
                </c:pt>
                <c:pt idx="46">
                  <c:v>42023</c:v>
                </c:pt>
                <c:pt idx="47">
                  <c:v>42024</c:v>
                </c:pt>
                <c:pt idx="48">
                  <c:v>42025</c:v>
                </c:pt>
                <c:pt idx="49">
                  <c:v>42026</c:v>
                </c:pt>
                <c:pt idx="50">
                  <c:v>42027</c:v>
                </c:pt>
                <c:pt idx="51">
                  <c:v>42030</c:v>
                </c:pt>
                <c:pt idx="52">
                  <c:v>42031</c:v>
                </c:pt>
                <c:pt idx="53">
                  <c:v>42032</c:v>
                </c:pt>
                <c:pt idx="54">
                  <c:v>42033</c:v>
                </c:pt>
                <c:pt idx="55">
                  <c:v>42034</c:v>
                </c:pt>
                <c:pt idx="56">
                  <c:v>42037</c:v>
                </c:pt>
                <c:pt idx="57">
                  <c:v>42038</c:v>
                </c:pt>
                <c:pt idx="58">
                  <c:v>42039</c:v>
                </c:pt>
                <c:pt idx="59">
                  <c:v>42040</c:v>
                </c:pt>
                <c:pt idx="60">
                  <c:v>42041</c:v>
                </c:pt>
                <c:pt idx="61">
                  <c:v>42044</c:v>
                </c:pt>
                <c:pt idx="62">
                  <c:v>42045</c:v>
                </c:pt>
                <c:pt idx="63">
                  <c:v>42046</c:v>
                </c:pt>
                <c:pt idx="64">
                  <c:v>42047</c:v>
                </c:pt>
                <c:pt idx="65">
                  <c:v>42048</c:v>
                </c:pt>
                <c:pt idx="66">
                  <c:v>42051</c:v>
                </c:pt>
                <c:pt idx="67">
                  <c:v>42052</c:v>
                </c:pt>
                <c:pt idx="68">
                  <c:v>42053</c:v>
                </c:pt>
                <c:pt idx="69">
                  <c:v>42054</c:v>
                </c:pt>
                <c:pt idx="70">
                  <c:v>42055</c:v>
                </c:pt>
                <c:pt idx="71">
                  <c:v>42058</c:v>
                </c:pt>
                <c:pt idx="72">
                  <c:v>42059</c:v>
                </c:pt>
                <c:pt idx="73">
                  <c:v>42060</c:v>
                </c:pt>
                <c:pt idx="74">
                  <c:v>42061</c:v>
                </c:pt>
                <c:pt idx="75">
                  <c:v>42062</c:v>
                </c:pt>
                <c:pt idx="76">
                  <c:v>42065</c:v>
                </c:pt>
                <c:pt idx="77">
                  <c:v>42066</c:v>
                </c:pt>
                <c:pt idx="78">
                  <c:v>42067</c:v>
                </c:pt>
                <c:pt idx="79">
                  <c:v>42068</c:v>
                </c:pt>
                <c:pt idx="80">
                  <c:v>42069</c:v>
                </c:pt>
                <c:pt idx="81">
                  <c:v>42072</c:v>
                </c:pt>
                <c:pt idx="82">
                  <c:v>42073</c:v>
                </c:pt>
                <c:pt idx="83">
                  <c:v>42074</c:v>
                </c:pt>
                <c:pt idx="84">
                  <c:v>42075</c:v>
                </c:pt>
                <c:pt idx="85">
                  <c:v>42076</c:v>
                </c:pt>
                <c:pt idx="86">
                  <c:v>42079</c:v>
                </c:pt>
                <c:pt idx="87">
                  <c:v>42080</c:v>
                </c:pt>
                <c:pt idx="88">
                  <c:v>42081</c:v>
                </c:pt>
                <c:pt idx="89">
                  <c:v>42082</c:v>
                </c:pt>
                <c:pt idx="90">
                  <c:v>42083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42093</c:v>
                </c:pt>
                <c:pt idx="97">
                  <c:v>42094</c:v>
                </c:pt>
                <c:pt idx="98">
                  <c:v>42095</c:v>
                </c:pt>
                <c:pt idx="99">
                  <c:v>42096</c:v>
                </c:pt>
                <c:pt idx="100">
                  <c:v>42101</c:v>
                </c:pt>
                <c:pt idx="101">
                  <c:v>42102</c:v>
                </c:pt>
                <c:pt idx="102">
                  <c:v>42103</c:v>
                </c:pt>
                <c:pt idx="103">
                  <c:v>42104</c:v>
                </c:pt>
                <c:pt idx="104">
                  <c:v>42107</c:v>
                </c:pt>
                <c:pt idx="105">
                  <c:v>42108</c:v>
                </c:pt>
                <c:pt idx="106">
                  <c:v>42109</c:v>
                </c:pt>
                <c:pt idx="107">
                  <c:v>42110</c:v>
                </c:pt>
                <c:pt idx="108">
                  <c:v>42111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42121</c:v>
                </c:pt>
                <c:pt idx="115">
                  <c:v>42122</c:v>
                </c:pt>
                <c:pt idx="116">
                  <c:v>42123</c:v>
                </c:pt>
                <c:pt idx="117">
                  <c:v>42124</c:v>
                </c:pt>
                <c:pt idx="118">
                  <c:v>42128</c:v>
                </c:pt>
                <c:pt idx="119">
                  <c:v>42129</c:v>
                </c:pt>
                <c:pt idx="120">
                  <c:v>42130</c:v>
                </c:pt>
                <c:pt idx="121">
                  <c:v>42131</c:v>
                </c:pt>
                <c:pt idx="122">
                  <c:v>42132</c:v>
                </c:pt>
                <c:pt idx="123">
                  <c:v>42135</c:v>
                </c:pt>
                <c:pt idx="124">
                  <c:v>42136</c:v>
                </c:pt>
                <c:pt idx="125">
                  <c:v>42137</c:v>
                </c:pt>
                <c:pt idx="126">
                  <c:v>42138</c:v>
                </c:pt>
                <c:pt idx="127">
                  <c:v>42139</c:v>
                </c:pt>
                <c:pt idx="128">
                  <c:v>42142</c:v>
                </c:pt>
                <c:pt idx="129">
                  <c:v>42143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1.9748121057963138E-3</c:v>
                </c:pt>
                <c:pt idx="1">
                  <c:v>1.9786991129202435E-3</c:v>
                </c:pt>
                <c:pt idx="2">
                  <c:v>1.9825695428000488E-3</c:v>
                </c:pt>
                <c:pt idx="3">
                  <c:v>1.9864233954357308E-3</c:v>
                </c:pt>
                <c:pt idx="4">
                  <c:v>1.9978854898780349E-3</c:v>
                </c:pt>
                <c:pt idx="5">
                  <c:v>2.0016730335372223E-3</c:v>
                </c:pt>
                <c:pt idx="6">
                  <c:v>2.0054439999522859E-3</c:v>
                </c:pt>
                <c:pt idx="7">
                  <c:v>2.0091983891232256E-3</c:v>
                </c:pt>
                <c:pt idx="8">
                  <c:v>2.0129362010500415E-3</c:v>
                </c:pt>
                <c:pt idx="9">
                  <c:v>2.0240501733657483E-3</c:v>
                </c:pt>
                <c:pt idx="10">
                  <c:v>2.0277216763160697E-3</c:v>
                </c:pt>
                <c:pt idx="11">
                  <c:v>2.0313766020222676E-3</c:v>
                </c:pt>
                <c:pt idx="12">
                  <c:v>2.0350149504843418E-3</c:v>
                </c:pt>
                <c:pt idx="13">
                  <c:v>2.038636721702292E-3</c:v>
                </c:pt>
                <c:pt idx="14">
                  <c:v>2.0494025718914015E-3</c:v>
                </c:pt>
                <c:pt idx="15">
                  <c:v>2.0529580341328568E-3</c:v>
                </c:pt>
                <c:pt idx="16">
                  <c:v>2.0564969191301887E-3</c:v>
                </c:pt>
                <c:pt idx="17">
                  <c:v>2.0600192268833972E-3</c:v>
                </c:pt>
                <c:pt idx="18">
                  <c:v>2.0635249573924819E-3</c:v>
                </c:pt>
                <c:pt idx="19">
                  <c:v>2.0739426854549936E-3</c:v>
                </c:pt>
                <c:pt idx="20">
                  <c:v>2.0773821069875833E-3</c:v>
                </c:pt>
                <c:pt idx="21">
                  <c:v>2.0808049512760496E-3</c:v>
                </c:pt>
                <c:pt idx="22">
                  <c:v>2.084211218320392E-3</c:v>
                </c:pt>
                <c:pt idx="23">
                  <c:v>2.087600908120611E-3</c:v>
                </c:pt>
                <c:pt idx="24">
                  <c:v>2.097670514056525E-3</c:v>
                </c:pt>
                <c:pt idx="25">
                  <c:v>2.1009938948802491E-3</c:v>
                </c:pt>
                <c:pt idx="26">
                  <c:v>2.1043006984598493E-3</c:v>
                </c:pt>
                <c:pt idx="27">
                  <c:v>2.1075909247953262E-3</c:v>
                </c:pt>
                <c:pt idx="28">
                  <c:v>2.1108645738866791E-3</c:v>
                </c:pt>
                <c:pt idx="29">
                  <c:v>2.1205860576959958E-3</c:v>
                </c:pt>
                <c:pt idx="30">
                  <c:v>2.1237933978108543E-3</c:v>
                </c:pt>
                <c:pt idx="31">
                  <c:v>2.1269841606815884E-3</c:v>
                </c:pt>
                <c:pt idx="32">
                  <c:v>2.1426893163734063E-3</c:v>
                </c:pt>
                <c:pt idx="33">
                  <c:v>2.1457806157793987E-3</c:v>
                </c:pt>
                <c:pt idx="34">
                  <c:v>2.1488553379412677E-3</c:v>
                </c:pt>
                <c:pt idx="35">
                  <c:v>2.1549550505326341E-3</c:v>
                </c:pt>
                <c:pt idx="36">
                  <c:v>2.1639802900887558E-3</c:v>
                </c:pt>
                <c:pt idx="37">
                  <c:v>2.1669555487858825E-3</c:v>
                </c:pt>
                <c:pt idx="38">
                  <c:v>2.1699142302388855E-3</c:v>
                </c:pt>
                <c:pt idx="39">
                  <c:v>2.1728563344477645E-3</c:v>
                </c:pt>
                <c:pt idx="40">
                  <c:v>2.1757818614125202E-3</c:v>
                </c:pt>
                <c:pt idx="41">
                  <c:v>2.184458978842045E-3</c:v>
                </c:pt>
                <c:pt idx="42">
                  <c:v>2.1873181968303057E-3</c:v>
                </c:pt>
                <c:pt idx="43">
                  <c:v>2.190160837574443E-3</c:v>
                </c:pt>
                <c:pt idx="44">
                  <c:v>2.192986901074456E-3</c:v>
                </c:pt>
                <c:pt idx="45">
                  <c:v>2.195796387330346E-3</c:v>
                </c:pt>
                <c:pt idx="46">
                  <c:v>2.2041253826332735E-3</c:v>
                </c:pt>
                <c:pt idx="47">
                  <c:v>2.2068685599126682E-3</c:v>
                </c:pt>
                <c:pt idx="48">
                  <c:v>2.2095951599479398E-3</c:v>
                </c:pt>
                <c:pt idx="49">
                  <c:v>2.2123051827390877E-3</c:v>
                </c:pt>
                <c:pt idx="50">
                  <c:v>2.2149986282861112E-3</c:v>
                </c:pt>
                <c:pt idx="51">
                  <c:v>2.2229795014624414E-3</c:v>
                </c:pt>
                <c:pt idx="52">
                  <c:v>2.2256066380329704E-3</c:v>
                </c:pt>
                <c:pt idx="53">
                  <c:v>2.228217197359376E-3</c:v>
                </c:pt>
                <c:pt idx="54">
                  <c:v>2.2308111794416578E-3</c:v>
                </c:pt>
                <c:pt idx="55">
                  <c:v>2.2333885842798157E-3</c:v>
                </c:pt>
                <c:pt idx="56">
                  <c:v>2.2410213353295486E-3</c:v>
                </c:pt>
                <c:pt idx="57">
                  <c:v>2.243532431191212E-3</c:v>
                </c:pt>
                <c:pt idx="58">
                  <c:v>2.2460269498087515E-3</c:v>
                </c:pt>
                <c:pt idx="59">
                  <c:v>2.2485048911821677E-3</c:v>
                </c:pt>
                <c:pt idx="60">
                  <c:v>2.25096625531146E-3</c:v>
                </c:pt>
                <c:pt idx="61">
                  <c:v>2.2582508842345947E-3</c:v>
                </c:pt>
                <c:pt idx="62">
                  <c:v>2.2606459393873925E-3</c:v>
                </c:pt>
                <c:pt idx="63">
                  <c:v>2.263024417296066E-3</c:v>
                </c:pt>
                <c:pt idx="64">
                  <c:v>2.2653863179606165E-3</c:v>
                </c:pt>
                <c:pt idx="65">
                  <c:v>2.2677316413810432E-3</c:v>
                </c:pt>
                <c:pt idx="66">
                  <c:v>2.2746681481775805E-3</c:v>
                </c:pt>
                <c:pt idx="67">
                  <c:v>2.2769471626215127E-3</c:v>
                </c:pt>
                <c:pt idx="68">
                  <c:v>2.2792095998213201E-3</c:v>
                </c:pt>
                <c:pt idx="69">
                  <c:v>2.281455459777005E-3</c:v>
                </c:pt>
                <c:pt idx="70">
                  <c:v>2.2836847424885657E-3</c:v>
                </c:pt>
                <c:pt idx="71">
                  <c:v>2.2902731271585057E-3</c:v>
                </c:pt>
                <c:pt idx="72">
                  <c:v>2.2924361008935718E-3</c:v>
                </c:pt>
                <c:pt idx="73">
                  <c:v>2.2945824973845145E-3</c:v>
                </c:pt>
                <c:pt idx="74">
                  <c:v>2.2967123166313325E-3</c:v>
                </c:pt>
                <c:pt idx="75">
                  <c:v>2.2988255586340275E-3</c:v>
                </c:pt>
                <c:pt idx="76">
                  <c:v>2.3050658211773703E-3</c:v>
                </c:pt>
                <c:pt idx="77">
                  <c:v>2.3071127542035707E-3</c:v>
                </c:pt>
                <c:pt idx="78">
                  <c:v>2.3091431099856474E-3</c:v>
                </c:pt>
                <c:pt idx="79">
                  <c:v>2.3111568885235997E-3</c:v>
                </c:pt>
                <c:pt idx="80">
                  <c:v>2.3131540898174291E-3</c:v>
                </c:pt>
                <c:pt idx="81">
                  <c:v>2.3190462302341741E-3</c:v>
                </c:pt>
                <c:pt idx="82">
                  <c:v>2.3209771225515085E-3</c:v>
                </c:pt>
                <c:pt idx="83">
                  <c:v>2.3228914376247196E-3</c:v>
                </c:pt>
                <c:pt idx="84">
                  <c:v>2.3247891754538067E-3</c:v>
                </c:pt>
                <c:pt idx="85">
                  <c:v>2.3266703360387696E-3</c:v>
                </c:pt>
                <c:pt idx="86">
                  <c:v>2.3322143543289173E-3</c:v>
                </c:pt>
                <c:pt idx="87">
                  <c:v>2.3340292059373861E-3</c:v>
                </c:pt>
                <c:pt idx="88">
                  <c:v>2.3358274803017311E-3</c:v>
                </c:pt>
                <c:pt idx="89">
                  <c:v>2.3376091774219526E-3</c:v>
                </c:pt>
                <c:pt idx="90">
                  <c:v>2.3393742972980494E-3</c:v>
                </c:pt>
                <c:pt idx="91">
                  <c:v>2.3445701934615999E-3</c:v>
                </c:pt>
                <c:pt idx="92">
                  <c:v>2.346269004361203E-3</c:v>
                </c:pt>
                <c:pt idx="93">
                  <c:v>2.3479512380166819E-3</c:v>
                </c:pt>
                <c:pt idx="94">
                  <c:v>2.3496168944280374E-3</c:v>
                </c:pt>
                <c:pt idx="95">
                  <c:v>2.3512659735952695E-3</c:v>
                </c:pt>
                <c:pt idx="96">
                  <c:v>2.3561137476322226E-3</c:v>
                </c:pt>
                <c:pt idx="97">
                  <c:v>2.3576965178229593E-3</c:v>
                </c:pt>
                <c:pt idx="98">
                  <c:v>2.3592627107695725E-3</c:v>
                </c:pt>
                <c:pt idx="99">
                  <c:v>2.360812326472062E-3</c:v>
                </c:pt>
                <c:pt idx="100">
                  <c:v>2.3683117463226544E-3</c:v>
                </c:pt>
                <c:pt idx="101">
                  <c:v>2.369761898560402E-3</c:v>
                </c:pt>
                <c:pt idx="102">
                  <c:v>2.3711954735540263E-3</c:v>
                </c:pt>
                <c:pt idx="103">
                  <c:v>2.3726124713035262E-3</c:v>
                </c:pt>
                <c:pt idx="104">
                  <c:v>2.3767640010872843E-3</c:v>
                </c:pt>
                <c:pt idx="105">
                  <c:v>2.3781146898602893E-3</c:v>
                </c:pt>
                <c:pt idx="106">
                  <c:v>2.3794488013891713E-3</c:v>
                </c:pt>
                <c:pt idx="107">
                  <c:v>2.3807663356739295E-3</c:v>
                </c:pt>
                <c:pt idx="108">
                  <c:v>2.3820672927145638E-3</c:v>
                </c:pt>
                <c:pt idx="109">
                  <c:v>2.3858707003717246E-3</c:v>
                </c:pt>
                <c:pt idx="110">
                  <c:v>2.387105348435864E-3</c:v>
                </c:pt>
                <c:pt idx="111">
                  <c:v>2.3883234192558795E-3</c:v>
                </c:pt>
                <c:pt idx="112">
                  <c:v>2.3895249128317721E-3</c:v>
                </c:pt>
                <c:pt idx="113">
                  <c:v>2.3907098291635408E-3</c:v>
                </c:pt>
                <c:pt idx="114">
                  <c:v>2.3941651146941038E-3</c:v>
                </c:pt>
                <c:pt idx="115">
                  <c:v>2.3952837220493775E-3</c:v>
                </c:pt>
                <c:pt idx="116">
                  <c:v>2.3963857521605274E-3</c:v>
                </c:pt>
                <c:pt idx="117">
                  <c:v>2.3974712050275539E-3</c:v>
                </c:pt>
                <c:pt idx="118">
                  <c:v>2.4016472440544227E-3</c:v>
                </c:pt>
                <c:pt idx="119">
                  <c:v>2.4026498107008309E-3</c:v>
                </c:pt>
                <c:pt idx="120">
                  <c:v>2.4036358001031152E-3</c:v>
                </c:pt>
                <c:pt idx="121">
                  <c:v>2.4046052122612752E-3</c:v>
                </c:pt>
                <c:pt idx="122">
                  <c:v>2.4055580471753122E-3</c:v>
                </c:pt>
                <c:pt idx="123">
                  <c:v>2.408317088452681E-3</c:v>
                </c:pt>
                <c:pt idx="124">
                  <c:v>2.4092036143902231E-3</c:v>
                </c:pt>
                <c:pt idx="125">
                  <c:v>2.4100735630836413E-3</c:v>
                </c:pt>
                <c:pt idx="126">
                  <c:v>2.4109269345329366E-3</c:v>
                </c:pt>
                <c:pt idx="127">
                  <c:v>2.4117637287381071E-3</c:v>
                </c:pt>
                <c:pt idx="128">
                  <c:v>2.4141746478888787E-3</c:v>
                </c:pt>
                <c:pt idx="129">
                  <c:v>2.4149451331175547E-3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316736"/>
        <c:axId val="577318272"/>
      </c:lineChart>
      <c:dateAx>
        <c:axId val="5773167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7318272"/>
        <c:crosses val="autoZero"/>
        <c:auto val="1"/>
        <c:lblOffset val="100"/>
        <c:baseTimeUnit val="days"/>
      </c:dateAx>
      <c:valAx>
        <c:axId val="5773182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7316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41954</c:v>
                </c:pt>
                <c:pt idx="1">
                  <c:v>41955</c:v>
                </c:pt>
                <c:pt idx="2">
                  <c:v>41956</c:v>
                </c:pt>
                <c:pt idx="3">
                  <c:v>41957</c:v>
                </c:pt>
                <c:pt idx="4">
                  <c:v>41960</c:v>
                </c:pt>
                <c:pt idx="5">
                  <c:v>41961</c:v>
                </c:pt>
                <c:pt idx="6">
                  <c:v>41962</c:v>
                </c:pt>
                <c:pt idx="7">
                  <c:v>41963</c:v>
                </c:pt>
                <c:pt idx="8">
                  <c:v>41964</c:v>
                </c:pt>
                <c:pt idx="9">
                  <c:v>41967</c:v>
                </c:pt>
                <c:pt idx="10">
                  <c:v>41968</c:v>
                </c:pt>
                <c:pt idx="11">
                  <c:v>41969</c:v>
                </c:pt>
                <c:pt idx="12">
                  <c:v>41970</c:v>
                </c:pt>
                <c:pt idx="13">
                  <c:v>41971</c:v>
                </c:pt>
                <c:pt idx="14">
                  <c:v>41974</c:v>
                </c:pt>
                <c:pt idx="15">
                  <c:v>41975</c:v>
                </c:pt>
                <c:pt idx="16">
                  <c:v>41976</c:v>
                </c:pt>
                <c:pt idx="17">
                  <c:v>41977</c:v>
                </c:pt>
                <c:pt idx="18">
                  <c:v>41978</c:v>
                </c:pt>
                <c:pt idx="19">
                  <c:v>41981</c:v>
                </c:pt>
                <c:pt idx="20">
                  <c:v>41982</c:v>
                </c:pt>
                <c:pt idx="21">
                  <c:v>41983</c:v>
                </c:pt>
                <c:pt idx="22">
                  <c:v>41984</c:v>
                </c:pt>
                <c:pt idx="23">
                  <c:v>41985</c:v>
                </c:pt>
                <c:pt idx="24">
                  <c:v>41988</c:v>
                </c:pt>
                <c:pt idx="25">
                  <c:v>41989</c:v>
                </c:pt>
                <c:pt idx="26">
                  <c:v>41990</c:v>
                </c:pt>
                <c:pt idx="27">
                  <c:v>41991</c:v>
                </c:pt>
                <c:pt idx="28">
                  <c:v>41992</c:v>
                </c:pt>
                <c:pt idx="29">
                  <c:v>41995</c:v>
                </c:pt>
                <c:pt idx="30">
                  <c:v>41996</c:v>
                </c:pt>
                <c:pt idx="31">
                  <c:v>41997</c:v>
                </c:pt>
                <c:pt idx="32">
                  <c:v>42002</c:v>
                </c:pt>
                <c:pt idx="33">
                  <c:v>42003</c:v>
                </c:pt>
                <c:pt idx="34">
                  <c:v>42004</c:v>
                </c:pt>
                <c:pt idx="35">
                  <c:v>42006</c:v>
                </c:pt>
                <c:pt idx="36">
                  <c:v>42009</c:v>
                </c:pt>
                <c:pt idx="37">
                  <c:v>42010</c:v>
                </c:pt>
                <c:pt idx="38">
                  <c:v>42011</c:v>
                </c:pt>
                <c:pt idx="39">
                  <c:v>42012</c:v>
                </c:pt>
                <c:pt idx="40">
                  <c:v>42013</c:v>
                </c:pt>
                <c:pt idx="41">
                  <c:v>42016</c:v>
                </c:pt>
                <c:pt idx="42">
                  <c:v>42017</c:v>
                </c:pt>
                <c:pt idx="43">
                  <c:v>42018</c:v>
                </c:pt>
                <c:pt idx="44">
                  <c:v>42019</c:v>
                </c:pt>
                <c:pt idx="45">
                  <c:v>42020</c:v>
                </c:pt>
                <c:pt idx="46">
                  <c:v>42023</c:v>
                </c:pt>
                <c:pt idx="47">
                  <c:v>42024</c:v>
                </c:pt>
                <c:pt idx="48">
                  <c:v>42025</c:v>
                </c:pt>
                <c:pt idx="49">
                  <c:v>42026</c:v>
                </c:pt>
                <c:pt idx="50">
                  <c:v>42027</c:v>
                </c:pt>
                <c:pt idx="51">
                  <c:v>42030</c:v>
                </c:pt>
                <c:pt idx="52">
                  <c:v>42031</c:v>
                </c:pt>
                <c:pt idx="53">
                  <c:v>42032</c:v>
                </c:pt>
                <c:pt idx="54">
                  <c:v>42033</c:v>
                </c:pt>
                <c:pt idx="55">
                  <c:v>42034</c:v>
                </c:pt>
                <c:pt idx="56">
                  <c:v>42037</c:v>
                </c:pt>
                <c:pt idx="57">
                  <c:v>42038</c:v>
                </c:pt>
                <c:pt idx="58">
                  <c:v>42039</c:v>
                </c:pt>
                <c:pt idx="59">
                  <c:v>42040</c:v>
                </c:pt>
                <c:pt idx="60">
                  <c:v>42041</c:v>
                </c:pt>
                <c:pt idx="61">
                  <c:v>42044</c:v>
                </c:pt>
                <c:pt idx="62">
                  <c:v>42045</c:v>
                </c:pt>
                <c:pt idx="63">
                  <c:v>42046</c:v>
                </c:pt>
                <c:pt idx="64">
                  <c:v>42047</c:v>
                </c:pt>
                <c:pt idx="65">
                  <c:v>42048</c:v>
                </c:pt>
                <c:pt idx="66">
                  <c:v>42051</c:v>
                </c:pt>
                <c:pt idx="67">
                  <c:v>42052</c:v>
                </c:pt>
                <c:pt idx="68">
                  <c:v>42053</c:v>
                </c:pt>
                <c:pt idx="69">
                  <c:v>42054</c:v>
                </c:pt>
                <c:pt idx="70">
                  <c:v>42055</c:v>
                </c:pt>
                <c:pt idx="71">
                  <c:v>42058</c:v>
                </c:pt>
                <c:pt idx="72">
                  <c:v>42059</c:v>
                </c:pt>
                <c:pt idx="73">
                  <c:v>42060</c:v>
                </c:pt>
                <c:pt idx="74">
                  <c:v>42061</c:v>
                </c:pt>
                <c:pt idx="75">
                  <c:v>42062</c:v>
                </c:pt>
                <c:pt idx="76">
                  <c:v>42065</c:v>
                </c:pt>
                <c:pt idx="77">
                  <c:v>42066</c:v>
                </c:pt>
                <c:pt idx="78">
                  <c:v>42067</c:v>
                </c:pt>
                <c:pt idx="79">
                  <c:v>42068</c:v>
                </c:pt>
                <c:pt idx="80">
                  <c:v>42069</c:v>
                </c:pt>
                <c:pt idx="81">
                  <c:v>42072</c:v>
                </c:pt>
                <c:pt idx="82">
                  <c:v>42073</c:v>
                </c:pt>
                <c:pt idx="83">
                  <c:v>42074</c:v>
                </c:pt>
                <c:pt idx="84">
                  <c:v>42075</c:v>
                </c:pt>
                <c:pt idx="85">
                  <c:v>42076</c:v>
                </c:pt>
                <c:pt idx="86">
                  <c:v>42079</c:v>
                </c:pt>
                <c:pt idx="87">
                  <c:v>42080</c:v>
                </c:pt>
                <c:pt idx="88">
                  <c:v>42081</c:v>
                </c:pt>
                <c:pt idx="89">
                  <c:v>42082</c:v>
                </c:pt>
                <c:pt idx="90">
                  <c:v>42083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42093</c:v>
                </c:pt>
                <c:pt idx="97">
                  <c:v>42094</c:v>
                </c:pt>
                <c:pt idx="98">
                  <c:v>42095</c:v>
                </c:pt>
                <c:pt idx="99">
                  <c:v>42096</c:v>
                </c:pt>
                <c:pt idx="100">
                  <c:v>42101</c:v>
                </c:pt>
                <c:pt idx="101">
                  <c:v>42102</c:v>
                </c:pt>
                <c:pt idx="102">
                  <c:v>42103</c:v>
                </c:pt>
                <c:pt idx="103">
                  <c:v>42104</c:v>
                </c:pt>
                <c:pt idx="104">
                  <c:v>42107</c:v>
                </c:pt>
                <c:pt idx="105">
                  <c:v>42108</c:v>
                </c:pt>
                <c:pt idx="106">
                  <c:v>42109</c:v>
                </c:pt>
                <c:pt idx="107">
                  <c:v>42110</c:v>
                </c:pt>
                <c:pt idx="108">
                  <c:v>42111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42121</c:v>
                </c:pt>
                <c:pt idx="115">
                  <c:v>42122</c:v>
                </c:pt>
                <c:pt idx="116">
                  <c:v>42123</c:v>
                </c:pt>
                <c:pt idx="117">
                  <c:v>42124</c:v>
                </c:pt>
                <c:pt idx="118">
                  <c:v>42128</c:v>
                </c:pt>
                <c:pt idx="119">
                  <c:v>42129</c:v>
                </c:pt>
                <c:pt idx="120">
                  <c:v>42130</c:v>
                </c:pt>
                <c:pt idx="121">
                  <c:v>42131</c:v>
                </c:pt>
                <c:pt idx="122">
                  <c:v>42132</c:v>
                </c:pt>
                <c:pt idx="123">
                  <c:v>42135</c:v>
                </c:pt>
                <c:pt idx="124">
                  <c:v>42136</c:v>
                </c:pt>
                <c:pt idx="125">
                  <c:v>42137</c:v>
                </c:pt>
                <c:pt idx="126">
                  <c:v>42138</c:v>
                </c:pt>
                <c:pt idx="127">
                  <c:v>42139</c:v>
                </c:pt>
                <c:pt idx="128">
                  <c:v>42142</c:v>
                </c:pt>
                <c:pt idx="129">
                  <c:v>42143</c:v>
                </c:pt>
                <c:pt idx="130">
                  <c:v>42144</c:v>
                </c:pt>
                <c:pt idx="131">
                  <c:v>42145</c:v>
                </c:pt>
                <c:pt idx="132">
                  <c:v>42146</c:v>
                </c:pt>
                <c:pt idx="133">
                  <c:v>42149</c:v>
                </c:pt>
                <c:pt idx="134">
                  <c:v>42150</c:v>
                </c:pt>
                <c:pt idx="135">
                  <c:v>42151</c:v>
                </c:pt>
                <c:pt idx="136">
                  <c:v>42152</c:v>
                </c:pt>
                <c:pt idx="137">
                  <c:v>42153</c:v>
                </c:pt>
                <c:pt idx="138">
                  <c:v>42156</c:v>
                </c:pt>
                <c:pt idx="139">
                  <c:v>42157</c:v>
                </c:pt>
                <c:pt idx="140">
                  <c:v>42158</c:v>
                </c:pt>
                <c:pt idx="141">
                  <c:v>42159</c:v>
                </c:pt>
                <c:pt idx="142">
                  <c:v>42160</c:v>
                </c:pt>
                <c:pt idx="143">
                  <c:v>42163</c:v>
                </c:pt>
                <c:pt idx="144">
                  <c:v>42164</c:v>
                </c:pt>
                <c:pt idx="145">
                  <c:v>42165</c:v>
                </c:pt>
                <c:pt idx="146">
                  <c:v>42166</c:v>
                </c:pt>
                <c:pt idx="147">
                  <c:v>42167</c:v>
                </c:pt>
                <c:pt idx="148">
                  <c:v>42170</c:v>
                </c:pt>
                <c:pt idx="149">
                  <c:v>42171</c:v>
                </c:pt>
                <c:pt idx="150">
                  <c:v>42172</c:v>
                </c:pt>
                <c:pt idx="151">
                  <c:v>42173</c:v>
                </c:pt>
                <c:pt idx="152">
                  <c:v>42174</c:v>
                </c:pt>
                <c:pt idx="153">
                  <c:v>42177</c:v>
                </c:pt>
                <c:pt idx="154">
                  <c:v>42178</c:v>
                </c:pt>
                <c:pt idx="155">
                  <c:v>42179</c:v>
                </c:pt>
                <c:pt idx="156">
                  <c:v>42180</c:v>
                </c:pt>
                <c:pt idx="157">
                  <c:v>42181</c:v>
                </c:pt>
                <c:pt idx="158">
                  <c:v>42184</c:v>
                </c:pt>
                <c:pt idx="159">
                  <c:v>42185</c:v>
                </c:pt>
                <c:pt idx="160">
                  <c:v>42186</c:v>
                </c:pt>
                <c:pt idx="161">
                  <c:v>42187</c:v>
                </c:pt>
                <c:pt idx="162">
                  <c:v>42188</c:v>
                </c:pt>
                <c:pt idx="163">
                  <c:v>42191</c:v>
                </c:pt>
                <c:pt idx="164">
                  <c:v>42192</c:v>
                </c:pt>
                <c:pt idx="165">
                  <c:v>42193</c:v>
                </c:pt>
                <c:pt idx="166">
                  <c:v>42194</c:v>
                </c:pt>
                <c:pt idx="167">
                  <c:v>42195</c:v>
                </c:pt>
                <c:pt idx="168">
                  <c:v>42198</c:v>
                </c:pt>
                <c:pt idx="169">
                  <c:v>42199</c:v>
                </c:pt>
                <c:pt idx="170">
                  <c:v>42200</c:v>
                </c:pt>
                <c:pt idx="171">
                  <c:v>42201</c:v>
                </c:pt>
                <c:pt idx="172">
                  <c:v>42202</c:v>
                </c:pt>
                <c:pt idx="173">
                  <c:v>42205</c:v>
                </c:pt>
                <c:pt idx="174">
                  <c:v>42206</c:v>
                </c:pt>
                <c:pt idx="175">
                  <c:v>42207</c:v>
                </c:pt>
                <c:pt idx="176">
                  <c:v>42208</c:v>
                </c:pt>
                <c:pt idx="177">
                  <c:v>42209</c:v>
                </c:pt>
                <c:pt idx="178">
                  <c:v>42212</c:v>
                </c:pt>
                <c:pt idx="179">
                  <c:v>42213</c:v>
                </c:pt>
                <c:pt idx="180">
                  <c:v>42214</c:v>
                </c:pt>
                <c:pt idx="181">
                  <c:v>42215</c:v>
                </c:pt>
                <c:pt idx="182">
                  <c:v>42216</c:v>
                </c:pt>
                <c:pt idx="183">
                  <c:v>42219</c:v>
                </c:pt>
                <c:pt idx="184">
                  <c:v>42220</c:v>
                </c:pt>
                <c:pt idx="185">
                  <c:v>42221</c:v>
                </c:pt>
                <c:pt idx="186">
                  <c:v>42222</c:v>
                </c:pt>
                <c:pt idx="187">
                  <c:v>42223</c:v>
                </c:pt>
                <c:pt idx="188">
                  <c:v>42226</c:v>
                </c:pt>
                <c:pt idx="189">
                  <c:v>42227</c:v>
                </c:pt>
                <c:pt idx="190">
                  <c:v>42228</c:v>
                </c:pt>
                <c:pt idx="191">
                  <c:v>42229</c:v>
                </c:pt>
                <c:pt idx="192">
                  <c:v>42230</c:v>
                </c:pt>
                <c:pt idx="193">
                  <c:v>42233</c:v>
                </c:pt>
                <c:pt idx="194">
                  <c:v>42234</c:v>
                </c:pt>
                <c:pt idx="195">
                  <c:v>42235</c:v>
                </c:pt>
                <c:pt idx="196">
                  <c:v>42236</c:v>
                </c:pt>
                <c:pt idx="197">
                  <c:v>42237</c:v>
                </c:pt>
                <c:pt idx="198">
                  <c:v>42240</c:v>
                </c:pt>
                <c:pt idx="199">
                  <c:v>42241</c:v>
                </c:pt>
                <c:pt idx="200">
                  <c:v>42242</c:v>
                </c:pt>
                <c:pt idx="201">
                  <c:v>42243</c:v>
                </c:pt>
                <c:pt idx="202">
                  <c:v>42244</c:v>
                </c:pt>
                <c:pt idx="203">
                  <c:v>42247</c:v>
                </c:pt>
                <c:pt idx="204">
                  <c:v>42248</c:v>
                </c:pt>
                <c:pt idx="205">
                  <c:v>42249</c:v>
                </c:pt>
                <c:pt idx="206">
                  <c:v>42250</c:v>
                </c:pt>
                <c:pt idx="207">
                  <c:v>42251</c:v>
                </c:pt>
                <c:pt idx="208">
                  <c:v>42254</c:v>
                </c:pt>
                <c:pt idx="209">
                  <c:v>42255</c:v>
                </c:pt>
                <c:pt idx="210">
                  <c:v>42256</c:v>
                </c:pt>
                <c:pt idx="211">
                  <c:v>42257</c:v>
                </c:pt>
                <c:pt idx="212">
                  <c:v>42258</c:v>
                </c:pt>
                <c:pt idx="213">
                  <c:v>42261</c:v>
                </c:pt>
                <c:pt idx="214">
                  <c:v>42262</c:v>
                </c:pt>
                <c:pt idx="215">
                  <c:v>42263</c:v>
                </c:pt>
                <c:pt idx="216">
                  <c:v>42264</c:v>
                </c:pt>
                <c:pt idx="217">
                  <c:v>42265</c:v>
                </c:pt>
                <c:pt idx="218">
                  <c:v>42268</c:v>
                </c:pt>
                <c:pt idx="219">
                  <c:v>42269</c:v>
                </c:pt>
                <c:pt idx="220">
                  <c:v>42270</c:v>
                </c:pt>
                <c:pt idx="221">
                  <c:v>42271</c:v>
                </c:pt>
                <c:pt idx="222">
                  <c:v>42272</c:v>
                </c:pt>
                <c:pt idx="223">
                  <c:v>42275</c:v>
                </c:pt>
                <c:pt idx="224">
                  <c:v>42276</c:v>
                </c:pt>
                <c:pt idx="225">
                  <c:v>42277</c:v>
                </c:pt>
                <c:pt idx="226">
                  <c:v>42278</c:v>
                </c:pt>
                <c:pt idx="227">
                  <c:v>42279</c:v>
                </c:pt>
                <c:pt idx="228">
                  <c:v>42282</c:v>
                </c:pt>
                <c:pt idx="229">
                  <c:v>42283</c:v>
                </c:pt>
                <c:pt idx="230">
                  <c:v>42284</c:v>
                </c:pt>
                <c:pt idx="231">
                  <c:v>42285</c:v>
                </c:pt>
                <c:pt idx="232">
                  <c:v>42286</c:v>
                </c:pt>
                <c:pt idx="233">
                  <c:v>42289</c:v>
                </c:pt>
                <c:pt idx="234">
                  <c:v>42290</c:v>
                </c:pt>
                <c:pt idx="235">
                  <c:v>42291</c:v>
                </c:pt>
                <c:pt idx="236">
                  <c:v>42292</c:v>
                </c:pt>
                <c:pt idx="237">
                  <c:v>42293</c:v>
                </c:pt>
                <c:pt idx="238">
                  <c:v>42296</c:v>
                </c:pt>
                <c:pt idx="239">
                  <c:v>42297</c:v>
                </c:pt>
                <c:pt idx="240">
                  <c:v>42298</c:v>
                </c:pt>
                <c:pt idx="241">
                  <c:v>42299</c:v>
                </c:pt>
                <c:pt idx="242">
                  <c:v>42300</c:v>
                </c:pt>
                <c:pt idx="243">
                  <c:v>42303</c:v>
                </c:pt>
                <c:pt idx="244">
                  <c:v>42304</c:v>
                </c:pt>
                <c:pt idx="245">
                  <c:v>42305</c:v>
                </c:pt>
                <c:pt idx="246">
                  <c:v>42306</c:v>
                </c:pt>
                <c:pt idx="247">
                  <c:v>42307</c:v>
                </c:pt>
                <c:pt idx="248">
                  <c:v>42310</c:v>
                </c:pt>
                <c:pt idx="249">
                  <c:v>42311</c:v>
                </c:pt>
                <c:pt idx="250">
                  <c:v>42312</c:v>
                </c:pt>
                <c:pt idx="251">
                  <c:v>42313</c:v>
                </c:pt>
                <c:pt idx="252">
                  <c:v>42314</c:v>
                </c:pt>
                <c:pt idx="253">
                  <c:v>42317</c:v>
                </c:pt>
                <c:pt idx="254">
                  <c:v>42318</c:v>
                </c:pt>
              </c:numCache>
            </c:numRef>
          </c:cat>
          <c:val>
            <c:numRef>
              <c:f>'1YSynthDepo'!$AH$3:$AH$257</c:f>
              <c:numCache>
                <c:formatCode>0.0000%</c:formatCode>
                <c:ptCount val="255"/>
                <c:pt idx="0">
                  <c:v>3.7625345689554588E-3</c:v>
                </c:pt>
                <c:pt idx="1">
                  <c:v>3.7625345689554588E-3</c:v>
                </c:pt>
                <c:pt idx="2">
                  <c:v>3.7625345689554588E-3</c:v>
                </c:pt>
                <c:pt idx="3">
                  <c:v>3.7625345689554588E-3</c:v>
                </c:pt>
                <c:pt idx="4">
                  <c:v>3.7625345689554588E-3</c:v>
                </c:pt>
                <c:pt idx="5">
                  <c:v>3.7625345689554588E-3</c:v>
                </c:pt>
                <c:pt idx="6">
                  <c:v>3.7625345689554588E-3</c:v>
                </c:pt>
                <c:pt idx="7">
                  <c:v>3.7625345689554588E-3</c:v>
                </c:pt>
                <c:pt idx="8">
                  <c:v>3.7625345689554588E-3</c:v>
                </c:pt>
                <c:pt idx="9">
                  <c:v>3.7625345689554588E-3</c:v>
                </c:pt>
                <c:pt idx="10">
                  <c:v>3.7625345689554588E-3</c:v>
                </c:pt>
                <c:pt idx="11">
                  <c:v>3.7625345689554588E-3</c:v>
                </c:pt>
                <c:pt idx="12">
                  <c:v>3.7625345689554588E-3</c:v>
                </c:pt>
                <c:pt idx="13">
                  <c:v>3.7625345689554588E-3</c:v>
                </c:pt>
                <c:pt idx="14">
                  <c:v>3.7625345689554588E-3</c:v>
                </c:pt>
                <c:pt idx="15">
                  <c:v>3.7625345689554588E-3</c:v>
                </c:pt>
                <c:pt idx="16">
                  <c:v>3.7625345689554588E-3</c:v>
                </c:pt>
                <c:pt idx="17">
                  <c:v>3.7625345689554588E-3</c:v>
                </c:pt>
                <c:pt idx="18">
                  <c:v>3.7625345689554588E-3</c:v>
                </c:pt>
                <c:pt idx="19">
                  <c:v>3.7625345689554588E-3</c:v>
                </c:pt>
                <c:pt idx="20">
                  <c:v>3.7625345689554588E-3</c:v>
                </c:pt>
                <c:pt idx="21">
                  <c:v>3.7625345689554588E-3</c:v>
                </c:pt>
                <c:pt idx="22">
                  <c:v>3.7625345689554588E-3</c:v>
                </c:pt>
                <c:pt idx="23">
                  <c:v>3.7625345689554588E-3</c:v>
                </c:pt>
                <c:pt idx="24">
                  <c:v>3.7625345689554588E-3</c:v>
                </c:pt>
                <c:pt idx="25">
                  <c:v>3.7625345689554588E-3</c:v>
                </c:pt>
                <c:pt idx="26">
                  <c:v>3.7625345689554588E-3</c:v>
                </c:pt>
                <c:pt idx="27">
                  <c:v>3.7625345689554588E-3</c:v>
                </c:pt>
                <c:pt idx="28">
                  <c:v>3.7625345689554588E-3</c:v>
                </c:pt>
                <c:pt idx="29">
                  <c:v>3.7625345689554588E-3</c:v>
                </c:pt>
                <c:pt idx="30">
                  <c:v>3.7625345689554588E-3</c:v>
                </c:pt>
                <c:pt idx="31">
                  <c:v>3.7625345689554588E-3</c:v>
                </c:pt>
                <c:pt idx="32">
                  <c:v>3.7625345689554588E-3</c:v>
                </c:pt>
                <c:pt idx="33">
                  <c:v>3.7625345689554588E-3</c:v>
                </c:pt>
                <c:pt idx="34">
                  <c:v>3.7625345689554588E-3</c:v>
                </c:pt>
                <c:pt idx="35">
                  <c:v>3.7625345689554588E-3</c:v>
                </c:pt>
                <c:pt idx="36">
                  <c:v>3.7625345689554588E-3</c:v>
                </c:pt>
                <c:pt idx="37">
                  <c:v>3.7625345689554588E-3</c:v>
                </c:pt>
                <c:pt idx="38">
                  <c:v>3.7625345689554588E-3</c:v>
                </c:pt>
                <c:pt idx="39">
                  <c:v>3.7625345689554588E-3</c:v>
                </c:pt>
                <c:pt idx="40">
                  <c:v>3.7625345689554588E-3</c:v>
                </c:pt>
                <c:pt idx="41">
                  <c:v>3.7625345689554588E-3</c:v>
                </c:pt>
                <c:pt idx="42">
                  <c:v>3.7625345689554588E-3</c:v>
                </c:pt>
                <c:pt idx="43">
                  <c:v>3.7625345689554588E-3</c:v>
                </c:pt>
                <c:pt idx="44">
                  <c:v>3.7625345689554588E-3</c:v>
                </c:pt>
                <c:pt idx="45">
                  <c:v>3.7625345689554588E-3</c:v>
                </c:pt>
                <c:pt idx="46">
                  <c:v>3.7625345689554588E-3</c:v>
                </c:pt>
                <c:pt idx="47">
                  <c:v>3.7625345689554588E-3</c:v>
                </c:pt>
                <c:pt idx="48">
                  <c:v>3.7625345689554588E-3</c:v>
                </c:pt>
                <c:pt idx="49">
                  <c:v>3.7625345689554588E-3</c:v>
                </c:pt>
                <c:pt idx="50">
                  <c:v>3.7625345689554588E-3</c:v>
                </c:pt>
                <c:pt idx="51">
                  <c:v>3.7625345689554588E-3</c:v>
                </c:pt>
                <c:pt idx="52">
                  <c:v>3.7625345689554588E-3</c:v>
                </c:pt>
                <c:pt idx="53">
                  <c:v>3.7625345689554588E-3</c:v>
                </c:pt>
                <c:pt idx="54">
                  <c:v>3.7625345689554588E-3</c:v>
                </c:pt>
                <c:pt idx="55">
                  <c:v>3.7625345689554588E-3</c:v>
                </c:pt>
                <c:pt idx="56">
                  <c:v>3.7625345689554588E-3</c:v>
                </c:pt>
                <c:pt idx="57">
                  <c:v>3.7625345689554588E-3</c:v>
                </c:pt>
                <c:pt idx="58">
                  <c:v>3.7625345689554588E-3</c:v>
                </c:pt>
                <c:pt idx="59">
                  <c:v>3.7625345689554588E-3</c:v>
                </c:pt>
                <c:pt idx="60">
                  <c:v>3.7625345689554588E-3</c:v>
                </c:pt>
                <c:pt idx="61">
                  <c:v>3.7625345689554588E-3</c:v>
                </c:pt>
                <c:pt idx="62">
                  <c:v>3.7625345689554588E-3</c:v>
                </c:pt>
                <c:pt idx="63">
                  <c:v>3.7625345689554588E-3</c:v>
                </c:pt>
                <c:pt idx="64">
                  <c:v>3.7625345689554588E-3</c:v>
                </c:pt>
                <c:pt idx="65">
                  <c:v>3.7625345689554588E-3</c:v>
                </c:pt>
                <c:pt idx="66">
                  <c:v>3.7625345689554588E-3</c:v>
                </c:pt>
                <c:pt idx="67">
                  <c:v>3.7625345689554588E-3</c:v>
                </c:pt>
                <c:pt idx="68">
                  <c:v>3.7625345689554588E-3</c:v>
                </c:pt>
                <c:pt idx="69">
                  <c:v>3.7625345689554588E-3</c:v>
                </c:pt>
                <c:pt idx="70">
                  <c:v>3.7625345689554588E-3</c:v>
                </c:pt>
                <c:pt idx="71">
                  <c:v>3.7625345689554588E-3</c:v>
                </c:pt>
                <c:pt idx="72">
                  <c:v>3.7625345689554588E-3</c:v>
                </c:pt>
                <c:pt idx="73">
                  <c:v>3.7625345689554588E-3</c:v>
                </c:pt>
                <c:pt idx="74">
                  <c:v>3.7625345689554588E-3</c:v>
                </c:pt>
                <c:pt idx="75">
                  <c:v>3.7625345689554588E-3</c:v>
                </c:pt>
                <c:pt idx="76">
                  <c:v>3.7625345689554588E-3</c:v>
                </c:pt>
                <c:pt idx="77">
                  <c:v>3.7625345689554588E-3</c:v>
                </c:pt>
                <c:pt idx="78">
                  <c:v>3.7625345689554588E-3</c:v>
                </c:pt>
                <c:pt idx="79">
                  <c:v>3.7625345689554588E-3</c:v>
                </c:pt>
                <c:pt idx="80">
                  <c:v>3.7625345689554588E-3</c:v>
                </c:pt>
                <c:pt idx="81">
                  <c:v>3.7625345689554588E-3</c:v>
                </c:pt>
                <c:pt idx="82">
                  <c:v>3.7625345689554588E-3</c:v>
                </c:pt>
                <c:pt idx="83">
                  <c:v>3.7625345689554588E-3</c:v>
                </c:pt>
                <c:pt idx="84">
                  <c:v>3.7625345689554588E-3</c:v>
                </c:pt>
                <c:pt idx="85">
                  <c:v>3.7625345689554588E-3</c:v>
                </c:pt>
                <c:pt idx="86">
                  <c:v>3.7625345689554588E-3</c:v>
                </c:pt>
                <c:pt idx="87">
                  <c:v>3.7625345689554588E-3</c:v>
                </c:pt>
                <c:pt idx="88">
                  <c:v>3.7625345689554588E-3</c:v>
                </c:pt>
                <c:pt idx="89">
                  <c:v>3.7625345689554588E-3</c:v>
                </c:pt>
                <c:pt idx="90">
                  <c:v>3.7625345689554588E-3</c:v>
                </c:pt>
                <c:pt idx="91">
                  <c:v>3.7625345689554588E-3</c:v>
                </c:pt>
                <c:pt idx="92">
                  <c:v>3.7625345689554588E-3</c:v>
                </c:pt>
                <c:pt idx="93">
                  <c:v>3.7625345689554588E-3</c:v>
                </c:pt>
                <c:pt idx="94">
                  <c:v>3.7625345689554588E-3</c:v>
                </c:pt>
                <c:pt idx="95">
                  <c:v>3.7625345689554588E-3</c:v>
                </c:pt>
                <c:pt idx="96">
                  <c:v>3.7625345689554588E-3</c:v>
                </c:pt>
                <c:pt idx="97">
                  <c:v>3.7625345689554588E-3</c:v>
                </c:pt>
                <c:pt idx="98">
                  <c:v>3.7625345689554588E-3</c:v>
                </c:pt>
                <c:pt idx="99">
                  <c:v>3.7625345689554588E-3</c:v>
                </c:pt>
                <c:pt idx="100">
                  <c:v>3.7625345689554588E-3</c:v>
                </c:pt>
                <c:pt idx="101">
                  <c:v>3.7625345689554588E-3</c:v>
                </c:pt>
                <c:pt idx="102">
                  <c:v>3.7625345689554588E-3</c:v>
                </c:pt>
                <c:pt idx="103">
                  <c:v>3.7625345689554588E-3</c:v>
                </c:pt>
                <c:pt idx="104">
                  <c:v>3.7625345689554588E-3</c:v>
                </c:pt>
                <c:pt idx="105">
                  <c:v>3.7625345689554588E-3</c:v>
                </c:pt>
                <c:pt idx="106">
                  <c:v>3.7625345689554588E-3</c:v>
                </c:pt>
                <c:pt idx="107">
                  <c:v>3.7625345689554588E-3</c:v>
                </c:pt>
                <c:pt idx="108">
                  <c:v>3.7625345689554588E-3</c:v>
                </c:pt>
                <c:pt idx="109">
                  <c:v>3.7625345689554588E-3</c:v>
                </c:pt>
                <c:pt idx="110">
                  <c:v>3.7625345689554588E-3</c:v>
                </c:pt>
                <c:pt idx="111">
                  <c:v>3.7625345689554588E-3</c:v>
                </c:pt>
                <c:pt idx="112">
                  <c:v>3.7625345689554588E-3</c:v>
                </c:pt>
                <c:pt idx="113">
                  <c:v>3.7625345689554588E-3</c:v>
                </c:pt>
                <c:pt idx="114">
                  <c:v>3.7625345689554588E-3</c:v>
                </c:pt>
                <c:pt idx="115">
                  <c:v>3.7625345689554588E-3</c:v>
                </c:pt>
                <c:pt idx="116">
                  <c:v>3.7625345689554588E-3</c:v>
                </c:pt>
                <c:pt idx="117">
                  <c:v>3.7625345689554588E-3</c:v>
                </c:pt>
                <c:pt idx="118">
                  <c:v>3.7625345689554588E-3</c:v>
                </c:pt>
                <c:pt idx="119">
                  <c:v>3.7625345689554588E-3</c:v>
                </c:pt>
                <c:pt idx="120">
                  <c:v>3.7625345689554588E-3</c:v>
                </c:pt>
                <c:pt idx="121">
                  <c:v>3.7625345689554588E-3</c:v>
                </c:pt>
                <c:pt idx="122">
                  <c:v>3.7625345689554588E-3</c:v>
                </c:pt>
                <c:pt idx="123">
                  <c:v>3.7625345689554588E-3</c:v>
                </c:pt>
                <c:pt idx="124">
                  <c:v>3.7625345689554588E-3</c:v>
                </c:pt>
                <c:pt idx="125">
                  <c:v>3.7625345689554588E-3</c:v>
                </c:pt>
                <c:pt idx="126">
                  <c:v>3.7625345689554588E-3</c:v>
                </c:pt>
                <c:pt idx="127">
                  <c:v>3.7625345689554588E-3</c:v>
                </c:pt>
                <c:pt idx="128">
                  <c:v>3.7625345689554588E-3</c:v>
                </c:pt>
                <c:pt idx="129">
                  <c:v>3.7625345689554588E-3</c:v>
                </c:pt>
                <c:pt idx="130">
                  <c:v>3.7625345689554588E-3</c:v>
                </c:pt>
                <c:pt idx="131">
                  <c:v>3.7625345689554588E-3</c:v>
                </c:pt>
                <c:pt idx="132">
                  <c:v>3.7625345689554588E-3</c:v>
                </c:pt>
                <c:pt idx="133">
                  <c:v>3.7625345689554588E-3</c:v>
                </c:pt>
                <c:pt idx="134">
                  <c:v>3.7625345689554588E-3</c:v>
                </c:pt>
                <c:pt idx="135">
                  <c:v>3.7625345689554588E-3</c:v>
                </c:pt>
                <c:pt idx="136">
                  <c:v>3.7625345689554588E-3</c:v>
                </c:pt>
                <c:pt idx="137">
                  <c:v>3.7625345689554588E-3</c:v>
                </c:pt>
                <c:pt idx="138">
                  <c:v>3.7625345689554588E-3</c:v>
                </c:pt>
                <c:pt idx="139">
                  <c:v>3.7625345689554588E-3</c:v>
                </c:pt>
                <c:pt idx="140">
                  <c:v>3.7625345689554588E-3</c:v>
                </c:pt>
                <c:pt idx="141">
                  <c:v>3.7625345689554588E-3</c:v>
                </c:pt>
                <c:pt idx="142">
                  <c:v>3.7625345689554588E-3</c:v>
                </c:pt>
                <c:pt idx="143">
                  <c:v>3.7625345689554588E-3</c:v>
                </c:pt>
                <c:pt idx="144">
                  <c:v>3.7625345689554588E-3</c:v>
                </c:pt>
                <c:pt idx="145">
                  <c:v>3.7625345689554588E-3</c:v>
                </c:pt>
                <c:pt idx="146">
                  <c:v>3.7625345689554588E-3</c:v>
                </c:pt>
                <c:pt idx="147">
                  <c:v>3.7625345689554588E-3</c:v>
                </c:pt>
                <c:pt idx="148">
                  <c:v>3.7625345689554588E-3</c:v>
                </c:pt>
                <c:pt idx="149">
                  <c:v>3.7625345689554588E-3</c:v>
                </c:pt>
                <c:pt idx="150">
                  <c:v>3.7625345689554588E-3</c:v>
                </c:pt>
                <c:pt idx="151">
                  <c:v>3.7625345689554588E-3</c:v>
                </c:pt>
                <c:pt idx="152">
                  <c:v>3.7625345689554588E-3</c:v>
                </c:pt>
                <c:pt idx="153">
                  <c:v>3.7625345689554588E-3</c:v>
                </c:pt>
                <c:pt idx="154">
                  <c:v>3.7625345689554588E-3</c:v>
                </c:pt>
                <c:pt idx="155">
                  <c:v>3.7625345689554588E-3</c:v>
                </c:pt>
                <c:pt idx="156">
                  <c:v>3.7625345689554588E-3</c:v>
                </c:pt>
                <c:pt idx="157">
                  <c:v>3.7625345689554588E-3</c:v>
                </c:pt>
                <c:pt idx="158">
                  <c:v>3.7625345689554588E-3</c:v>
                </c:pt>
                <c:pt idx="159">
                  <c:v>3.7625345689554588E-3</c:v>
                </c:pt>
                <c:pt idx="160">
                  <c:v>3.7625345689554588E-3</c:v>
                </c:pt>
                <c:pt idx="161">
                  <c:v>3.7625345689554588E-3</c:v>
                </c:pt>
                <c:pt idx="162">
                  <c:v>3.7625345689554588E-3</c:v>
                </c:pt>
                <c:pt idx="163">
                  <c:v>3.7625345689554588E-3</c:v>
                </c:pt>
                <c:pt idx="164">
                  <c:v>3.7625345689554588E-3</c:v>
                </c:pt>
                <c:pt idx="165">
                  <c:v>3.7625345689554588E-3</c:v>
                </c:pt>
                <c:pt idx="166">
                  <c:v>3.7625345689554588E-3</c:v>
                </c:pt>
                <c:pt idx="167">
                  <c:v>3.7625345689554588E-3</c:v>
                </c:pt>
                <c:pt idx="168">
                  <c:v>3.7625345689554588E-3</c:v>
                </c:pt>
                <c:pt idx="169">
                  <c:v>3.7625345689554588E-3</c:v>
                </c:pt>
                <c:pt idx="170">
                  <c:v>3.7625345689554588E-3</c:v>
                </c:pt>
                <c:pt idx="171">
                  <c:v>3.7625345689554588E-3</c:v>
                </c:pt>
                <c:pt idx="172">
                  <c:v>3.7625345689554588E-3</c:v>
                </c:pt>
                <c:pt idx="173">
                  <c:v>3.7625345689554588E-3</c:v>
                </c:pt>
                <c:pt idx="174">
                  <c:v>3.7625345689554588E-3</c:v>
                </c:pt>
                <c:pt idx="175">
                  <c:v>3.7625345689554588E-3</c:v>
                </c:pt>
                <c:pt idx="176">
                  <c:v>3.7625345689554588E-3</c:v>
                </c:pt>
                <c:pt idx="177">
                  <c:v>3.7625345689554588E-3</c:v>
                </c:pt>
                <c:pt idx="178">
                  <c:v>3.7625345689554588E-3</c:v>
                </c:pt>
                <c:pt idx="179">
                  <c:v>3.7625345689554588E-3</c:v>
                </c:pt>
                <c:pt idx="180">
                  <c:v>3.7625345689554588E-3</c:v>
                </c:pt>
                <c:pt idx="181">
                  <c:v>3.7625345689554588E-3</c:v>
                </c:pt>
                <c:pt idx="182">
                  <c:v>3.7625345689554588E-3</c:v>
                </c:pt>
                <c:pt idx="183">
                  <c:v>3.7625345689554588E-3</c:v>
                </c:pt>
                <c:pt idx="184">
                  <c:v>3.7625345689554588E-3</c:v>
                </c:pt>
                <c:pt idx="185">
                  <c:v>3.7625345689554588E-3</c:v>
                </c:pt>
                <c:pt idx="186">
                  <c:v>3.7625345689554588E-3</c:v>
                </c:pt>
                <c:pt idx="187">
                  <c:v>3.7625345689554588E-3</c:v>
                </c:pt>
                <c:pt idx="188">
                  <c:v>3.7625345689554588E-3</c:v>
                </c:pt>
                <c:pt idx="189">
                  <c:v>3.7625345689554588E-3</c:v>
                </c:pt>
                <c:pt idx="190">
                  <c:v>3.7625345689554588E-3</c:v>
                </c:pt>
                <c:pt idx="191">
                  <c:v>3.7625345689554588E-3</c:v>
                </c:pt>
                <c:pt idx="192">
                  <c:v>3.7625345689554588E-3</c:v>
                </c:pt>
                <c:pt idx="193">
                  <c:v>3.7625345689554588E-3</c:v>
                </c:pt>
                <c:pt idx="194">
                  <c:v>3.7625345689554588E-3</c:v>
                </c:pt>
                <c:pt idx="195">
                  <c:v>3.7625345689554588E-3</c:v>
                </c:pt>
                <c:pt idx="196">
                  <c:v>3.7625345689554588E-3</c:v>
                </c:pt>
                <c:pt idx="197">
                  <c:v>3.7625345689554588E-3</c:v>
                </c:pt>
                <c:pt idx="198">
                  <c:v>3.7625345689554588E-3</c:v>
                </c:pt>
                <c:pt idx="199">
                  <c:v>3.7625345689554588E-3</c:v>
                </c:pt>
                <c:pt idx="200">
                  <c:v>3.7625345689554588E-3</c:v>
                </c:pt>
                <c:pt idx="201">
                  <c:v>3.7625345689554588E-3</c:v>
                </c:pt>
                <c:pt idx="202">
                  <c:v>3.7625345689554588E-3</c:v>
                </c:pt>
                <c:pt idx="203">
                  <c:v>3.7625345689554588E-3</c:v>
                </c:pt>
                <c:pt idx="204">
                  <c:v>3.7625345689554588E-3</c:v>
                </c:pt>
                <c:pt idx="205">
                  <c:v>3.7625345689554588E-3</c:v>
                </c:pt>
                <c:pt idx="206">
                  <c:v>3.7625345689554588E-3</c:v>
                </c:pt>
                <c:pt idx="207">
                  <c:v>3.7625345689554588E-3</c:v>
                </c:pt>
                <c:pt idx="208">
                  <c:v>3.7625345689554588E-3</c:v>
                </c:pt>
                <c:pt idx="209">
                  <c:v>3.7625345689554588E-3</c:v>
                </c:pt>
                <c:pt idx="210">
                  <c:v>3.7625345689554588E-3</c:v>
                </c:pt>
                <c:pt idx="211">
                  <c:v>3.7625345689554588E-3</c:v>
                </c:pt>
                <c:pt idx="212">
                  <c:v>3.7625345689554588E-3</c:v>
                </c:pt>
                <c:pt idx="213">
                  <c:v>3.7625345689554588E-3</c:v>
                </c:pt>
                <c:pt idx="214">
                  <c:v>3.7625345689554588E-3</c:v>
                </c:pt>
                <c:pt idx="215">
                  <c:v>3.7625345689554588E-3</c:v>
                </c:pt>
                <c:pt idx="216">
                  <c:v>3.7625345689554588E-3</c:v>
                </c:pt>
                <c:pt idx="217">
                  <c:v>3.7625345689554588E-3</c:v>
                </c:pt>
                <c:pt idx="218">
                  <c:v>3.7625345689554588E-3</c:v>
                </c:pt>
                <c:pt idx="219">
                  <c:v>3.7625345689554588E-3</c:v>
                </c:pt>
                <c:pt idx="220">
                  <c:v>3.7625345689554588E-3</c:v>
                </c:pt>
                <c:pt idx="221">
                  <c:v>3.7625345689554588E-3</c:v>
                </c:pt>
                <c:pt idx="222">
                  <c:v>3.7625345689554588E-3</c:v>
                </c:pt>
                <c:pt idx="223">
                  <c:v>3.7625345689554588E-3</c:v>
                </c:pt>
                <c:pt idx="224">
                  <c:v>3.7625345689554588E-3</c:v>
                </c:pt>
                <c:pt idx="225">
                  <c:v>3.7625345689554588E-3</c:v>
                </c:pt>
                <c:pt idx="226">
                  <c:v>3.7625345689554588E-3</c:v>
                </c:pt>
                <c:pt idx="227">
                  <c:v>3.7625345689554588E-3</c:v>
                </c:pt>
                <c:pt idx="228">
                  <c:v>3.7625345689554588E-3</c:v>
                </c:pt>
                <c:pt idx="229">
                  <c:v>3.7625345689554588E-3</c:v>
                </c:pt>
                <c:pt idx="230">
                  <c:v>3.7625345689554588E-3</c:v>
                </c:pt>
                <c:pt idx="231">
                  <c:v>3.7625345689554588E-3</c:v>
                </c:pt>
                <c:pt idx="232">
                  <c:v>3.7625345689554588E-3</c:v>
                </c:pt>
                <c:pt idx="233">
                  <c:v>3.7625345689554588E-3</c:v>
                </c:pt>
                <c:pt idx="234">
                  <c:v>3.7625345689554588E-3</c:v>
                </c:pt>
                <c:pt idx="235">
                  <c:v>3.7625345689554588E-3</c:v>
                </c:pt>
                <c:pt idx="236">
                  <c:v>3.7625345689554588E-3</c:v>
                </c:pt>
                <c:pt idx="237">
                  <c:v>3.7625345689554588E-3</c:v>
                </c:pt>
                <c:pt idx="238">
                  <c:v>3.7625345689554588E-3</c:v>
                </c:pt>
                <c:pt idx="239">
                  <c:v>3.7625345689554588E-3</c:v>
                </c:pt>
                <c:pt idx="240">
                  <c:v>3.7625345689554588E-3</c:v>
                </c:pt>
                <c:pt idx="241">
                  <c:v>3.7625345689554588E-3</c:v>
                </c:pt>
                <c:pt idx="242">
                  <c:v>3.7625345689554588E-3</c:v>
                </c:pt>
                <c:pt idx="243">
                  <c:v>3.7625345689554588E-3</c:v>
                </c:pt>
                <c:pt idx="244">
                  <c:v>3.7625345689554588E-3</c:v>
                </c:pt>
                <c:pt idx="245">
                  <c:v>3.7625345689554588E-3</c:v>
                </c:pt>
                <c:pt idx="246">
                  <c:v>3.7625345689554588E-3</c:v>
                </c:pt>
                <c:pt idx="247">
                  <c:v>3.7625345689554588E-3</c:v>
                </c:pt>
                <c:pt idx="248">
                  <c:v>3.7625345689554588E-3</c:v>
                </c:pt>
                <c:pt idx="249">
                  <c:v>3.7625345689554588E-3</c:v>
                </c:pt>
                <c:pt idx="250">
                  <c:v>3.7625345689554588E-3</c:v>
                </c:pt>
                <c:pt idx="251">
                  <c:v>3.7625345689554588E-3</c:v>
                </c:pt>
                <c:pt idx="252">
                  <c:v>3.7625345689554588E-3</c:v>
                </c:pt>
                <c:pt idx="253">
                  <c:v>3.7625345689554588E-3</c:v>
                </c:pt>
                <c:pt idx="254">
                  <c:v>3.7625345689554588E-3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41954</c:v>
                </c:pt>
                <c:pt idx="1">
                  <c:v>41955</c:v>
                </c:pt>
                <c:pt idx="2">
                  <c:v>41956</c:v>
                </c:pt>
                <c:pt idx="3">
                  <c:v>41957</c:v>
                </c:pt>
                <c:pt idx="4">
                  <c:v>41960</c:v>
                </c:pt>
                <c:pt idx="5">
                  <c:v>41961</c:v>
                </c:pt>
                <c:pt idx="6">
                  <c:v>41962</c:v>
                </c:pt>
                <c:pt idx="7">
                  <c:v>41963</c:v>
                </c:pt>
                <c:pt idx="8">
                  <c:v>41964</c:v>
                </c:pt>
                <c:pt idx="9">
                  <c:v>41967</c:v>
                </c:pt>
                <c:pt idx="10">
                  <c:v>41968</c:v>
                </c:pt>
                <c:pt idx="11">
                  <c:v>41969</c:v>
                </c:pt>
                <c:pt idx="12">
                  <c:v>41970</c:v>
                </c:pt>
                <c:pt idx="13">
                  <c:v>41971</c:v>
                </c:pt>
                <c:pt idx="14">
                  <c:v>41974</c:v>
                </c:pt>
                <c:pt idx="15">
                  <c:v>41975</c:v>
                </c:pt>
                <c:pt idx="16">
                  <c:v>41976</c:v>
                </c:pt>
                <c:pt idx="17">
                  <c:v>41977</c:v>
                </c:pt>
                <c:pt idx="18">
                  <c:v>41978</c:v>
                </c:pt>
                <c:pt idx="19">
                  <c:v>41981</c:v>
                </c:pt>
                <c:pt idx="20">
                  <c:v>41982</c:v>
                </c:pt>
                <c:pt idx="21">
                  <c:v>41983</c:v>
                </c:pt>
                <c:pt idx="22">
                  <c:v>41984</c:v>
                </c:pt>
                <c:pt idx="23">
                  <c:v>41985</c:v>
                </c:pt>
                <c:pt idx="24">
                  <c:v>41988</c:v>
                </c:pt>
                <c:pt idx="25">
                  <c:v>41989</c:v>
                </c:pt>
                <c:pt idx="26">
                  <c:v>41990</c:v>
                </c:pt>
                <c:pt idx="27">
                  <c:v>41991</c:v>
                </c:pt>
                <c:pt idx="28">
                  <c:v>41992</c:v>
                </c:pt>
                <c:pt idx="29">
                  <c:v>41995</c:v>
                </c:pt>
                <c:pt idx="30">
                  <c:v>41996</c:v>
                </c:pt>
                <c:pt idx="31">
                  <c:v>41997</c:v>
                </c:pt>
                <c:pt idx="32">
                  <c:v>42002</c:v>
                </c:pt>
                <c:pt idx="33">
                  <c:v>42003</c:v>
                </c:pt>
                <c:pt idx="34">
                  <c:v>42004</c:v>
                </c:pt>
                <c:pt idx="35">
                  <c:v>42006</c:v>
                </c:pt>
                <c:pt idx="36">
                  <c:v>42009</c:v>
                </c:pt>
                <c:pt idx="37">
                  <c:v>42010</c:v>
                </c:pt>
                <c:pt idx="38">
                  <c:v>42011</c:v>
                </c:pt>
                <c:pt idx="39">
                  <c:v>42012</c:v>
                </c:pt>
                <c:pt idx="40">
                  <c:v>42013</c:v>
                </c:pt>
                <c:pt idx="41">
                  <c:v>42016</c:v>
                </c:pt>
                <c:pt idx="42">
                  <c:v>42017</c:v>
                </c:pt>
                <c:pt idx="43">
                  <c:v>42018</c:v>
                </c:pt>
                <c:pt idx="44">
                  <c:v>42019</c:v>
                </c:pt>
                <c:pt idx="45">
                  <c:v>42020</c:v>
                </c:pt>
                <c:pt idx="46">
                  <c:v>42023</c:v>
                </c:pt>
                <c:pt idx="47">
                  <c:v>42024</c:v>
                </c:pt>
                <c:pt idx="48">
                  <c:v>42025</c:v>
                </c:pt>
                <c:pt idx="49">
                  <c:v>42026</c:v>
                </c:pt>
                <c:pt idx="50">
                  <c:v>42027</c:v>
                </c:pt>
                <c:pt idx="51">
                  <c:v>42030</c:v>
                </c:pt>
                <c:pt idx="52">
                  <c:v>42031</c:v>
                </c:pt>
                <c:pt idx="53">
                  <c:v>42032</c:v>
                </c:pt>
                <c:pt idx="54">
                  <c:v>42033</c:v>
                </c:pt>
                <c:pt idx="55">
                  <c:v>42034</c:v>
                </c:pt>
                <c:pt idx="56">
                  <c:v>42037</c:v>
                </c:pt>
                <c:pt idx="57">
                  <c:v>42038</c:v>
                </c:pt>
                <c:pt idx="58">
                  <c:v>42039</c:v>
                </c:pt>
                <c:pt idx="59">
                  <c:v>42040</c:v>
                </c:pt>
                <c:pt idx="60">
                  <c:v>42041</c:v>
                </c:pt>
                <c:pt idx="61">
                  <c:v>42044</c:v>
                </c:pt>
                <c:pt idx="62">
                  <c:v>42045</c:v>
                </c:pt>
                <c:pt idx="63">
                  <c:v>42046</c:v>
                </c:pt>
                <c:pt idx="64">
                  <c:v>42047</c:v>
                </c:pt>
                <c:pt idx="65">
                  <c:v>42048</c:v>
                </c:pt>
                <c:pt idx="66">
                  <c:v>42051</c:v>
                </c:pt>
                <c:pt idx="67">
                  <c:v>42052</c:v>
                </c:pt>
                <c:pt idx="68">
                  <c:v>42053</c:v>
                </c:pt>
                <c:pt idx="69">
                  <c:v>42054</c:v>
                </c:pt>
                <c:pt idx="70">
                  <c:v>42055</c:v>
                </c:pt>
                <c:pt idx="71">
                  <c:v>42058</c:v>
                </c:pt>
                <c:pt idx="72">
                  <c:v>42059</c:v>
                </c:pt>
                <c:pt idx="73">
                  <c:v>42060</c:v>
                </c:pt>
                <c:pt idx="74">
                  <c:v>42061</c:v>
                </c:pt>
                <c:pt idx="75">
                  <c:v>42062</c:v>
                </c:pt>
                <c:pt idx="76">
                  <c:v>42065</c:v>
                </c:pt>
                <c:pt idx="77">
                  <c:v>42066</c:v>
                </c:pt>
                <c:pt idx="78">
                  <c:v>42067</c:v>
                </c:pt>
                <c:pt idx="79">
                  <c:v>42068</c:v>
                </c:pt>
                <c:pt idx="80">
                  <c:v>42069</c:v>
                </c:pt>
                <c:pt idx="81">
                  <c:v>42072</c:v>
                </c:pt>
                <c:pt idx="82">
                  <c:v>42073</c:v>
                </c:pt>
                <c:pt idx="83">
                  <c:v>42074</c:v>
                </c:pt>
                <c:pt idx="84">
                  <c:v>42075</c:v>
                </c:pt>
                <c:pt idx="85">
                  <c:v>42076</c:v>
                </c:pt>
                <c:pt idx="86">
                  <c:v>42079</c:v>
                </c:pt>
                <c:pt idx="87">
                  <c:v>42080</c:v>
                </c:pt>
                <c:pt idx="88">
                  <c:v>42081</c:v>
                </c:pt>
                <c:pt idx="89">
                  <c:v>42082</c:v>
                </c:pt>
                <c:pt idx="90">
                  <c:v>42083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42093</c:v>
                </c:pt>
                <c:pt idx="97">
                  <c:v>42094</c:v>
                </c:pt>
                <c:pt idx="98">
                  <c:v>42095</c:v>
                </c:pt>
                <c:pt idx="99">
                  <c:v>42096</c:v>
                </c:pt>
                <c:pt idx="100">
                  <c:v>42101</c:v>
                </c:pt>
                <c:pt idx="101">
                  <c:v>42102</c:v>
                </c:pt>
                <c:pt idx="102">
                  <c:v>42103</c:v>
                </c:pt>
                <c:pt idx="103">
                  <c:v>42104</c:v>
                </c:pt>
                <c:pt idx="104">
                  <c:v>42107</c:v>
                </c:pt>
                <c:pt idx="105">
                  <c:v>42108</c:v>
                </c:pt>
                <c:pt idx="106">
                  <c:v>42109</c:v>
                </c:pt>
                <c:pt idx="107">
                  <c:v>42110</c:v>
                </c:pt>
                <c:pt idx="108">
                  <c:v>42111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42121</c:v>
                </c:pt>
                <c:pt idx="115">
                  <c:v>42122</c:v>
                </c:pt>
                <c:pt idx="116">
                  <c:v>42123</c:v>
                </c:pt>
                <c:pt idx="117">
                  <c:v>42124</c:v>
                </c:pt>
                <c:pt idx="118">
                  <c:v>42128</c:v>
                </c:pt>
                <c:pt idx="119">
                  <c:v>42129</c:v>
                </c:pt>
                <c:pt idx="120">
                  <c:v>42130</c:v>
                </c:pt>
                <c:pt idx="121">
                  <c:v>42131</c:v>
                </c:pt>
                <c:pt idx="122">
                  <c:v>42132</c:v>
                </c:pt>
                <c:pt idx="123">
                  <c:v>42135</c:v>
                </c:pt>
                <c:pt idx="124">
                  <c:v>42136</c:v>
                </c:pt>
                <c:pt idx="125">
                  <c:v>42137</c:v>
                </c:pt>
                <c:pt idx="126">
                  <c:v>42138</c:v>
                </c:pt>
                <c:pt idx="127">
                  <c:v>42139</c:v>
                </c:pt>
                <c:pt idx="128">
                  <c:v>42142</c:v>
                </c:pt>
                <c:pt idx="129">
                  <c:v>42143</c:v>
                </c:pt>
                <c:pt idx="130">
                  <c:v>42144</c:v>
                </c:pt>
                <c:pt idx="131">
                  <c:v>42145</c:v>
                </c:pt>
                <c:pt idx="132">
                  <c:v>42146</c:v>
                </c:pt>
                <c:pt idx="133">
                  <c:v>42149</c:v>
                </c:pt>
                <c:pt idx="134">
                  <c:v>42150</c:v>
                </c:pt>
                <c:pt idx="135">
                  <c:v>42151</c:v>
                </c:pt>
                <c:pt idx="136">
                  <c:v>42152</c:v>
                </c:pt>
                <c:pt idx="137">
                  <c:v>42153</c:v>
                </c:pt>
                <c:pt idx="138">
                  <c:v>42156</c:v>
                </c:pt>
                <c:pt idx="139">
                  <c:v>42157</c:v>
                </c:pt>
                <c:pt idx="140">
                  <c:v>42158</c:v>
                </c:pt>
                <c:pt idx="141">
                  <c:v>42159</c:v>
                </c:pt>
                <c:pt idx="142">
                  <c:v>42160</c:v>
                </c:pt>
                <c:pt idx="143">
                  <c:v>42163</c:v>
                </c:pt>
                <c:pt idx="144">
                  <c:v>42164</c:v>
                </c:pt>
                <c:pt idx="145">
                  <c:v>42165</c:v>
                </c:pt>
                <c:pt idx="146">
                  <c:v>42166</c:v>
                </c:pt>
                <c:pt idx="147">
                  <c:v>42167</c:v>
                </c:pt>
                <c:pt idx="148">
                  <c:v>42170</c:v>
                </c:pt>
                <c:pt idx="149">
                  <c:v>42171</c:v>
                </c:pt>
                <c:pt idx="150">
                  <c:v>42172</c:v>
                </c:pt>
                <c:pt idx="151">
                  <c:v>42173</c:v>
                </c:pt>
                <c:pt idx="152">
                  <c:v>42174</c:v>
                </c:pt>
                <c:pt idx="153">
                  <c:v>42177</c:v>
                </c:pt>
                <c:pt idx="154">
                  <c:v>42178</c:v>
                </c:pt>
                <c:pt idx="155">
                  <c:v>42179</c:v>
                </c:pt>
                <c:pt idx="156">
                  <c:v>42180</c:v>
                </c:pt>
                <c:pt idx="157">
                  <c:v>42181</c:v>
                </c:pt>
                <c:pt idx="158">
                  <c:v>42184</c:v>
                </c:pt>
                <c:pt idx="159">
                  <c:v>42185</c:v>
                </c:pt>
                <c:pt idx="160">
                  <c:v>42186</c:v>
                </c:pt>
                <c:pt idx="161">
                  <c:v>42187</c:v>
                </c:pt>
                <c:pt idx="162">
                  <c:v>42188</c:v>
                </c:pt>
                <c:pt idx="163">
                  <c:v>42191</c:v>
                </c:pt>
                <c:pt idx="164">
                  <c:v>42192</c:v>
                </c:pt>
                <c:pt idx="165">
                  <c:v>42193</c:v>
                </c:pt>
                <c:pt idx="166">
                  <c:v>42194</c:v>
                </c:pt>
                <c:pt idx="167">
                  <c:v>42195</c:v>
                </c:pt>
                <c:pt idx="168">
                  <c:v>42198</c:v>
                </c:pt>
                <c:pt idx="169">
                  <c:v>42199</c:v>
                </c:pt>
                <c:pt idx="170">
                  <c:v>42200</c:v>
                </c:pt>
                <c:pt idx="171">
                  <c:v>42201</c:v>
                </c:pt>
                <c:pt idx="172">
                  <c:v>42202</c:v>
                </c:pt>
                <c:pt idx="173">
                  <c:v>42205</c:v>
                </c:pt>
                <c:pt idx="174">
                  <c:v>42206</c:v>
                </c:pt>
                <c:pt idx="175">
                  <c:v>42207</c:v>
                </c:pt>
                <c:pt idx="176">
                  <c:v>42208</c:v>
                </c:pt>
                <c:pt idx="177">
                  <c:v>42209</c:v>
                </c:pt>
                <c:pt idx="178">
                  <c:v>42212</c:v>
                </c:pt>
                <c:pt idx="179">
                  <c:v>42213</c:v>
                </c:pt>
                <c:pt idx="180">
                  <c:v>42214</c:v>
                </c:pt>
                <c:pt idx="181">
                  <c:v>42215</c:v>
                </c:pt>
                <c:pt idx="182">
                  <c:v>42216</c:v>
                </c:pt>
                <c:pt idx="183">
                  <c:v>42219</c:v>
                </c:pt>
                <c:pt idx="184">
                  <c:v>42220</c:v>
                </c:pt>
                <c:pt idx="185">
                  <c:v>42221</c:v>
                </c:pt>
                <c:pt idx="186">
                  <c:v>42222</c:v>
                </c:pt>
                <c:pt idx="187">
                  <c:v>42223</c:v>
                </c:pt>
                <c:pt idx="188">
                  <c:v>42226</c:v>
                </c:pt>
                <c:pt idx="189">
                  <c:v>42227</c:v>
                </c:pt>
                <c:pt idx="190">
                  <c:v>42228</c:v>
                </c:pt>
                <c:pt idx="191">
                  <c:v>42229</c:v>
                </c:pt>
                <c:pt idx="192">
                  <c:v>42230</c:v>
                </c:pt>
                <c:pt idx="193">
                  <c:v>42233</c:v>
                </c:pt>
                <c:pt idx="194">
                  <c:v>42234</c:v>
                </c:pt>
                <c:pt idx="195">
                  <c:v>42235</c:v>
                </c:pt>
                <c:pt idx="196">
                  <c:v>42236</c:v>
                </c:pt>
                <c:pt idx="197">
                  <c:v>42237</c:v>
                </c:pt>
                <c:pt idx="198">
                  <c:v>42240</c:v>
                </c:pt>
                <c:pt idx="199">
                  <c:v>42241</c:v>
                </c:pt>
                <c:pt idx="200">
                  <c:v>42242</c:v>
                </c:pt>
                <c:pt idx="201">
                  <c:v>42243</c:v>
                </c:pt>
                <c:pt idx="202">
                  <c:v>42244</c:v>
                </c:pt>
                <c:pt idx="203">
                  <c:v>42247</c:v>
                </c:pt>
                <c:pt idx="204">
                  <c:v>42248</c:v>
                </c:pt>
                <c:pt idx="205">
                  <c:v>42249</c:v>
                </c:pt>
                <c:pt idx="206">
                  <c:v>42250</c:v>
                </c:pt>
                <c:pt idx="207">
                  <c:v>42251</c:v>
                </c:pt>
                <c:pt idx="208">
                  <c:v>42254</c:v>
                </c:pt>
                <c:pt idx="209">
                  <c:v>42255</c:v>
                </c:pt>
                <c:pt idx="210">
                  <c:v>42256</c:v>
                </c:pt>
                <c:pt idx="211">
                  <c:v>42257</c:v>
                </c:pt>
                <c:pt idx="212">
                  <c:v>42258</c:v>
                </c:pt>
                <c:pt idx="213">
                  <c:v>42261</c:v>
                </c:pt>
                <c:pt idx="214">
                  <c:v>42262</c:v>
                </c:pt>
                <c:pt idx="215">
                  <c:v>42263</c:v>
                </c:pt>
                <c:pt idx="216">
                  <c:v>42264</c:v>
                </c:pt>
                <c:pt idx="217">
                  <c:v>42265</c:v>
                </c:pt>
                <c:pt idx="218">
                  <c:v>42268</c:v>
                </c:pt>
                <c:pt idx="219">
                  <c:v>42269</c:v>
                </c:pt>
                <c:pt idx="220">
                  <c:v>42270</c:v>
                </c:pt>
                <c:pt idx="221">
                  <c:v>42271</c:v>
                </c:pt>
                <c:pt idx="222">
                  <c:v>42272</c:v>
                </c:pt>
                <c:pt idx="223">
                  <c:v>42275</c:v>
                </c:pt>
                <c:pt idx="224">
                  <c:v>42276</c:v>
                </c:pt>
                <c:pt idx="225">
                  <c:v>42277</c:v>
                </c:pt>
                <c:pt idx="226">
                  <c:v>42278</c:v>
                </c:pt>
                <c:pt idx="227">
                  <c:v>42279</c:v>
                </c:pt>
                <c:pt idx="228">
                  <c:v>42282</c:v>
                </c:pt>
                <c:pt idx="229">
                  <c:v>42283</c:v>
                </c:pt>
                <c:pt idx="230">
                  <c:v>42284</c:v>
                </c:pt>
                <c:pt idx="231">
                  <c:v>42285</c:v>
                </c:pt>
                <c:pt idx="232">
                  <c:v>42286</c:v>
                </c:pt>
                <c:pt idx="233">
                  <c:v>42289</c:v>
                </c:pt>
                <c:pt idx="234">
                  <c:v>42290</c:v>
                </c:pt>
                <c:pt idx="235">
                  <c:v>42291</c:v>
                </c:pt>
                <c:pt idx="236">
                  <c:v>42292</c:v>
                </c:pt>
                <c:pt idx="237">
                  <c:v>42293</c:v>
                </c:pt>
                <c:pt idx="238">
                  <c:v>42296</c:v>
                </c:pt>
                <c:pt idx="239">
                  <c:v>42297</c:v>
                </c:pt>
                <c:pt idx="240">
                  <c:v>42298</c:v>
                </c:pt>
                <c:pt idx="241">
                  <c:v>42299</c:v>
                </c:pt>
                <c:pt idx="242">
                  <c:v>42300</c:v>
                </c:pt>
                <c:pt idx="243">
                  <c:v>42303</c:v>
                </c:pt>
                <c:pt idx="244">
                  <c:v>42304</c:v>
                </c:pt>
                <c:pt idx="245">
                  <c:v>42305</c:v>
                </c:pt>
                <c:pt idx="246">
                  <c:v>42306</c:v>
                </c:pt>
                <c:pt idx="247">
                  <c:v>42307</c:v>
                </c:pt>
                <c:pt idx="248">
                  <c:v>42310</c:v>
                </c:pt>
                <c:pt idx="249">
                  <c:v>42311</c:v>
                </c:pt>
                <c:pt idx="250">
                  <c:v>42312</c:v>
                </c:pt>
                <c:pt idx="251">
                  <c:v>42313</c:v>
                </c:pt>
                <c:pt idx="252">
                  <c:v>42314</c:v>
                </c:pt>
                <c:pt idx="253">
                  <c:v>42317</c:v>
                </c:pt>
                <c:pt idx="254">
                  <c:v>42318</c:v>
                </c:pt>
              </c:numCache>
            </c:numRef>
          </c:cat>
          <c:val>
            <c:numRef>
              <c:f>'1YSynthDepo'!$AI$3:$AI$257</c:f>
              <c:numCache>
                <c:formatCode>0.0000%</c:formatCode>
                <c:ptCount val="255"/>
                <c:pt idx="0">
                  <c:v>3.5714419710537321E-3</c:v>
                </c:pt>
                <c:pt idx="1">
                  <c:v>3.5724890537819605E-3</c:v>
                </c:pt>
                <c:pt idx="2">
                  <c:v>3.5735361365101894E-3</c:v>
                </c:pt>
                <c:pt idx="3">
                  <c:v>3.5745832192384179E-3</c:v>
                </c:pt>
                <c:pt idx="4">
                  <c:v>3.5777244674231037E-3</c:v>
                </c:pt>
                <c:pt idx="5">
                  <c:v>3.5787715501513326E-3</c:v>
                </c:pt>
                <c:pt idx="6">
                  <c:v>3.5798186328795611E-3</c:v>
                </c:pt>
                <c:pt idx="7">
                  <c:v>3.58086571560779E-3</c:v>
                </c:pt>
                <c:pt idx="8">
                  <c:v>3.5819127983360184E-3</c:v>
                </c:pt>
                <c:pt idx="9">
                  <c:v>3.5850540465207042E-3</c:v>
                </c:pt>
                <c:pt idx="10">
                  <c:v>3.5861011292489327E-3</c:v>
                </c:pt>
                <c:pt idx="11">
                  <c:v>3.5871482119771616E-3</c:v>
                </c:pt>
                <c:pt idx="12">
                  <c:v>3.5881952947053901E-3</c:v>
                </c:pt>
                <c:pt idx="13">
                  <c:v>3.5892423774336189E-3</c:v>
                </c:pt>
                <c:pt idx="14">
                  <c:v>3.5923836256183048E-3</c:v>
                </c:pt>
                <c:pt idx="15">
                  <c:v>3.5934307083465332E-3</c:v>
                </c:pt>
                <c:pt idx="16">
                  <c:v>3.5944777910747621E-3</c:v>
                </c:pt>
                <c:pt idx="17">
                  <c:v>3.5955248738029906E-3</c:v>
                </c:pt>
                <c:pt idx="18">
                  <c:v>3.596571956531219E-3</c:v>
                </c:pt>
                <c:pt idx="19">
                  <c:v>3.5997132047159053E-3</c:v>
                </c:pt>
                <c:pt idx="20">
                  <c:v>3.6007602874441338E-3</c:v>
                </c:pt>
                <c:pt idx="21">
                  <c:v>3.6018073701723622E-3</c:v>
                </c:pt>
                <c:pt idx="22">
                  <c:v>3.6028544529005911E-3</c:v>
                </c:pt>
                <c:pt idx="23">
                  <c:v>3.6039015356288196E-3</c:v>
                </c:pt>
                <c:pt idx="24">
                  <c:v>3.6070427838135054E-3</c:v>
                </c:pt>
                <c:pt idx="25">
                  <c:v>3.6080898665417343E-3</c:v>
                </c:pt>
                <c:pt idx="26">
                  <c:v>3.6091369492699628E-3</c:v>
                </c:pt>
                <c:pt idx="27">
                  <c:v>3.6101840319981912E-3</c:v>
                </c:pt>
                <c:pt idx="28">
                  <c:v>3.6112311147264201E-3</c:v>
                </c:pt>
                <c:pt idx="29">
                  <c:v>3.6143723629111059E-3</c:v>
                </c:pt>
                <c:pt idx="30">
                  <c:v>3.6154194456393344E-3</c:v>
                </c:pt>
                <c:pt idx="31">
                  <c:v>3.6164665283675633E-3</c:v>
                </c:pt>
                <c:pt idx="32">
                  <c:v>3.6217019420087065E-3</c:v>
                </c:pt>
                <c:pt idx="33">
                  <c:v>3.6227490247369349E-3</c:v>
                </c:pt>
                <c:pt idx="34">
                  <c:v>3.6237961074651634E-3</c:v>
                </c:pt>
                <c:pt idx="35">
                  <c:v>3.6258902729216207E-3</c:v>
                </c:pt>
                <c:pt idx="36">
                  <c:v>3.6290315211063066E-3</c:v>
                </c:pt>
                <c:pt idx="37">
                  <c:v>3.6300786038345354E-3</c:v>
                </c:pt>
                <c:pt idx="38">
                  <c:v>3.6311256865627639E-3</c:v>
                </c:pt>
                <c:pt idx="39">
                  <c:v>3.6321727692909928E-3</c:v>
                </c:pt>
                <c:pt idx="40">
                  <c:v>3.6332198520192213E-3</c:v>
                </c:pt>
                <c:pt idx="41">
                  <c:v>3.6363611002039071E-3</c:v>
                </c:pt>
                <c:pt idx="42">
                  <c:v>3.637408182932136E-3</c:v>
                </c:pt>
                <c:pt idx="43">
                  <c:v>3.6384552656603644E-3</c:v>
                </c:pt>
                <c:pt idx="44">
                  <c:v>3.6395023483885929E-3</c:v>
                </c:pt>
                <c:pt idx="45">
                  <c:v>3.6405494311168218E-3</c:v>
                </c:pt>
                <c:pt idx="46">
                  <c:v>3.6436906793015076E-3</c:v>
                </c:pt>
                <c:pt idx="47">
                  <c:v>3.6447377620297361E-3</c:v>
                </c:pt>
                <c:pt idx="48">
                  <c:v>3.645784844757965E-3</c:v>
                </c:pt>
                <c:pt idx="49">
                  <c:v>3.6468319274861934E-3</c:v>
                </c:pt>
                <c:pt idx="50">
                  <c:v>3.6478790102144219E-3</c:v>
                </c:pt>
                <c:pt idx="51">
                  <c:v>3.6510202583991081E-3</c:v>
                </c:pt>
                <c:pt idx="52">
                  <c:v>3.6520673411273366E-3</c:v>
                </c:pt>
                <c:pt idx="53">
                  <c:v>3.6531144238555651E-3</c:v>
                </c:pt>
                <c:pt idx="54">
                  <c:v>3.654161506583794E-3</c:v>
                </c:pt>
                <c:pt idx="55">
                  <c:v>3.6552085893120224E-3</c:v>
                </c:pt>
                <c:pt idx="56">
                  <c:v>3.6583498374967082E-3</c:v>
                </c:pt>
                <c:pt idx="57">
                  <c:v>3.6593969202249371E-3</c:v>
                </c:pt>
                <c:pt idx="58">
                  <c:v>3.6604440029531656E-3</c:v>
                </c:pt>
                <c:pt idx="59">
                  <c:v>3.6614910856813941E-3</c:v>
                </c:pt>
                <c:pt idx="60">
                  <c:v>3.662538168409623E-3</c:v>
                </c:pt>
                <c:pt idx="61">
                  <c:v>3.6656794165943088E-3</c:v>
                </c:pt>
                <c:pt idx="62">
                  <c:v>3.6667264993225372E-3</c:v>
                </c:pt>
                <c:pt idx="63">
                  <c:v>3.6677735820507661E-3</c:v>
                </c:pt>
                <c:pt idx="64">
                  <c:v>3.6688206647789946E-3</c:v>
                </c:pt>
                <c:pt idx="65">
                  <c:v>3.6698677475072235E-3</c:v>
                </c:pt>
                <c:pt idx="66">
                  <c:v>3.6730089956919093E-3</c:v>
                </c:pt>
                <c:pt idx="67">
                  <c:v>3.6740560784201378E-3</c:v>
                </c:pt>
                <c:pt idx="68">
                  <c:v>3.6751031611483662E-3</c:v>
                </c:pt>
                <c:pt idx="69">
                  <c:v>3.6761502438765951E-3</c:v>
                </c:pt>
                <c:pt idx="70">
                  <c:v>3.6771973266048236E-3</c:v>
                </c:pt>
                <c:pt idx="71">
                  <c:v>3.6803385747895094E-3</c:v>
                </c:pt>
                <c:pt idx="72">
                  <c:v>3.6813856575177383E-3</c:v>
                </c:pt>
                <c:pt idx="73">
                  <c:v>3.6824327402459668E-3</c:v>
                </c:pt>
                <c:pt idx="74">
                  <c:v>3.6834798229741957E-3</c:v>
                </c:pt>
                <c:pt idx="75">
                  <c:v>3.6845269057024241E-3</c:v>
                </c:pt>
                <c:pt idx="76">
                  <c:v>3.6876681538871099E-3</c:v>
                </c:pt>
                <c:pt idx="77">
                  <c:v>3.6887152366153388E-3</c:v>
                </c:pt>
                <c:pt idx="78">
                  <c:v>3.6897623193435673E-3</c:v>
                </c:pt>
                <c:pt idx="79">
                  <c:v>3.6908094020717958E-3</c:v>
                </c:pt>
                <c:pt idx="80">
                  <c:v>3.6918564848000246E-3</c:v>
                </c:pt>
                <c:pt idx="81">
                  <c:v>3.6949977329847105E-3</c:v>
                </c:pt>
                <c:pt idx="82">
                  <c:v>3.6960448157129389E-3</c:v>
                </c:pt>
                <c:pt idx="83">
                  <c:v>3.6970918984411678E-3</c:v>
                </c:pt>
                <c:pt idx="84">
                  <c:v>3.6981389811693963E-3</c:v>
                </c:pt>
                <c:pt idx="85">
                  <c:v>3.6991860638976252E-3</c:v>
                </c:pt>
                <c:pt idx="86">
                  <c:v>3.702327312082311E-3</c:v>
                </c:pt>
                <c:pt idx="87">
                  <c:v>3.7033743948105395E-3</c:v>
                </c:pt>
                <c:pt idx="88">
                  <c:v>3.7044214775387679E-3</c:v>
                </c:pt>
                <c:pt idx="89">
                  <c:v>3.7054685602669968E-3</c:v>
                </c:pt>
                <c:pt idx="90">
                  <c:v>3.7065156429952253E-3</c:v>
                </c:pt>
                <c:pt idx="91">
                  <c:v>3.7096568911799111E-3</c:v>
                </c:pt>
                <c:pt idx="92">
                  <c:v>3.71070397390814E-3</c:v>
                </c:pt>
                <c:pt idx="93">
                  <c:v>3.7117510566363685E-3</c:v>
                </c:pt>
                <c:pt idx="94">
                  <c:v>3.7127981393645969E-3</c:v>
                </c:pt>
                <c:pt idx="95">
                  <c:v>3.7138452220928258E-3</c:v>
                </c:pt>
                <c:pt idx="96">
                  <c:v>3.7169864702775116E-3</c:v>
                </c:pt>
                <c:pt idx="97">
                  <c:v>3.7180335530057401E-3</c:v>
                </c:pt>
                <c:pt idx="98">
                  <c:v>3.719080635733969E-3</c:v>
                </c:pt>
                <c:pt idx="99">
                  <c:v>3.7201277184621974E-3</c:v>
                </c:pt>
                <c:pt idx="100">
                  <c:v>3.7253631321033406E-3</c:v>
                </c:pt>
                <c:pt idx="101">
                  <c:v>3.7264102148315695E-3</c:v>
                </c:pt>
                <c:pt idx="102">
                  <c:v>3.727457297559798E-3</c:v>
                </c:pt>
                <c:pt idx="103">
                  <c:v>3.7285043802880264E-3</c:v>
                </c:pt>
                <c:pt idx="104">
                  <c:v>3.7316456284727127E-3</c:v>
                </c:pt>
                <c:pt idx="105">
                  <c:v>3.7326927112009411E-3</c:v>
                </c:pt>
                <c:pt idx="106">
                  <c:v>3.7337397939291696E-3</c:v>
                </c:pt>
                <c:pt idx="107">
                  <c:v>3.7347868766573985E-3</c:v>
                </c:pt>
                <c:pt idx="108">
                  <c:v>3.735833959385627E-3</c:v>
                </c:pt>
                <c:pt idx="109">
                  <c:v>3.7389752075703128E-3</c:v>
                </c:pt>
                <c:pt idx="110">
                  <c:v>3.7400222902985417E-3</c:v>
                </c:pt>
                <c:pt idx="111">
                  <c:v>3.7410693730267701E-3</c:v>
                </c:pt>
                <c:pt idx="112">
                  <c:v>3.7421164557549986E-3</c:v>
                </c:pt>
                <c:pt idx="113">
                  <c:v>3.7431635384832275E-3</c:v>
                </c:pt>
                <c:pt idx="114">
                  <c:v>3.7463047866679133E-3</c:v>
                </c:pt>
                <c:pt idx="115">
                  <c:v>3.7473518693961418E-3</c:v>
                </c:pt>
                <c:pt idx="116">
                  <c:v>3.7483989521243707E-3</c:v>
                </c:pt>
                <c:pt idx="117">
                  <c:v>3.7494460348525991E-3</c:v>
                </c:pt>
                <c:pt idx="118">
                  <c:v>3.7536343657655138E-3</c:v>
                </c:pt>
                <c:pt idx="119">
                  <c:v>3.7546814484937423E-3</c:v>
                </c:pt>
                <c:pt idx="120">
                  <c:v>3.7557285312219708E-3</c:v>
                </c:pt>
                <c:pt idx="121">
                  <c:v>3.7567756139501997E-3</c:v>
                </c:pt>
                <c:pt idx="122">
                  <c:v>3.7578226966784281E-3</c:v>
                </c:pt>
                <c:pt idx="123">
                  <c:v>3.7609639448631139E-3</c:v>
                </c:pt>
                <c:pt idx="124">
                  <c:v>3.7620110275913428E-3</c:v>
                </c:pt>
                <c:pt idx="125">
                  <c:v>3.7630581103195713E-3</c:v>
                </c:pt>
                <c:pt idx="126">
                  <c:v>3.7641051930478002E-3</c:v>
                </c:pt>
                <c:pt idx="127">
                  <c:v>3.7651522757760287E-3</c:v>
                </c:pt>
                <c:pt idx="128">
                  <c:v>3.7682935239607145E-3</c:v>
                </c:pt>
                <c:pt idx="129">
                  <c:v>3.7693406066889434E-3</c:v>
                </c:pt>
                <c:pt idx="130">
                  <c:v>3.7703876894171718E-3</c:v>
                </c:pt>
                <c:pt idx="131">
                  <c:v>3.7714347721454003E-3</c:v>
                </c:pt>
                <c:pt idx="132">
                  <c:v>3.7724818548736292E-3</c:v>
                </c:pt>
                <c:pt idx="133">
                  <c:v>3.775623103058315E-3</c:v>
                </c:pt>
                <c:pt idx="134">
                  <c:v>3.7766701857865435E-3</c:v>
                </c:pt>
                <c:pt idx="135">
                  <c:v>3.7777172685147724E-3</c:v>
                </c:pt>
                <c:pt idx="136">
                  <c:v>3.7787643512430008E-3</c:v>
                </c:pt>
                <c:pt idx="137">
                  <c:v>3.7798114339712293E-3</c:v>
                </c:pt>
                <c:pt idx="138">
                  <c:v>3.7829526821559155E-3</c:v>
                </c:pt>
                <c:pt idx="139">
                  <c:v>3.783999764884144E-3</c:v>
                </c:pt>
                <c:pt idx="140">
                  <c:v>3.7850468476123725E-3</c:v>
                </c:pt>
                <c:pt idx="141">
                  <c:v>3.7860939303406014E-3</c:v>
                </c:pt>
                <c:pt idx="142">
                  <c:v>3.7871410130688298E-3</c:v>
                </c:pt>
                <c:pt idx="143">
                  <c:v>3.7902822612535156E-3</c:v>
                </c:pt>
                <c:pt idx="144">
                  <c:v>3.7913293439817445E-3</c:v>
                </c:pt>
                <c:pt idx="145">
                  <c:v>3.792376426709973E-3</c:v>
                </c:pt>
                <c:pt idx="146">
                  <c:v>3.7934235094382015E-3</c:v>
                </c:pt>
                <c:pt idx="147">
                  <c:v>3.7944705921664303E-3</c:v>
                </c:pt>
                <c:pt idx="148">
                  <c:v>3.7976118403511162E-3</c:v>
                </c:pt>
                <c:pt idx="149">
                  <c:v>3.7986589230793446E-3</c:v>
                </c:pt>
                <c:pt idx="150">
                  <c:v>3.7997060058075735E-3</c:v>
                </c:pt>
                <c:pt idx="151">
                  <c:v>3.800753088535802E-3</c:v>
                </c:pt>
                <c:pt idx="152">
                  <c:v>3.8018001712640309E-3</c:v>
                </c:pt>
                <c:pt idx="153">
                  <c:v>3.8049414194487167E-3</c:v>
                </c:pt>
                <c:pt idx="154">
                  <c:v>3.8059885021769452E-3</c:v>
                </c:pt>
                <c:pt idx="155">
                  <c:v>3.8070355849051741E-3</c:v>
                </c:pt>
                <c:pt idx="156">
                  <c:v>3.8080826676334025E-3</c:v>
                </c:pt>
                <c:pt idx="157">
                  <c:v>3.809129750361631E-3</c:v>
                </c:pt>
                <c:pt idx="158">
                  <c:v>3.8122709985463168E-3</c:v>
                </c:pt>
                <c:pt idx="159">
                  <c:v>3.8133180812745457E-3</c:v>
                </c:pt>
                <c:pt idx="160">
                  <c:v>3.8143651640027742E-3</c:v>
                </c:pt>
                <c:pt idx="161">
                  <c:v>3.815412246731003E-3</c:v>
                </c:pt>
                <c:pt idx="162">
                  <c:v>3.8164593294592315E-3</c:v>
                </c:pt>
                <c:pt idx="163">
                  <c:v>3.8196005776439173E-3</c:v>
                </c:pt>
                <c:pt idx="164">
                  <c:v>3.8206476603721462E-3</c:v>
                </c:pt>
                <c:pt idx="165">
                  <c:v>3.8216947431003747E-3</c:v>
                </c:pt>
                <c:pt idx="166">
                  <c:v>3.8227418258286031E-3</c:v>
                </c:pt>
                <c:pt idx="167">
                  <c:v>3.823788908556832E-3</c:v>
                </c:pt>
                <c:pt idx="168">
                  <c:v>3.8269301567415179E-3</c:v>
                </c:pt>
                <c:pt idx="169">
                  <c:v>3.8279772394697463E-3</c:v>
                </c:pt>
                <c:pt idx="170">
                  <c:v>3.8290243221979752E-3</c:v>
                </c:pt>
                <c:pt idx="171">
                  <c:v>3.8300714049262037E-3</c:v>
                </c:pt>
                <c:pt idx="172">
                  <c:v>3.8311184876544321E-3</c:v>
                </c:pt>
                <c:pt idx="173">
                  <c:v>3.8342597358391184E-3</c:v>
                </c:pt>
                <c:pt idx="174">
                  <c:v>3.8353068185673468E-3</c:v>
                </c:pt>
                <c:pt idx="175">
                  <c:v>3.8363539012955753E-3</c:v>
                </c:pt>
                <c:pt idx="176">
                  <c:v>3.8374009840238042E-3</c:v>
                </c:pt>
                <c:pt idx="177">
                  <c:v>3.8384480667520327E-3</c:v>
                </c:pt>
                <c:pt idx="178">
                  <c:v>3.8415893149367185E-3</c:v>
                </c:pt>
                <c:pt idx="179">
                  <c:v>3.8426363976649474E-3</c:v>
                </c:pt>
                <c:pt idx="180">
                  <c:v>3.8436834803931758E-3</c:v>
                </c:pt>
                <c:pt idx="181">
                  <c:v>3.8447305631214047E-3</c:v>
                </c:pt>
                <c:pt idx="182">
                  <c:v>3.8457776458496332E-3</c:v>
                </c:pt>
                <c:pt idx="183">
                  <c:v>3.848918894034319E-3</c:v>
                </c:pt>
                <c:pt idx="184">
                  <c:v>3.8499659767625479E-3</c:v>
                </c:pt>
                <c:pt idx="185">
                  <c:v>3.8510130594907764E-3</c:v>
                </c:pt>
                <c:pt idx="186">
                  <c:v>3.8520601422190048E-3</c:v>
                </c:pt>
                <c:pt idx="187">
                  <c:v>3.8531072249472337E-3</c:v>
                </c:pt>
                <c:pt idx="188">
                  <c:v>3.8562484731319195E-3</c:v>
                </c:pt>
                <c:pt idx="189">
                  <c:v>3.857295555860148E-3</c:v>
                </c:pt>
                <c:pt idx="190">
                  <c:v>3.8583426385883769E-3</c:v>
                </c:pt>
                <c:pt idx="191">
                  <c:v>3.8593897213166054E-3</c:v>
                </c:pt>
                <c:pt idx="192">
                  <c:v>3.8604368040448338E-3</c:v>
                </c:pt>
                <c:pt idx="193">
                  <c:v>3.8635780522295196E-3</c:v>
                </c:pt>
                <c:pt idx="194">
                  <c:v>3.8646251349577485E-3</c:v>
                </c:pt>
                <c:pt idx="195">
                  <c:v>3.865672217685977E-3</c:v>
                </c:pt>
                <c:pt idx="196">
                  <c:v>3.8667193004142059E-3</c:v>
                </c:pt>
                <c:pt idx="197">
                  <c:v>3.8677663831424344E-3</c:v>
                </c:pt>
                <c:pt idx="198">
                  <c:v>3.8709076313271202E-3</c:v>
                </c:pt>
                <c:pt idx="199">
                  <c:v>3.8719547140553491E-3</c:v>
                </c:pt>
                <c:pt idx="200">
                  <c:v>3.8730017967835775E-3</c:v>
                </c:pt>
                <c:pt idx="201">
                  <c:v>3.874048879511806E-3</c:v>
                </c:pt>
                <c:pt idx="202">
                  <c:v>3.8750959622400349E-3</c:v>
                </c:pt>
                <c:pt idx="203">
                  <c:v>3.8782372104247207E-3</c:v>
                </c:pt>
                <c:pt idx="204">
                  <c:v>3.8792842931529492E-3</c:v>
                </c:pt>
                <c:pt idx="205">
                  <c:v>3.8803313758811781E-3</c:v>
                </c:pt>
                <c:pt idx="206">
                  <c:v>3.8813784586094065E-3</c:v>
                </c:pt>
                <c:pt idx="207">
                  <c:v>3.8824255413376354E-3</c:v>
                </c:pt>
                <c:pt idx="208">
                  <c:v>3.8855667895223212E-3</c:v>
                </c:pt>
                <c:pt idx="209">
                  <c:v>3.8866138722505497E-3</c:v>
                </c:pt>
                <c:pt idx="210">
                  <c:v>3.8876609549787786E-3</c:v>
                </c:pt>
                <c:pt idx="211">
                  <c:v>3.8887080377070071E-3</c:v>
                </c:pt>
                <c:pt idx="212">
                  <c:v>3.8897551204352355E-3</c:v>
                </c:pt>
                <c:pt idx="213">
                  <c:v>3.8928963686199213E-3</c:v>
                </c:pt>
                <c:pt idx="214">
                  <c:v>3.8939434513481502E-3</c:v>
                </c:pt>
                <c:pt idx="215">
                  <c:v>3.8949905340763787E-3</c:v>
                </c:pt>
                <c:pt idx="216">
                  <c:v>3.8960376168046072E-3</c:v>
                </c:pt>
                <c:pt idx="217">
                  <c:v>3.897084699532836E-3</c:v>
                </c:pt>
                <c:pt idx="218">
                  <c:v>3.9002259477175219E-3</c:v>
                </c:pt>
                <c:pt idx="219">
                  <c:v>3.9012730304457503E-3</c:v>
                </c:pt>
                <c:pt idx="220">
                  <c:v>3.9023201131739792E-3</c:v>
                </c:pt>
                <c:pt idx="221">
                  <c:v>3.9033671959022077E-3</c:v>
                </c:pt>
                <c:pt idx="222">
                  <c:v>3.9044142786304366E-3</c:v>
                </c:pt>
                <c:pt idx="223">
                  <c:v>3.907555526815122E-3</c:v>
                </c:pt>
                <c:pt idx="224">
                  <c:v>3.9086026095433513E-3</c:v>
                </c:pt>
                <c:pt idx="225">
                  <c:v>3.9096496922715798E-3</c:v>
                </c:pt>
                <c:pt idx="226">
                  <c:v>3.9106967749998082E-3</c:v>
                </c:pt>
                <c:pt idx="227">
                  <c:v>3.9117438577280367E-3</c:v>
                </c:pt>
                <c:pt idx="228">
                  <c:v>3.9148851059127229E-3</c:v>
                </c:pt>
                <c:pt idx="229">
                  <c:v>3.9159321886409514E-3</c:v>
                </c:pt>
                <c:pt idx="230">
                  <c:v>3.9169792713691799E-3</c:v>
                </c:pt>
                <c:pt idx="231">
                  <c:v>3.9180263540974083E-3</c:v>
                </c:pt>
                <c:pt idx="232">
                  <c:v>3.9190734368256376E-3</c:v>
                </c:pt>
                <c:pt idx="233">
                  <c:v>3.922214685010323E-3</c:v>
                </c:pt>
                <c:pt idx="234">
                  <c:v>3.9232617677385515E-3</c:v>
                </c:pt>
                <c:pt idx="235">
                  <c:v>3.9243088504667808E-3</c:v>
                </c:pt>
                <c:pt idx="236">
                  <c:v>3.9253559331950093E-3</c:v>
                </c:pt>
                <c:pt idx="237">
                  <c:v>3.9264030159232377E-3</c:v>
                </c:pt>
                <c:pt idx="238">
                  <c:v>3.929544264107924E-3</c:v>
                </c:pt>
                <c:pt idx="239">
                  <c:v>3.9305913468361525E-3</c:v>
                </c:pt>
                <c:pt idx="240">
                  <c:v>3.9316384295643809E-3</c:v>
                </c:pt>
                <c:pt idx="241">
                  <c:v>3.9326855122926094E-3</c:v>
                </c:pt>
                <c:pt idx="242">
                  <c:v>3.9337325950208378E-3</c:v>
                </c:pt>
                <c:pt idx="243">
                  <c:v>3.9368738432055241E-3</c:v>
                </c:pt>
                <c:pt idx="244">
                  <c:v>3.9379209259337526E-3</c:v>
                </c:pt>
                <c:pt idx="245">
                  <c:v>3.938968008661981E-3</c:v>
                </c:pt>
                <c:pt idx="246">
                  <c:v>3.9400150913902095E-3</c:v>
                </c:pt>
                <c:pt idx="247">
                  <c:v>3.9410621741184388E-3</c:v>
                </c:pt>
                <c:pt idx="248">
                  <c:v>3.9442034223031242E-3</c:v>
                </c:pt>
                <c:pt idx="249">
                  <c:v>3.9452505050313526E-3</c:v>
                </c:pt>
                <c:pt idx="250">
                  <c:v>3.946297587759582E-3</c:v>
                </c:pt>
                <c:pt idx="251">
                  <c:v>3.9473446704878104E-3</c:v>
                </c:pt>
                <c:pt idx="252">
                  <c:v>3.9483917532160389E-3</c:v>
                </c:pt>
                <c:pt idx="253">
                  <c:v>3.9515330014007252E-3</c:v>
                </c:pt>
                <c:pt idx="254">
                  <c:v>3.9525800841289536E-3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41954</c:v>
                </c:pt>
                <c:pt idx="1">
                  <c:v>41955</c:v>
                </c:pt>
                <c:pt idx="2">
                  <c:v>41956</c:v>
                </c:pt>
                <c:pt idx="3">
                  <c:v>41957</c:v>
                </c:pt>
                <c:pt idx="4">
                  <c:v>41960</c:v>
                </c:pt>
                <c:pt idx="5">
                  <c:v>41961</c:v>
                </c:pt>
                <c:pt idx="6">
                  <c:v>41962</c:v>
                </c:pt>
                <c:pt idx="7">
                  <c:v>41963</c:v>
                </c:pt>
                <c:pt idx="8">
                  <c:v>41964</c:v>
                </c:pt>
                <c:pt idx="9">
                  <c:v>41967</c:v>
                </c:pt>
                <c:pt idx="10">
                  <c:v>41968</c:v>
                </c:pt>
                <c:pt idx="11">
                  <c:v>41969</c:v>
                </c:pt>
                <c:pt idx="12">
                  <c:v>41970</c:v>
                </c:pt>
                <c:pt idx="13">
                  <c:v>41971</c:v>
                </c:pt>
                <c:pt idx="14">
                  <c:v>41974</c:v>
                </c:pt>
                <c:pt idx="15">
                  <c:v>41975</c:v>
                </c:pt>
                <c:pt idx="16">
                  <c:v>41976</c:v>
                </c:pt>
                <c:pt idx="17">
                  <c:v>41977</c:v>
                </c:pt>
                <c:pt idx="18">
                  <c:v>41978</c:v>
                </c:pt>
                <c:pt idx="19">
                  <c:v>41981</c:v>
                </c:pt>
                <c:pt idx="20">
                  <c:v>41982</c:v>
                </c:pt>
                <c:pt idx="21">
                  <c:v>41983</c:v>
                </c:pt>
                <c:pt idx="22">
                  <c:v>41984</c:v>
                </c:pt>
                <c:pt idx="23">
                  <c:v>41985</c:v>
                </c:pt>
                <c:pt idx="24">
                  <c:v>41988</c:v>
                </c:pt>
                <c:pt idx="25">
                  <c:v>41989</c:v>
                </c:pt>
                <c:pt idx="26">
                  <c:v>41990</c:v>
                </c:pt>
                <c:pt idx="27">
                  <c:v>41991</c:v>
                </c:pt>
                <c:pt idx="28">
                  <c:v>41992</c:v>
                </c:pt>
                <c:pt idx="29">
                  <c:v>41995</c:v>
                </c:pt>
                <c:pt idx="30">
                  <c:v>41996</c:v>
                </c:pt>
                <c:pt idx="31">
                  <c:v>41997</c:v>
                </c:pt>
                <c:pt idx="32">
                  <c:v>42002</c:v>
                </c:pt>
                <c:pt idx="33">
                  <c:v>42003</c:v>
                </c:pt>
                <c:pt idx="34">
                  <c:v>42004</c:v>
                </c:pt>
                <c:pt idx="35">
                  <c:v>42006</c:v>
                </c:pt>
                <c:pt idx="36">
                  <c:v>42009</c:v>
                </c:pt>
                <c:pt idx="37">
                  <c:v>42010</c:v>
                </c:pt>
                <c:pt idx="38">
                  <c:v>42011</c:v>
                </c:pt>
                <c:pt idx="39">
                  <c:v>42012</c:v>
                </c:pt>
                <c:pt idx="40">
                  <c:v>42013</c:v>
                </c:pt>
                <c:pt idx="41">
                  <c:v>42016</c:v>
                </c:pt>
                <c:pt idx="42">
                  <c:v>42017</c:v>
                </c:pt>
                <c:pt idx="43">
                  <c:v>42018</c:v>
                </c:pt>
                <c:pt idx="44">
                  <c:v>42019</c:v>
                </c:pt>
                <c:pt idx="45">
                  <c:v>42020</c:v>
                </c:pt>
                <c:pt idx="46">
                  <c:v>42023</c:v>
                </c:pt>
                <c:pt idx="47">
                  <c:v>42024</c:v>
                </c:pt>
                <c:pt idx="48">
                  <c:v>42025</c:v>
                </c:pt>
                <c:pt idx="49">
                  <c:v>42026</c:v>
                </c:pt>
                <c:pt idx="50">
                  <c:v>42027</c:v>
                </c:pt>
                <c:pt idx="51">
                  <c:v>42030</c:v>
                </c:pt>
                <c:pt idx="52">
                  <c:v>42031</c:v>
                </c:pt>
                <c:pt idx="53">
                  <c:v>42032</c:v>
                </c:pt>
                <c:pt idx="54">
                  <c:v>42033</c:v>
                </c:pt>
                <c:pt idx="55">
                  <c:v>42034</c:v>
                </c:pt>
                <c:pt idx="56">
                  <c:v>42037</c:v>
                </c:pt>
                <c:pt idx="57">
                  <c:v>42038</c:v>
                </c:pt>
                <c:pt idx="58">
                  <c:v>42039</c:v>
                </c:pt>
                <c:pt idx="59">
                  <c:v>42040</c:v>
                </c:pt>
                <c:pt idx="60">
                  <c:v>42041</c:v>
                </c:pt>
                <c:pt idx="61">
                  <c:v>42044</c:v>
                </c:pt>
                <c:pt idx="62">
                  <c:v>42045</c:v>
                </c:pt>
                <c:pt idx="63">
                  <c:v>42046</c:v>
                </c:pt>
                <c:pt idx="64">
                  <c:v>42047</c:v>
                </c:pt>
                <c:pt idx="65">
                  <c:v>42048</c:v>
                </c:pt>
                <c:pt idx="66">
                  <c:v>42051</c:v>
                </c:pt>
                <c:pt idx="67">
                  <c:v>42052</c:v>
                </c:pt>
                <c:pt idx="68">
                  <c:v>42053</c:v>
                </c:pt>
                <c:pt idx="69">
                  <c:v>42054</c:v>
                </c:pt>
                <c:pt idx="70">
                  <c:v>42055</c:v>
                </c:pt>
                <c:pt idx="71">
                  <c:v>42058</c:v>
                </c:pt>
                <c:pt idx="72">
                  <c:v>42059</c:v>
                </c:pt>
                <c:pt idx="73">
                  <c:v>42060</c:v>
                </c:pt>
                <c:pt idx="74">
                  <c:v>42061</c:v>
                </c:pt>
                <c:pt idx="75">
                  <c:v>42062</c:v>
                </c:pt>
                <c:pt idx="76">
                  <c:v>42065</c:v>
                </c:pt>
                <c:pt idx="77">
                  <c:v>42066</c:v>
                </c:pt>
                <c:pt idx="78">
                  <c:v>42067</c:v>
                </c:pt>
                <c:pt idx="79">
                  <c:v>42068</c:v>
                </c:pt>
                <c:pt idx="80">
                  <c:v>42069</c:v>
                </c:pt>
                <c:pt idx="81">
                  <c:v>42072</c:v>
                </c:pt>
                <c:pt idx="82">
                  <c:v>42073</c:v>
                </c:pt>
                <c:pt idx="83">
                  <c:v>42074</c:v>
                </c:pt>
                <c:pt idx="84">
                  <c:v>42075</c:v>
                </c:pt>
                <c:pt idx="85">
                  <c:v>42076</c:v>
                </c:pt>
                <c:pt idx="86">
                  <c:v>42079</c:v>
                </c:pt>
                <c:pt idx="87">
                  <c:v>42080</c:v>
                </c:pt>
                <c:pt idx="88">
                  <c:v>42081</c:v>
                </c:pt>
                <c:pt idx="89">
                  <c:v>42082</c:v>
                </c:pt>
                <c:pt idx="90">
                  <c:v>42083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42093</c:v>
                </c:pt>
                <c:pt idx="97">
                  <c:v>42094</c:v>
                </c:pt>
                <c:pt idx="98">
                  <c:v>42095</c:v>
                </c:pt>
                <c:pt idx="99">
                  <c:v>42096</c:v>
                </c:pt>
                <c:pt idx="100">
                  <c:v>42101</c:v>
                </c:pt>
                <c:pt idx="101">
                  <c:v>42102</c:v>
                </c:pt>
                <c:pt idx="102">
                  <c:v>42103</c:v>
                </c:pt>
                <c:pt idx="103">
                  <c:v>42104</c:v>
                </c:pt>
                <c:pt idx="104">
                  <c:v>42107</c:v>
                </c:pt>
                <c:pt idx="105">
                  <c:v>42108</c:v>
                </c:pt>
                <c:pt idx="106">
                  <c:v>42109</c:v>
                </c:pt>
                <c:pt idx="107">
                  <c:v>42110</c:v>
                </c:pt>
                <c:pt idx="108">
                  <c:v>42111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42121</c:v>
                </c:pt>
                <c:pt idx="115">
                  <c:v>42122</c:v>
                </c:pt>
                <c:pt idx="116">
                  <c:v>42123</c:v>
                </c:pt>
                <c:pt idx="117">
                  <c:v>42124</c:v>
                </c:pt>
                <c:pt idx="118">
                  <c:v>42128</c:v>
                </c:pt>
                <c:pt idx="119">
                  <c:v>42129</c:v>
                </c:pt>
                <c:pt idx="120">
                  <c:v>42130</c:v>
                </c:pt>
                <c:pt idx="121">
                  <c:v>42131</c:v>
                </c:pt>
                <c:pt idx="122">
                  <c:v>42132</c:v>
                </c:pt>
                <c:pt idx="123">
                  <c:v>42135</c:v>
                </c:pt>
                <c:pt idx="124">
                  <c:v>42136</c:v>
                </c:pt>
                <c:pt idx="125">
                  <c:v>42137</c:v>
                </c:pt>
                <c:pt idx="126">
                  <c:v>42138</c:v>
                </c:pt>
                <c:pt idx="127">
                  <c:v>42139</c:v>
                </c:pt>
                <c:pt idx="128">
                  <c:v>42142</c:v>
                </c:pt>
                <c:pt idx="129">
                  <c:v>42143</c:v>
                </c:pt>
                <c:pt idx="130">
                  <c:v>42144</c:v>
                </c:pt>
                <c:pt idx="131">
                  <c:v>42145</c:v>
                </c:pt>
                <c:pt idx="132">
                  <c:v>42146</c:v>
                </c:pt>
                <c:pt idx="133">
                  <c:v>42149</c:v>
                </c:pt>
                <c:pt idx="134">
                  <c:v>42150</c:v>
                </c:pt>
                <c:pt idx="135">
                  <c:v>42151</c:v>
                </c:pt>
                <c:pt idx="136">
                  <c:v>42152</c:v>
                </c:pt>
                <c:pt idx="137">
                  <c:v>42153</c:v>
                </c:pt>
                <c:pt idx="138">
                  <c:v>42156</c:v>
                </c:pt>
                <c:pt idx="139">
                  <c:v>42157</c:v>
                </c:pt>
                <c:pt idx="140">
                  <c:v>42158</c:v>
                </c:pt>
                <c:pt idx="141">
                  <c:v>42159</c:v>
                </c:pt>
                <c:pt idx="142">
                  <c:v>42160</c:v>
                </c:pt>
                <c:pt idx="143">
                  <c:v>42163</c:v>
                </c:pt>
                <c:pt idx="144">
                  <c:v>42164</c:v>
                </c:pt>
                <c:pt idx="145">
                  <c:v>42165</c:v>
                </c:pt>
                <c:pt idx="146">
                  <c:v>42166</c:v>
                </c:pt>
                <c:pt idx="147">
                  <c:v>42167</c:v>
                </c:pt>
                <c:pt idx="148">
                  <c:v>42170</c:v>
                </c:pt>
                <c:pt idx="149">
                  <c:v>42171</c:v>
                </c:pt>
                <c:pt idx="150">
                  <c:v>42172</c:v>
                </c:pt>
                <c:pt idx="151">
                  <c:v>42173</c:v>
                </c:pt>
                <c:pt idx="152">
                  <c:v>42174</c:v>
                </c:pt>
                <c:pt idx="153">
                  <c:v>42177</c:v>
                </c:pt>
                <c:pt idx="154">
                  <c:v>42178</c:v>
                </c:pt>
                <c:pt idx="155">
                  <c:v>42179</c:v>
                </c:pt>
                <c:pt idx="156">
                  <c:v>42180</c:v>
                </c:pt>
                <c:pt idx="157">
                  <c:v>42181</c:v>
                </c:pt>
                <c:pt idx="158">
                  <c:v>42184</c:v>
                </c:pt>
                <c:pt idx="159">
                  <c:v>42185</c:v>
                </c:pt>
                <c:pt idx="160">
                  <c:v>42186</c:v>
                </c:pt>
                <c:pt idx="161">
                  <c:v>42187</c:v>
                </c:pt>
                <c:pt idx="162">
                  <c:v>42188</c:v>
                </c:pt>
                <c:pt idx="163">
                  <c:v>42191</c:v>
                </c:pt>
                <c:pt idx="164">
                  <c:v>42192</c:v>
                </c:pt>
                <c:pt idx="165">
                  <c:v>42193</c:v>
                </c:pt>
                <c:pt idx="166">
                  <c:v>42194</c:v>
                </c:pt>
                <c:pt idx="167">
                  <c:v>42195</c:v>
                </c:pt>
                <c:pt idx="168">
                  <c:v>42198</c:v>
                </c:pt>
                <c:pt idx="169">
                  <c:v>42199</c:v>
                </c:pt>
                <c:pt idx="170">
                  <c:v>42200</c:v>
                </c:pt>
                <c:pt idx="171">
                  <c:v>42201</c:v>
                </c:pt>
                <c:pt idx="172">
                  <c:v>42202</c:v>
                </c:pt>
                <c:pt idx="173">
                  <c:v>42205</c:v>
                </c:pt>
                <c:pt idx="174">
                  <c:v>42206</c:v>
                </c:pt>
                <c:pt idx="175">
                  <c:v>42207</c:v>
                </c:pt>
                <c:pt idx="176">
                  <c:v>42208</c:v>
                </c:pt>
                <c:pt idx="177">
                  <c:v>42209</c:v>
                </c:pt>
                <c:pt idx="178">
                  <c:v>42212</c:v>
                </c:pt>
                <c:pt idx="179">
                  <c:v>42213</c:v>
                </c:pt>
                <c:pt idx="180">
                  <c:v>42214</c:v>
                </c:pt>
                <c:pt idx="181">
                  <c:v>42215</c:v>
                </c:pt>
                <c:pt idx="182">
                  <c:v>42216</c:v>
                </c:pt>
                <c:pt idx="183">
                  <c:v>42219</c:v>
                </c:pt>
                <c:pt idx="184">
                  <c:v>42220</c:v>
                </c:pt>
                <c:pt idx="185">
                  <c:v>42221</c:v>
                </c:pt>
                <c:pt idx="186">
                  <c:v>42222</c:v>
                </c:pt>
                <c:pt idx="187">
                  <c:v>42223</c:v>
                </c:pt>
                <c:pt idx="188">
                  <c:v>42226</c:v>
                </c:pt>
                <c:pt idx="189">
                  <c:v>42227</c:v>
                </c:pt>
                <c:pt idx="190">
                  <c:v>42228</c:v>
                </c:pt>
                <c:pt idx="191">
                  <c:v>42229</c:v>
                </c:pt>
                <c:pt idx="192">
                  <c:v>42230</c:v>
                </c:pt>
                <c:pt idx="193">
                  <c:v>42233</c:v>
                </c:pt>
                <c:pt idx="194">
                  <c:v>42234</c:v>
                </c:pt>
                <c:pt idx="195">
                  <c:v>42235</c:v>
                </c:pt>
                <c:pt idx="196">
                  <c:v>42236</c:v>
                </c:pt>
                <c:pt idx="197">
                  <c:v>42237</c:v>
                </c:pt>
                <c:pt idx="198">
                  <c:v>42240</c:v>
                </c:pt>
                <c:pt idx="199">
                  <c:v>42241</c:v>
                </c:pt>
                <c:pt idx="200">
                  <c:v>42242</c:v>
                </c:pt>
                <c:pt idx="201">
                  <c:v>42243</c:v>
                </c:pt>
                <c:pt idx="202">
                  <c:v>42244</c:v>
                </c:pt>
                <c:pt idx="203">
                  <c:v>42247</c:v>
                </c:pt>
                <c:pt idx="204">
                  <c:v>42248</c:v>
                </c:pt>
                <c:pt idx="205">
                  <c:v>42249</c:v>
                </c:pt>
                <c:pt idx="206">
                  <c:v>42250</c:v>
                </c:pt>
                <c:pt idx="207">
                  <c:v>42251</c:v>
                </c:pt>
                <c:pt idx="208">
                  <c:v>42254</c:v>
                </c:pt>
                <c:pt idx="209">
                  <c:v>42255</c:v>
                </c:pt>
                <c:pt idx="210">
                  <c:v>42256</c:v>
                </c:pt>
                <c:pt idx="211">
                  <c:v>42257</c:v>
                </c:pt>
                <c:pt idx="212">
                  <c:v>42258</c:v>
                </c:pt>
                <c:pt idx="213">
                  <c:v>42261</c:v>
                </c:pt>
                <c:pt idx="214">
                  <c:v>42262</c:v>
                </c:pt>
                <c:pt idx="215">
                  <c:v>42263</c:v>
                </c:pt>
                <c:pt idx="216">
                  <c:v>42264</c:v>
                </c:pt>
                <c:pt idx="217">
                  <c:v>42265</c:v>
                </c:pt>
                <c:pt idx="218">
                  <c:v>42268</c:v>
                </c:pt>
                <c:pt idx="219">
                  <c:v>42269</c:v>
                </c:pt>
                <c:pt idx="220">
                  <c:v>42270</c:v>
                </c:pt>
                <c:pt idx="221">
                  <c:v>42271</c:v>
                </c:pt>
                <c:pt idx="222">
                  <c:v>42272</c:v>
                </c:pt>
                <c:pt idx="223">
                  <c:v>42275</c:v>
                </c:pt>
                <c:pt idx="224">
                  <c:v>42276</c:v>
                </c:pt>
                <c:pt idx="225">
                  <c:v>42277</c:v>
                </c:pt>
                <c:pt idx="226">
                  <c:v>42278</c:v>
                </c:pt>
                <c:pt idx="227">
                  <c:v>42279</c:v>
                </c:pt>
                <c:pt idx="228">
                  <c:v>42282</c:v>
                </c:pt>
                <c:pt idx="229">
                  <c:v>42283</c:v>
                </c:pt>
                <c:pt idx="230">
                  <c:v>42284</c:v>
                </c:pt>
                <c:pt idx="231">
                  <c:v>42285</c:v>
                </c:pt>
                <c:pt idx="232">
                  <c:v>42286</c:v>
                </c:pt>
                <c:pt idx="233">
                  <c:v>42289</c:v>
                </c:pt>
                <c:pt idx="234">
                  <c:v>42290</c:v>
                </c:pt>
                <c:pt idx="235">
                  <c:v>42291</c:v>
                </c:pt>
                <c:pt idx="236">
                  <c:v>42292</c:v>
                </c:pt>
                <c:pt idx="237">
                  <c:v>42293</c:v>
                </c:pt>
                <c:pt idx="238">
                  <c:v>42296</c:v>
                </c:pt>
                <c:pt idx="239">
                  <c:v>42297</c:v>
                </c:pt>
                <c:pt idx="240">
                  <c:v>42298</c:v>
                </c:pt>
                <c:pt idx="241">
                  <c:v>42299</c:v>
                </c:pt>
                <c:pt idx="242">
                  <c:v>42300</c:v>
                </c:pt>
                <c:pt idx="243">
                  <c:v>42303</c:v>
                </c:pt>
                <c:pt idx="244">
                  <c:v>42304</c:v>
                </c:pt>
                <c:pt idx="245">
                  <c:v>42305</c:v>
                </c:pt>
                <c:pt idx="246">
                  <c:v>42306</c:v>
                </c:pt>
                <c:pt idx="247">
                  <c:v>42307</c:v>
                </c:pt>
                <c:pt idx="248">
                  <c:v>42310</c:v>
                </c:pt>
                <c:pt idx="249">
                  <c:v>42311</c:v>
                </c:pt>
                <c:pt idx="250">
                  <c:v>42312</c:v>
                </c:pt>
                <c:pt idx="251">
                  <c:v>42313</c:v>
                </c:pt>
                <c:pt idx="252">
                  <c:v>42314</c:v>
                </c:pt>
                <c:pt idx="253">
                  <c:v>42317</c:v>
                </c:pt>
                <c:pt idx="254">
                  <c:v>42318</c:v>
                </c:pt>
              </c:numCache>
            </c:numRef>
          </c:cat>
          <c:val>
            <c:numRef>
              <c:f>'1YSynthDepo'!$AJ$3:$AJ$257</c:f>
              <c:numCache>
                <c:formatCode>0.0000%</c:formatCode>
                <c:ptCount val="255"/>
                <c:pt idx="0">
                  <c:v>3.5838549884496997E-3</c:v>
                </c:pt>
                <c:pt idx="1">
                  <c:v>3.5847569126473988E-3</c:v>
                </c:pt>
                <c:pt idx="2">
                  <c:v>3.5856594735053197E-3</c:v>
                </c:pt>
                <c:pt idx="3">
                  <c:v>3.5865626710234618E-3</c:v>
                </c:pt>
                <c:pt idx="4">
                  <c:v>3.5892760835392183E-3</c:v>
                </c:pt>
                <c:pt idx="5">
                  <c:v>3.5901818276982468E-3</c:v>
                </c:pt>
                <c:pt idx="6">
                  <c:v>3.5910882085174976E-3</c:v>
                </c:pt>
                <c:pt idx="7">
                  <c:v>3.5919952259969691E-3</c:v>
                </c:pt>
                <c:pt idx="8">
                  <c:v>3.5929028801366626E-3</c:v>
                </c:pt>
                <c:pt idx="9">
                  <c:v>3.5956296625170732E-3</c:v>
                </c:pt>
                <c:pt idx="10">
                  <c:v>3.5965398632976531E-3</c:v>
                </c:pt>
                <c:pt idx="11">
                  <c:v>3.5974507007384554E-3</c:v>
                </c:pt>
                <c:pt idx="12">
                  <c:v>3.5983621748394783E-3</c:v>
                </c:pt>
                <c:pt idx="13">
                  <c:v>3.5992742856007232E-3</c:v>
                </c:pt>
                <c:pt idx="14">
                  <c:v>3.602014437845788E-3</c:v>
                </c:pt>
                <c:pt idx="15">
                  <c:v>3.6029290952479197E-3</c:v>
                </c:pt>
                <c:pt idx="16">
                  <c:v>3.6038443893102725E-3</c:v>
                </c:pt>
                <c:pt idx="17">
                  <c:v>3.6047603200328473E-3</c:v>
                </c:pt>
                <c:pt idx="18">
                  <c:v>3.6056768874156439E-3</c:v>
                </c:pt>
                <c:pt idx="19">
                  <c:v>3.6084304095253626E-3</c:v>
                </c:pt>
                <c:pt idx="20">
                  <c:v>3.6093495235490452E-3</c:v>
                </c:pt>
                <c:pt idx="21">
                  <c:v>3.6102692742329494E-3</c:v>
                </c:pt>
                <c:pt idx="22">
                  <c:v>3.6111896615770756E-3</c:v>
                </c:pt>
                <c:pt idx="23">
                  <c:v>3.6121106855814232E-3</c:v>
                </c:pt>
                <c:pt idx="24">
                  <c:v>3.614877577555796E-3</c:v>
                </c:pt>
                <c:pt idx="25">
                  <c:v>3.6158011482010301E-3</c:v>
                </c:pt>
                <c:pt idx="26">
                  <c:v>3.6167253555064857E-3</c:v>
                </c:pt>
                <c:pt idx="27">
                  <c:v>3.6176501994721632E-3</c:v>
                </c:pt>
                <c:pt idx="28">
                  <c:v>3.6185756800980622E-3</c:v>
                </c:pt>
                <c:pt idx="29">
                  <c:v>3.6213559419370888E-3</c:v>
                </c:pt>
                <c:pt idx="30">
                  <c:v>3.6222839692038743E-3</c:v>
                </c:pt>
                <c:pt idx="31">
                  <c:v>3.6232126331308817E-3</c:v>
                </c:pt>
                <c:pt idx="32">
                  <c:v>3.6278655026692409E-3</c:v>
                </c:pt>
                <c:pt idx="33">
                  <c:v>3.6287979865575783E-3</c:v>
                </c:pt>
                <c:pt idx="34">
                  <c:v>3.6297311071061366E-3</c:v>
                </c:pt>
                <c:pt idx="35">
                  <c:v>3.6315992581839184E-3</c:v>
                </c:pt>
                <c:pt idx="36">
                  <c:v>3.6344062597522529E-3</c:v>
                </c:pt>
                <c:pt idx="37">
                  <c:v>3.6353432002621416E-3</c:v>
                </c:pt>
                <c:pt idx="38">
                  <c:v>3.6362807774322509E-3</c:v>
                </c:pt>
                <c:pt idx="39">
                  <c:v>3.6372189912625822E-3</c:v>
                </c:pt>
                <c:pt idx="40">
                  <c:v>3.6381578417531359E-3</c:v>
                </c:pt>
                <c:pt idx="41">
                  <c:v>3.6409782131861246E-3</c:v>
                </c:pt>
                <c:pt idx="42">
                  <c:v>3.6419196103175638E-3</c:v>
                </c:pt>
                <c:pt idx="43">
                  <c:v>3.642861644109225E-3</c:v>
                </c:pt>
                <c:pt idx="44">
                  <c:v>3.6438043145611081E-3</c:v>
                </c:pt>
                <c:pt idx="45">
                  <c:v>3.6447476216732123E-3</c:v>
                </c:pt>
                <c:pt idx="46">
                  <c:v>3.6475813629708552E-3</c:v>
                </c:pt>
                <c:pt idx="47">
                  <c:v>3.6485272167238458E-3</c:v>
                </c:pt>
                <c:pt idx="48">
                  <c:v>3.6494737071370588E-3</c:v>
                </c:pt>
                <c:pt idx="49">
                  <c:v>3.6504208342104929E-3</c:v>
                </c:pt>
                <c:pt idx="50">
                  <c:v>3.6513685979441485E-3</c:v>
                </c:pt>
                <c:pt idx="51">
                  <c:v>3.6542157091064452E-3</c:v>
                </c:pt>
                <c:pt idx="52">
                  <c:v>3.6551660194809872E-3</c:v>
                </c:pt>
                <c:pt idx="53">
                  <c:v>3.6561169665157516E-3</c:v>
                </c:pt>
                <c:pt idx="54">
                  <c:v>3.6570685502107366E-3</c:v>
                </c:pt>
                <c:pt idx="55">
                  <c:v>3.6580207705659436E-3</c:v>
                </c:pt>
                <c:pt idx="56">
                  <c:v>3.6608812515928949E-3</c:v>
                </c:pt>
                <c:pt idx="57">
                  <c:v>3.6618360185889888E-3</c:v>
                </c:pt>
                <c:pt idx="58">
                  <c:v>3.6627914222453037E-3</c:v>
                </c:pt>
                <c:pt idx="59">
                  <c:v>3.6637474625618406E-3</c:v>
                </c:pt>
                <c:pt idx="60">
                  <c:v>3.664704139538599E-3</c:v>
                </c:pt>
                <c:pt idx="61">
                  <c:v>3.667577990430204E-3</c:v>
                </c:pt>
                <c:pt idx="62">
                  <c:v>3.6685372140478488E-3</c:v>
                </c:pt>
                <c:pt idx="63">
                  <c:v>3.6694970743257152E-3</c:v>
                </c:pt>
                <c:pt idx="64">
                  <c:v>3.6704575712638039E-3</c:v>
                </c:pt>
                <c:pt idx="65">
                  <c:v>3.6714187048621136E-3</c:v>
                </c:pt>
                <c:pt idx="66">
                  <c:v>3.6743059256183724E-3</c:v>
                </c:pt>
                <c:pt idx="67">
                  <c:v>3.6752696058575686E-3</c:v>
                </c:pt>
                <c:pt idx="68">
                  <c:v>3.6762339227569864E-3</c:v>
                </c:pt>
                <c:pt idx="69">
                  <c:v>3.677198876316626E-3</c:v>
                </c:pt>
                <c:pt idx="70">
                  <c:v>3.6781644665364872E-3</c:v>
                </c:pt>
                <c:pt idx="71">
                  <c:v>3.6810650571574002E-3</c:v>
                </c:pt>
                <c:pt idx="72">
                  <c:v>3.6820331940181478E-3</c:v>
                </c:pt>
                <c:pt idx="73">
                  <c:v>3.6830019675391174E-3</c:v>
                </c:pt>
                <c:pt idx="74">
                  <c:v>3.683971377720308E-3</c:v>
                </c:pt>
                <c:pt idx="75">
                  <c:v>3.6849414245617206E-3</c:v>
                </c:pt>
                <c:pt idx="76">
                  <c:v>3.6878553850472878E-3</c:v>
                </c:pt>
                <c:pt idx="77">
                  <c:v>3.6888279785295868E-3</c:v>
                </c:pt>
                <c:pt idx="78">
                  <c:v>3.6898012086721073E-3</c:v>
                </c:pt>
                <c:pt idx="79">
                  <c:v>3.6907750754748493E-3</c:v>
                </c:pt>
                <c:pt idx="80">
                  <c:v>3.6917495789378137E-3</c:v>
                </c:pt>
                <c:pt idx="81">
                  <c:v>3.6946769092880347E-3</c:v>
                </c:pt>
                <c:pt idx="82">
                  <c:v>3.6956539593918851E-3</c:v>
                </c:pt>
                <c:pt idx="83">
                  <c:v>3.6966316461559566E-3</c:v>
                </c:pt>
                <c:pt idx="84">
                  <c:v>3.69760996958025E-3</c:v>
                </c:pt>
                <c:pt idx="85">
                  <c:v>3.6985889296647658E-3</c:v>
                </c:pt>
                <c:pt idx="86">
                  <c:v>3.7015296298796409E-3</c:v>
                </c:pt>
                <c:pt idx="87">
                  <c:v>3.7025111366050423E-3</c:v>
                </c:pt>
                <c:pt idx="88">
                  <c:v>3.7034932799906656E-3</c:v>
                </c:pt>
                <c:pt idx="89">
                  <c:v>3.7044760600365109E-3</c:v>
                </c:pt>
                <c:pt idx="90">
                  <c:v>3.7054594767425772E-3</c:v>
                </c:pt>
                <c:pt idx="91">
                  <c:v>3.7084135468221065E-3</c:v>
                </c:pt>
                <c:pt idx="92">
                  <c:v>3.7093995101690593E-3</c:v>
                </c:pt>
                <c:pt idx="93">
                  <c:v>3.710386110176234E-3</c:v>
                </c:pt>
                <c:pt idx="94">
                  <c:v>3.7113733468436302E-3</c:v>
                </c:pt>
                <c:pt idx="95">
                  <c:v>3.7123612201712479E-3</c:v>
                </c:pt>
                <c:pt idx="96">
                  <c:v>3.7153286601154314E-3</c:v>
                </c:pt>
                <c:pt idx="97">
                  <c:v>3.7163190800839356E-3</c:v>
                </c:pt>
                <c:pt idx="98">
                  <c:v>3.7173101367126617E-3</c:v>
                </c:pt>
                <c:pt idx="99">
                  <c:v>3.7183018300016094E-3</c:v>
                </c:pt>
                <c:pt idx="100">
                  <c:v>3.7232698463496717E-3</c:v>
                </c:pt>
                <c:pt idx="101">
                  <c:v>3.7242653595999488E-3</c:v>
                </c:pt>
                <c:pt idx="102">
                  <c:v>3.7252615095104478E-3</c:v>
                </c:pt>
                <c:pt idx="103">
                  <c:v>3.7262582960811688E-3</c:v>
                </c:pt>
                <c:pt idx="104">
                  <c:v>3.7292524757546602E-3</c:v>
                </c:pt>
                <c:pt idx="105">
                  <c:v>3.7302518089662672E-3</c:v>
                </c:pt>
                <c:pt idx="106">
                  <c:v>3.7312517788380957E-3</c:v>
                </c:pt>
                <c:pt idx="107">
                  <c:v>3.7322523853701461E-3</c:v>
                </c:pt>
                <c:pt idx="108">
                  <c:v>3.733253628562418E-3</c:v>
                </c:pt>
                <c:pt idx="109">
                  <c:v>3.7362611781005632E-3</c:v>
                </c:pt>
                <c:pt idx="110">
                  <c:v>3.7372649679337216E-3</c:v>
                </c:pt>
                <c:pt idx="111">
                  <c:v>3.7382693944271019E-3</c:v>
                </c:pt>
                <c:pt idx="112">
                  <c:v>3.7392744575807037E-3</c:v>
                </c:pt>
                <c:pt idx="113">
                  <c:v>3.7402801573945266E-3</c:v>
                </c:pt>
                <c:pt idx="114">
                  <c:v>3.743301076797326E-3</c:v>
                </c:pt>
                <c:pt idx="115">
                  <c:v>3.7443093232520357E-3</c:v>
                </c:pt>
                <c:pt idx="116">
                  <c:v>3.7453182063669674E-3</c:v>
                </c:pt>
                <c:pt idx="117">
                  <c:v>3.7463277261421202E-3</c:v>
                </c:pt>
                <c:pt idx="118">
                  <c:v>3.7503721718449485E-3</c:v>
                </c:pt>
                <c:pt idx="119">
                  <c:v>3.7513848749212097E-3</c:v>
                </c:pt>
                <c:pt idx="120">
                  <c:v>3.7523982146576923E-3</c:v>
                </c:pt>
                <c:pt idx="121">
                  <c:v>3.7534121910543965E-3</c:v>
                </c:pt>
                <c:pt idx="122">
                  <c:v>3.7544268041113226E-3</c:v>
                </c:pt>
                <c:pt idx="123">
                  <c:v>3.7574744632434304E-3</c:v>
                </c:pt>
                <c:pt idx="124">
                  <c:v>3.7584916229412425E-3</c:v>
                </c:pt>
                <c:pt idx="125">
                  <c:v>3.7595094192992766E-3</c:v>
                </c:pt>
                <c:pt idx="126">
                  <c:v>3.7605278523175321E-3</c:v>
                </c:pt>
                <c:pt idx="127">
                  <c:v>3.7615469219960096E-3</c:v>
                </c:pt>
                <c:pt idx="128">
                  <c:v>3.7646079509927712E-3</c:v>
                </c:pt>
                <c:pt idx="129">
                  <c:v>3.7656295673121351E-3</c:v>
                </c:pt>
                <c:pt idx="130">
                  <c:v>3.7666518202917202E-3</c:v>
                </c:pt>
                <c:pt idx="131">
                  <c:v>3.7676747099315276E-3</c:v>
                </c:pt>
                <c:pt idx="132">
                  <c:v>3.768698236231556E-3</c:v>
                </c:pt>
                <c:pt idx="133">
                  <c:v>3.7717726350929718E-3</c:v>
                </c:pt>
                <c:pt idx="134">
                  <c:v>3.7727987080338867E-3</c:v>
                </c:pt>
                <c:pt idx="135">
                  <c:v>3.773825417635024E-3</c:v>
                </c:pt>
                <c:pt idx="136">
                  <c:v>3.7748527638963823E-3</c:v>
                </c:pt>
                <c:pt idx="137">
                  <c:v>3.7758807468179622E-3</c:v>
                </c:pt>
                <c:pt idx="138">
                  <c:v>3.7789685155440317E-3</c:v>
                </c:pt>
                <c:pt idx="139">
                  <c:v>3.7799990451064984E-3</c:v>
                </c:pt>
                <c:pt idx="140">
                  <c:v>3.7810302113291867E-3</c:v>
                </c:pt>
                <c:pt idx="141">
                  <c:v>3.782062014212096E-3</c:v>
                </c:pt>
                <c:pt idx="142">
                  <c:v>3.7830944537552277E-3</c:v>
                </c:pt>
                <c:pt idx="143">
                  <c:v>3.7861955923459509E-3</c:v>
                </c:pt>
                <c:pt idx="144">
                  <c:v>3.7872305785299691E-3</c:v>
                </c:pt>
                <c:pt idx="145">
                  <c:v>3.7882662013742087E-3</c:v>
                </c:pt>
                <c:pt idx="146">
                  <c:v>3.7893024608786695E-3</c:v>
                </c:pt>
                <c:pt idx="147">
                  <c:v>3.7903393570433526E-3</c:v>
                </c:pt>
                <c:pt idx="148">
                  <c:v>3.7934538654987304E-3</c:v>
                </c:pt>
                <c:pt idx="149">
                  <c:v>3.7944933083042995E-3</c:v>
                </c:pt>
                <c:pt idx="150">
                  <c:v>3.7955333877700901E-3</c:v>
                </c:pt>
                <c:pt idx="151">
                  <c:v>3.7965741038961027E-3</c:v>
                </c:pt>
                <c:pt idx="152">
                  <c:v>3.7976154566823368E-3</c:v>
                </c:pt>
                <c:pt idx="153">
                  <c:v>3.8007433350023684E-3</c:v>
                </c:pt>
                <c:pt idx="154">
                  <c:v>3.8017872344294889E-3</c:v>
                </c:pt>
                <c:pt idx="155">
                  <c:v>3.8028317705168313E-3</c:v>
                </c:pt>
                <c:pt idx="156">
                  <c:v>3.8038769432643948E-3</c:v>
                </c:pt>
                <c:pt idx="157">
                  <c:v>3.8049227526721803E-3</c:v>
                </c:pt>
                <c:pt idx="158">
                  <c:v>3.8080640008568661E-3</c:v>
                </c:pt>
                <c:pt idx="159">
                  <c:v>3.809112356905538E-3</c:v>
                </c:pt>
                <c:pt idx="160">
                  <c:v>3.8101613496144319E-3</c:v>
                </c:pt>
                <c:pt idx="161">
                  <c:v>3.8112109789835468E-3</c:v>
                </c:pt>
                <c:pt idx="162">
                  <c:v>3.8122612450128832E-3</c:v>
                </c:pt>
                <c:pt idx="163">
                  <c:v>3.8154158630622232E-3</c:v>
                </c:pt>
                <c:pt idx="164">
                  <c:v>3.8164686757324469E-3</c:v>
                </c:pt>
                <c:pt idx="165">
                  <c:v>3.8175221250628913E-3</c:v>
                </c:pt>
                <c:pt idx="166">
                  <c:v>3.8185762110535576E-3</c:v>
                </c:pt>
                <c:pt idx="167">
                  <c:v>3.8196309337044463E-3</c:v>
                </c:pt>
                <c:pt idx="168">
                  <c:v>3.8227989216184401E-3</c:v>
                </c:pt>
                <c:pt idx="169">
                  <c:v>3.8238561909102148E-3</c:v>
                </c:pt>
                <c:pt idx="170">
                  <c:v>3.8249140968622105E-3</c:v>
                </c:pt>
                <c:pt idx="171">
                  <c:v>3.8259726394744282E-3</c:v>
                </c:pt>
                <c:pt idx="172">
                  <c:v>3.8270318187468679E-3</c:v>
                </c:pt>
                <c:pt idx="173">
                  <c:v>3.8302131765255163E-3</c:v>
                </c:pt>
                <c:pt idx="174">
                  <c:v>3.8312749024388419E-3</c:v>
                </c:pt>
                <c:pt idx="175">
                  <c:v>3.8323372650123891E-3</c:v>
                </c:pt>
                <c:pt idx="176">
                  <c:v>3.8334002642461586E-3</c:v>
                </c:pt>
                <c:pt idx="177">
                  <c:v>3.8344639001401492E-3</c:v>
                </c:pt>
                <c:pt idx="178">
                  <c:v>3.8376586277834514E-3</c:v>
                </c:pt>
                <c:pt idx="179">
                  <c:v>3.8387248103183285E-3</c:v>
                </c:pt>
                <c:pt idx="180">
                  <c:v>3.8397916295134279E-3</c:v>
                </c:pt>
                <c:pt idx="181">
                  <c:v>3.8408590853687484E-3</c:v>
                </c:pt>
                <c:pt idx="182">
                  <c:v>3.84192717788429E-3</c:v>
                </c:pt>
                <c:pt idx="183">
                  <c:v>3.8451352753922463E-3</c:v>
                </c:pt>
                <c:pt idx="184">
                  <c:v>3.8462059145486752E-3</c:v>
                </c:pt>
                <c:pt idx="185">
                  <c:v>3.8472771903653251E-3</c:v>
                </c:pt>
                <c:pt idx="186">
                  <c:v>3.848349102842197E-3</c:v>
                </c:pt>
                <c:pt idx="187">
                  <c:v>3.8494216519792904E-3</c:v>
                </c:pt>
                <c:pt idx="188">
                  <c:v>3.8526431193519005E-3</c:v>
                </c:pt>
                <c:pt idx="189">
                  <c:v>3.8537182151298808E-3</c:v>
                </c:pt>
                <c:pt idx="190">
                  <c:v>3.8547939475680822E-3</c:v>
                </c:pt>
                <c:pt idx="191">
                  <c:v>3.8558703166665055E-3</c:v>
                </c:pt>
                <c:pt idx="192">
                  <c:v>3.8569473224251503E-3</c:v>
                </c:pt>
                <c:pt idx="193">
                  <c:v>3.8601821596624146E-3</c:v>
                </c:pt>
                <c:pt idx="194">
                  <c:v>3.8612617120619458E-3</c:v>
                </c:pt>
                <c:pt idx="195">
                  <c:v>3.8623419011216986E-3</c:v>
                </c:pt>
                <c:pt idx="196">
                  <c:v>3.8634227268416737E-3</c:v>
                </c:pt>
                <c:pt idx="197">
                  <c:v>3.8645041892218695E-3</c:v>
                </c:pt>
                <c:pt idx="198">
                  <c:v>3.8677523963237879E-3</c:v>
                </c:pt>
                <c:pt idx="199">
                  <c:v>3.8688364053448701E-3</c:v>
                </c:pt>
                <c:pt idx="200">
                  <c:v>3.8699210510261747E-3</c:v>
                </c:pt>
                <c:pt idx="201">
                  <c:v>3.8710063333677008E-3</c:v>
                </c:pt>
                <c:pt idx="202">
                  <c:v>3.872092252369448E-3</c:v>
                </c:pt>
                <c:pt idx="203">
                  <c:v>3.8753538293360202E-3</c:v>
                </c:pt>
                <c:pt idx="204">
                  <c:v>3.8764422949786547E-3</c:v>
                </c:pt>
                <c:pt idx="205">
                  <c:v>3.8775313972815102E-3</c:v>
                </c:pt>
                <c:pt idx="206">
                  <c:v>3.8786211362445873E-3</c:v>
                </c:pt>
                <c:pt idx="207">
                  <c:v>3.8797115118678858E-3</c:v>
                </c:pt>
                <c:pt idx="208">
                  <c:v>3.8829864586991123E-3</c:v>
                </c:pt>
                <c:pt idx="209">
                  <c:v>3.8840793809632982E-3</c:v>
                </c:pt>
                <c:pt idx="210">
                  <c:v>3.8851729398877047E-3</c:v>
                </c:pt>
                <c:pt idx="211">
                  <c:v>3.8862671354723331E-3</c:v>
                </c:pt>
                <c:pt idx="212">
                  <c:v>3.8873619677171839E-3</c:v>
                </c:pt>
                <c:pt idx="213">
                  <c:v>3.8906502844130641E-3</c:v>
                </c:pt>
                <c:pt idx="214">
                  <c:v>3.891747663298801E-3</c:v>
                </c:pt>
                <c:pt idx="215">
                  <c:v>3.8928456788447589E-3</c:v>
                </c:pt>
                <c:pt idx="216">
                  <c:v>3.8939443310509387E-3</c:v>
                </c:pt>
                <c:pt idx="217">
                  <c:v>3.8950436199173405E-3</c:v>
                </c:pt>
                <c:pt idx="218">
                  <c:v>3.8983453064778749E-3</c:v>
                </c:pt>
                <c:pt idx="219">
                  <c:v>3.8994471419851631E-3</c:v>
                </c:pt>
                <c:pt idx="220">
                  <c:v>3.9005496141526724E-3</c:v>
                </c:pt>
                <c:pt idx="221">
                  <c:v>3.9016527229804041E-3</c:v>
                </c:pt>
                <c:pt idx="222">
                  <c:v>3.9027564684683568E-3</c:v>
                </c:pt>
                <c:pt idx="223">
                  <c:v>3.9060715248935454E-3</c:v>
                </c:pt>
                <c:pt idx="224">
                  <c:v>3.9071778170223842E-3</c:v>
                </c:pt>
                <c:pt idx="225">
                  <c:v>3.9082847458114462E-3</c:v>
                </c:pt>
                <c:pt idx="226">
                  <c:v>3.9093923112607284E-3</c:v>
                </c:pt>
                <c:pt idx="227">
                  <c:v>3.9105005133702325E-3</c:v>
                </c:pt>
                <c:pt idx="228">
                  <c:v>3.9138289396600748E-3</c:v>
                </c:pt>
                <c:pt idx="229">
                  <c:v>3.9149396884104659E-3</c:v>
                </c:pt>
                <c:pt idx="230">
                  <c:v>3.916051073821078E-3</c:v>
                </c:pt>
                <c:pt idx="231">
                  <c:v>3.917163095891912E-3</c:v>
                </c:pt>
                <c:pt idx="232">
                  <c:v>3.918275754622968E-3</c:v>
                </c:pt>
                <c:pt idx="233">
                  <c:v>3.9216175507774641E-3</c:v>
                </c:pt>
                <c:pt idx="234">
                  <c:v>3.9227327561494069E-3</c:v>
                </c:pt>
                <c:pt idx="235">
                  <c:v>3.92384859818157E-3</c:v>
                </c:pt>
                <c:pt idx="236">
                  <c:v>3.924965076873955E-3</c:v>
                </c:pt>
                <c:pt idx="237">
                  <c:v>3.9260821922265628E-3</c:v>
                </c:pt>
                <c:pt idx="238">
                  <c:v>3.9294373582457135E-3</c:v>
                </c:pt>
                <c:pt idx="239">
                  <c:v>3.9305570202392065E-3</c:v>
                </c:pt>
                <c:pt idx="240">
                  <c:v>3.9316773188929214E-3</c:v>
                </c:pt>
                <c:pt idx="241">
                  <c:v>3.9327982542068582E-3</c:v>
                </c:pt>
                <c:pt idx="242">
                  <c:v>3.933919826181017E-3</c:v>
                </c:pt>
                <c:pt idx="243">
                  <c:v>3.9372883620648214E-3</c:v>
                </c:pt>
                <c:pt idx="244">
                  <c:v>3.9384124806798662E-3</c:v>
                </c:pt>
                <c:pt idx="245">
                  <c:v>3.9395372359551329E-3</c:v>
                </c:pt>
                <c:pt idx="246">
                  <c:v>3.9406626278906207E-3</c:v>
                </c:pt>
                <c:pt idx="247">
                  <c:v>3.9417886564863305E-3</c:v>
                </c:pt>
                <c:pt idx="248">
                  <c:v>3.9451705622347887E-3</c:v>
                </c:pt>
                <c:pt idx="249">
                  <c:v>3.9462991374713853E-3</c:v>
                </c:pt>
                <c:pt idx="250">
                  <c:v>3.947428349368203E-3</c:v>
                </c:pt>
                <c:pt idx="251">
                  <c:v>3.9485581979252418E-3</c:v>
                </c:pt>
                <c:pt idx="252">
                  <c:v>3.9496886831425033E-3</c:v>
                </c:pt>
                <c:pt idx="253">
                  <c:v>3.9530839587556162E-3</c:v>
                </c:pt>
                <c:pt idx="254">
                  <c:v>3.9542169906137637E-3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74400"/>
        <c:axId val="133175936"/>
      </c:lineChart>
      <c:dateAx>
        <c:axId val="1331744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33175936"/>
        <c:crosses val="autoZero"/>
        <c:auto val="1"/>
        <c:lblOffset val="100"/>
        <c:baseTimeUnit val="days"/>
      </c:dateAx>
      <c:valAx>
        <c:axId val="1331759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33174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2"/>
          <c:order val="0"/>
          <c:tx>
            <c:v>Difference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41954</c:v>
                </c:pt>
                <c:pt idx="1">
                  <c:v>41962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1.0618246486134063E-3</c:v>
                </c:pt>
                <c:pt idx="1">
                  <c:v>1.0785409103250374E-3</c:v>
                </c:pt>
                <c:pt idx="2">
                  <c:v>1.1745086364584045E-3</c:v>
                </c:pt>
                <c:pt idx="3">
                  <c:v>1.3381735314198315E-3</c:v>
                </c:pt>
                <c:pt idx="4">
                  <c:v>1.4164214393500045E-3</c:v>
                </c:pt>
                <c:pt idx="5">
                  <c:v>1.5042547651867647E-3</c:v>
                </c:pt>
                <c:pt idx="6">
                  <c:v>1.4750227639576865E-3</c:v>
                </c:pt>
                <c:pt idx="7">
                  <c:v>1.632210274598415E-3</c:v>
                </c:pt>
                <c:pt idx="8">
                  <c:v>1.6914944013641266E-3</c:v>
                </c:pt>
                <c:pt idx="9">
                  <c:v>1.7286791621882985E-3</c:v>
                </c:pt>
              </c:numCache>
            </c:numRef>
          </c:yVal>
          <c:smooth val="0"/>
        </c:ser>
        <c:ser>
          <c:idx val="0"/>
          <c:order val="1"/>
          <c:tx>
            <c:v>interpolated basis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'basis 3M'!$P$2:$P$478</c:f>
              <c:numCache>
                <c:formatCode>ddd\,\ dd\-mmm\-yyyy</c:formatCode>
                <c:ptCount val="477"/>
                <c:pt idx="0">
                  <c:v>41954</c:v>
                </c:pt>
                <c:pt idx="1">
                  <c:v>41955</c:v>
                </c:pt>
                <c:pt idx="2">
                  <c:v>41956</c:v>
                </c:pt>
                <c:pt idx="3">
                  <c:v>41957</c:v>
                </c:pt>
                <c:pt idx="4">
                  <c:v>41960</c:v>
                </c:pt>
                <c:pt idx="5">
                  <c:v>41961</c:v>
                </c:pt>
                <c:pt idx="6">
                  <c:v>41962</c:v>
                </c:pt>
                <c:pt idx="7">
                  <c:v>41963</c:v>
                </c:pt>
                <c:pt idx="8">
                  <c:v>41964</c:v>
                </c:pt>
                <c:pt idx="9">
                  <c:v>41967</c:v>
                </c:pt>
                <c:pt idx="10">
                  <c:v>41968</c:v>
                </c:pt>
                <c:pt idx="11">
                  <c:v>41969</c:v>
                </c:pt>
                <c:pt idx="12">
                  <c:v>41970</c:v>
                </c:pt>
                <c:pt idx="13">
                  <c:v>41971</c:v>
                </c:pt>
                <c:pt idx="14">
                  <c:v>41974</c:v>
                </c:pt>
                <c:pt idx="15">
                  <c:v>41975</c:v>
                </c:pt>
                <c:pt idx="16">
                  <c:v>41976</c:v>
                </c:pt>
                <c:pt idx="17">
                  <c:v>41977</c:v>
                </c:pt>
                <c:pt idx="18">
                  <c:v>41978</c:v>
                </c:pt>
                <c:pt idx="19">
                  <c:v>41981</c:v>
                </c:pt>
                <c:pt idx="20">
                  <c:v>41982</c:v>
                </c:pt>
                <c:pt idx="21">
                  <c:v>41983</c:v>
                </c:pt>
                <c:pt idx="22">
                  <c:v>41984</c:v>
                </c:pt>
                <c:pt idx="23">
                  <c:v>41985</c:v>
                </c:pt>
                <c:pt idx="24">
                  <c:v>41988</c:v>
                </c:pt>
                <c:pt idx="25">
                  <c:v>41989</c:v>
                </c:pt>
                <c:pt idx="26">
                  <c:v>41990</c:v>
                </c:pt>
                <c:pt idx="27">
                  <c:v>41991</c:v>
                </c:pt>
                <c:pt idx="28">
                  <c:v>41992</c:v>
                </c:pt>
                <c:pt idx="29">
                  <c:v>41995</c:v>
                </c:pt>
                <c:pt idx="30">
                  <c:v>41996</c:v>
                </c:pt>
                <c:pt idx="31">
                  <c:v>41997</c:v>
                </c:pt>
                <c:pt idx="32">
                  <c:v>42002</c:v>
                </c:pt>
                <c:pt idx="33">
                  <c:v>42003</c:v>
                </c:pt>
                <c:pt idx="34">
                  <c:v>42004</c:v>
                </c:pt>
                <c:pt idx="35">
                  <c:v>42006</c:v>
                </c:pt>
                <c:pt idx="36">
                  <c:v>42009</c:v>
                </c:pt>
                <c:pt idx="37">
                  <c:v>42010</c:v>
                </c:pt>
                <c:pt idx="38">
                  <c:v>42011</c:v>
                </c:pt>
                <c:pt idx="39">
                  <c:v>42012</c:v>
                </c:pt>
                <c:pt idx="40">
                  <c:v>42013</c:v>
                </c:pt>
                <c:pt idx="41">
                  <c:v>42016</c:v>
                </c:pt>
                <c:pt idx="42">
                  <c:v>42017</c:v>
                </c:pt>
                <c:pt idx="43">
                  <c:v>42018</c:v>
                </c:pt>
                <c:pt idx="44">
                  <c:v>42019</c:v>
                </c:pt>
                <c:pt idx="45">
                  <c:v>42020</c:v>
                </c:pt>
                <c:pt idx="46">
                  <c:v>42023</c:v>
                </c:pt>
                <c:pt idx="47">
                  <c:v>42024</c:v>
                </c:pt>
                <c:pt idx="48">
                  <c:v>42025</c:v>
                </c:pt>
                <c:pt idx="49">
                  <c:v>42026</c:v>
                </c:pt>
                <c:pt idx="50">
                  <c:v>42027</c:v>
                </c:pt>
                <c:pt idx="51">
                  <c:v>42030</c:v>
                </c:pt>
                <c:pt idx="52">
                  <c:v>42031</c:v>
                </c:pt>
                <c:pt idx="53">
                  <c:v>42032</c:v>
                </c:pt>
                <c:pt idx="54">
                  <c:v>42033</c:v>
                </c:pt>
                <c:pt idx="55">
                  <c:v>42034</c:v>
                </c:pt>
                <c:pt idx="56">
                  <c:v>42037</c:v>
                </c:pt>
                <c:pt idx="57">
                  <c:v>42038</c:v>
                </c:pt>
                <c:pt idx="58">
                  <c:v>42039</c:v>
                </c:pt>
                <c:pt idx="59">
                  <c:v>42040</c:v>
                </c:pt>
                <c:pt idx="60">
                  <c:v>42041</c:v>
                </c:pt>
                <c:pt idx="61">
                  <c:v>42044</c:v>
                </c:pt>
                <c:pt idx="62">
                  <c:v>42045</c:v>
                </c:pt>
                <c:pt idx="63">
                  <c:v>42046</c:v>
                </c:pt>
                <c:pt idx="64">
                  <c:v>42047</c:v>
                </c:pt>
                <c:pt idx="65">
                  <c:v>42048</c:v>
                </c:pt>
                <c:pt idx="66">
                  <c:v>42051</c:v>
                </c:pt>
                <c:pt idx="67">
                  <c:v>42052</c:v>
                </c:pt>
                <c:pt idx="68">
                  <c:v>42053</c:v>
                </c:pt>
                <c:pt idx="69">
                  <c:v>42054</c:v>
                </c:pt>
                <c:pt idx="70">
                  <c:v>42055</c:v>
                </c:pt>
                <c:pt idx="71">
                  <c:v>42058</c:v>
                </c:pt>
                <c:pt idx="72">
                  <c:v>42059</c:v>
                </c:pt>
                <c:pt idx="73">
                  <c:v>42060</c:v>
                </c:pt>
                <c:pt idx="74">
                  <c:v>42061</c:v>
                </c:pt>
                <c:pt idx="75">
                  <c:v>42062</c:v>
                </c:pt>
                <c:pt idx="76">
                  <c:v>42065</c:v>
                </c:pt>
                <c:pt idx="77">
                  <c:v>42066</c:v>
                </c:pt>
                <c:pt idx="78">
                  <c:v>42067</c:v>
                </c:pt>
                <c:pt idx="79">
                  <c:v>42068</c:v>
                </c:pt>
                <c:pt idx="80">
                  <c:v>42069</c:v>
                </c:pt>
                <c:pt idx="81">
                  <c:v>42072</c:v>
                </c:pt>
                <c:pt idx="82">
                  <c:v>42073</c:v>
                </c:pt>
                <c:pt idx="83">
                  <c:v>42074</c:v>
                </c:pt>
                <c:pt idx="84">
                  <c:v>42075</c:v>
                </c:pt>
                <c:pt idx="85">
                  <c:v>42076</c:v>
                </c:pt>
                <c:pt idx="86">
                  <c:v>42079</c:v>
                </c:pt>
                <c:pt idx="87">
                  <c:v>42080</c:v>
                </c:pt>
                <c:pt idx="88">
                  <c:v>42081</c:v>
                </c:pt>
                <c:pt idx="89">
                  <c:v>42082</c:v>
                </c:pt>
                <c:pt idx="90">
                  <c:v>42083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42093</c:v>
                </c:pt>
                <c:pt idx="97">
                  <c:v>42094</c:v>
                </c:pt>
                <c:pt idx="98">
                  <c:v>42095</c:v>
                </c:pt>
                <c:pt idx="99">
                  <c:v>42096</c:v>
                </c:pt>
                <c:pt idx="100">
                  <c:v>42101</c:v>
                </c:pt>
                <c:pt idx="101">
                  <c:v>42102</c:v>
                </c:pt>
                <c:pt idx="102">
                  <c:v>42103</c:v>
                </c:pt>
                <c:pt idx="103">
                  <c:v>42104</c:v>
                </c:pt>
                <c:pt idx="104">
                  <c:v>42107</c:v>
                </c:pt>
                <c:pt idx="105">
                  <c:v>42108</c:v>
                </c:pt>
                <c:pt idx="106">
                  <c:v>42109</c:v>
                </c:pt>
                <c:pt idx="107">
                  <c:v>42110</c:v>
                </c:pt>
                <c:pt idx="108">
                  <c:v>42111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42121</c:v>
                </c:pt>
                <c:pt idx="115">
                  <c:v>42122</c:v>
                </c:pt>
                <c:pt idx="116">
                  <c:v>42123</c:v>
                </c:pt>
                <c:pt idx="117">
                  <c:v>42124</c:v>
                </c:pt>
                <c:pt idx="118">
                  <c:v>42128</c:v>
                </c:pt>
                <c:pt idx="119">
                  <c:v>42129</c:v>
                </c:pt>
                <c:pt idx="120">
                  <c:v>42130</c:v>
                </c:pt>
                <c:pt idx="121">
                  <c:v>42131</c:v>
                </c:pt>
                <c:pt idx="122">
                  <c:v>42132</c:v>
                </c:pt>
                <c:pt idx="123">
                  <c:v>42135</c:v>
                </c:pt>
                <c:pt idx="124">
                  <c:v>42136</c:v>
                </c:pt>
                <c:pt idx="125">
                  <c:v>42137</c:v>
                </c:pt>
                <c:pt idx="126">
                  <c:v>42138</c:v>
                </c:pt>
                <c:pt idx="127">
                  <c:v>42139</c:v>
                </c:pt>
                <c:pt idx="128">
                  <c:v>42142</c:v>
                </c:pt>
                <c:pt idx="129">
                  <c:v>42143</c:v>
                </c:pt>
                <c:pt idx="130">
                  <c:v>42144</c:v>
                </c:pt>
                <c:pt idx="131">
                  <c:v>42145</c:v>
                </c:pt>
                <c:pt idx="132">
                  <c:v>42146</c:v>
                </c:pt>
                <c:pt idx="133">
                  <c:v>42149</c:v>
                </c:pt>
                <c:pt idx="134">
                  <c:v>42150</c:v>
                </c:pt>
                <c:pt idx="135">
                  <c:v>42151</c:v>
                </c:pt>
                <c:pt idx="136">
                  <c:v>42152</c:v>
                </c:pt>
                <c:pt idx="137">
                  <c:v>42153</c:v>
                </c:pt>
                <c:pt idx="138">
                  <c:v>42156</c:v>
                </c:pt>
                <c:pt idx="139">
                  <c:v>42157</c:v>
                </c:pt>
                <c:pt idx="140">
                  <c:v>42158</c:v>
                </c:pt>
                <c:pt idx="141">
                  <c:v>42159</c:v>
                </c:pt>
                <c:pt idx="142">
                  <c:v>42160</c:v>
                </c:pt>
                <c:pt idx="143">
                  <c:v>42163</c:v>
                </c:pt>
                <c:pt idx="144">
                  <c:v>42164</c:v>
                </c:pt>
                <c:pt idx="145">
                  <c:v>42165</c:v>
                </c:pt>
                <c:pt idx="146">
                  <c:v>42166</c:v>
                </c:pt>
                <c:pt idx="147">
                  <c:v>42167</c:v>
                </c:pt>
                <c:pt idx="148">
                  <c:v>42170</c:v>
                </c:pt>
                <c:pt idx="149">
                  <c:v>42171</c:v>
                </c:pt>
                <c:pt idx="150">
                  <c:v>42172</c:v>
                </c:pt>
                <c:pt idx="151">
                  <c:v>42173</c:v>
                </c:pt>
                <c:pt idx="152">
                  <c:v>42174</c:v>
                </c:pt>
                <c:pt idx="153">
                  <c:v>42177</c:v>
                </c:pt>
                <c:pt idx="154">
                  <c:v>42178</c:v>
                </c:pt>
                <c:pt idx="155">
                  <c:v>42179</c:v>
                </c:pt>
                <c:pt idx="156">
                  <c:v>42180</c:v>
                </c:pt>
                <c:pt idx="157">
                  <c:v>42181</c:v>
                </c:pt>
                <c:pt idx="158">
                  <c:v>42184</c:v>
                </c:pt>
                <c:pt idx="159">
                  <c:v>42185</c:v>
                </c:pt>
                <c:pt idx="160">
                  <c:v>42186</c:v>
                </c:pt>
                <c:pt idx="161">
                  <c:v>42187</c:v>
                </c:pt>
                <c:pt idx="162">
                  <c:v>42188</c:v>
                </c:pt>
                <c:pt idx="163">
                  <c:v>42191</c:v>
                </c:pt>
                <c:pt idx="164">
                  <c:v>42192</c:v>
                </c:pt>
                <c:pt idx="165">
                  <c:v>42193</c:v>
                </c:pt>
                <c:pt idx="166">
                  <c:v>42194</c:v>
                </c:pt>
                <c:pt idx="167">
                  <c:v>42195</c:v>
                </c:pt>
                <c:pt idx="168">
                  <c:v>42198</c:v>
                </c:pt>
                <c:pt idx="169">
                  <c:v>42199</c:v>
                </c:pt>
                <c:pt idx="170">
                  <c:v>42200</c:v>
                </c:pt>
                <c:pt idx="171">
                  <c:v>42201</c:v>
                </c:pt>
                <c:pt idx="172">
                  <c:v>42202</c:v>
                </c:pt>
                <c:pt idx="173">
                  <c:v>42205</c:v>
                </c:pt>
                <c:pt idx="174">
                  <c:v>42206</c:v>
                </c:pt>
                <c:pt idx="175">
                  <c:v>42207</c:v>
                </c:pt>
                <c:pt idx="176">
                  <c:v>42208</c:v>
                </c:pt>
                <c:pt idx="177">
                  <c:v>42209</c:v>
                </c:pt>
                <c:pt idx="178">
                  <c:v>42212</c:v>
                </c:pt>
                <c:pt idx="179">
                  <c:v>42213</c:v>
                </c:pt>
                <c:pt idx="180">
                  <c:v>42214</c:v>
                </c:pt>
                <c:pt idx="181">
                  <c:v>42215</c:v>
                </c:pt>
                <c:pt idx="182">
                  <c:v>42216</c:v>
                </c:pt>
                <c:pt idx="183">
                  <c:v>42219</c:v>
                </c:pt>
                <c:pt idx="184">
                  <c:v>42220</c:v>
                </c:pt>
                <c:pt idx="185">
                  <c:v>42221</c:v>
                </c:pt>
                <c:pt idx="186">
                  <c:v>42222</c:v>
                </c:pt>
                <c:pt idx="187">
                  <c:v>42223</c:v>
                </c:pt>
                <c:pt idx="188">
                  <c:v>42226</c:v>
                </c:pt>
                <c:pt idx="189">
                  <c:v>42227</c:v>
                </c:pt>
                <c:pt idx="190">
                  <c:v>42228</c:v>
                </c:pt>
                <c:pt idx="191">
                  <c:v>42229</c:v>
                </c:pt>
                <c:pt idx="192">
                  <c:v>42230</c:v>
                </c:pt>
                <c:pt idx="193">
                  <c:v>42233</c:v>
                </c:pt>
                <c:pt idx="194">
                  <c:v>42234</c:v>
                </c:pt>
                <c:pt idx="195">
                  <c:v>42235</c:v>
                </c:pt>
                <c:pt idx="196">
                  <c:v>42236</c:v>
                </c:pt>
                <c:pt idx="197">
                  <c:v>42237</c:v>
                </c:pt>
                <c:pt idx="198">
                  <c:v>42240</c:v>
                </c:pt>
                <c:pt idx="199">
                  <c:v>42241</c:v>
                </c:pt>
                <c:pt idx="200">
                  <c:v>42242</c:v>
                </c:pt>
                <c:pt idx="201">
                  <c:v>42243</c:v>
                </c:pt>
                <c:pt idx="202">
                  <c:v>42244</c:v>
                </c:pt>
                <c:pt idx="203">
                  <c:v>42247</c:v>
                </c:pt>
                <c:pt idx="204">
                  <c:v>42248</c:v>
                </c:pt>
                <c:pt idx="205">
                  <c:v>42249</c:v>
                </c:pt>
                <c:pt idx="206">
                  <c:v>42250</c:v>
                </c:pt>
                <c:pt idx="207">
                  <c:v>42251</c:v>
                </c:pt>
                <c:pt idx="208">
                  <c:v>42254</c:v>
                </c:pt>
                <c:pt idx="209">
                  <c:v>42255</c:v>
                </c:pt>
                <c:pt idx="210">
                  <c:v>42256</c:v>
                </c:pt>
                <c:pt idx="211">
                  <c:v>42257</c:v>
                </c:pt>
                <c:pt idx="212">
                  <c:v>42258</c:v>
                </c:pt>
                <c:pt idx="213">
                  <c:v>42261</c:v>
                </c:pt>
                <c:pt idx="214">
                  <c:v>42262</c:v>
                </c:pt>
                <c:pt idx="215">
                  <c:v>42263</c:v>
                </c:pt>
                <c:pt idx="216">
                  <c:v>42264</c:v>
                </c:pt>
                <c:pt idx="217">
                  <c:v>42265</c:v>
                </c:pt>
                <c:pt idx="218">
                  <c:v>42268</c:v>
                </c:pt>
                <c:pt idx="219">
                  <c:v>42269</c:v>
                </c:pt>
                <c:pt idx="220">
                  <c:v>42270</c:v>
                </c:pt>
                <c:pt idx="221">
                  <c:v>42271</c:v>
                </c:pt>
                <c:pt idx="222">
                  <c:v>42272</c:v>
                </c:pt>
                <c:pt idx="223">
                  <c:v>42275</c:v>
                </c:pt>
                <c:pt idx="224">
                  <c:v>42276</c:v>
                </c:pt>
                <c:pt idx="225">
                  <c:v>42277</c:v>
                </c:pt>
                <c:pt idx="226">
                  <c:v>42278</c:v>
                </c:pt>
                <c:pt idx="227">
                  <c:v>42279</c:v>
                </c:pt>
                <c:pt idx="228">
                  <c:v>42282</c:v>
                </c:pt>
                <c:pt idx="229">
                  <c:v>42283</c:v>
                </c:pt>
                <c:pt idx="230">
                  <c:v>42284</c:v>
                </c:pt>
                <c:pt idx="231">
                  <c:v>42285</c:v>
                </c:pt>
                <c:pt idx="232">
                  <c:v>42286</c:v>
                </c:pt>
                <c:pt idx="233">
                  <c:v>42289</c:v>
                </c:pt>
                <c:pt idx="234">
                  <c:v>42290</c:v>
                </c:pt>
                <c:pt idx="235">
                  <c:v>42291</c:v>
                </c:pt>
                <c:pt idx="236">
                  <c:v>42292</c:v>
                </c:pt>
                <c:pt idx="237">
                  <c:v>42293</c:v>
                </c:pt>
                <c:pt idx="238">
                  <c:v>42296</c:v>
                </c:pt>
                <c:pt idx="239">
                  <c:v>42297</c:v>
                </c:pt>
                <c:pt idx="240">
                  <c:v>42298</c:v>
                </c:pt>
                <c:pt idx="241">
                  <c:v>42299</c:v>
                </c:pt>
                <c:pt idx="242">
                  <c:v>42300</c:v>
                </c:pt>
                <c:pt idx="243">
                  <c:v>42303</c:v>
                </c:pt>
                <c:pt idx="244">
                  <c:v>42304</c:v>
                </c:pt>
                <c:pt idx="245">
                  <c:v>42305</c:v>
                </c:pt>
                <c:pt idx="246">
                  <c:v>42306</c:v>
                </c:pt>
                <c:pt idx="247">
                  <c:v>42307</c:v>
                </c:pt>
                <c:pt idx="248">
                  <c:v>42310</c:v>
                </c:pt>
                <c:pt idx="249">
                  <c:v>42311</c:v>
                </c:pt>
                <c:pt idx="250">
                  <c:v>42312</c:v>
                </c:pt>
                <c:pt idx="251">
                  <c:v>42313</c:v>
                </c:pt>
                <c:pt idx="252">
                  <c:v>42314</c:v>
                </c:pt>
                <c:pt idx="253">
                  <c:v>42317</c:v>
                </c:pt>
                <c:pt idx="254">
                  <c:v>42318</c:v>
                </c:pt>
                <c:pt idx="255">
                  <c:v>42319</c:v>
                </c:pt>
                <c:pt idx="256">
                  <c:v>42320</c:v>
                </c:pt>
                <c:pt idx="257">
                  <c:v>42321</c:v>
                </c:pt>
                <c:pt idx="258">
                  <c:v>42324</c:v>
                </c:pt>
                <c:pt idx="259">
                  <c:v>42325</c:v>
                </c:pt>
                <c:pt idx="260">
                  <c:v>42326</c:v>
                </c:pt>
                <c:pt idx="261">
                  <c:v>42327</c:v>
                </c:pt>
                <c:pt idx="262">
                  <c:v>42328</c:v>
                </c:pt>
                <c:pt idx="263">
                  <c:v>42331</c:v>
                </c:pt>
                <c:pt idx="264">
                  <c:v>42332</c:v>
                </c:pt>
                <c:pt idx="265">
                  <c:v>42333</c:v>
                </c:pt>
                <c:pt idx="266">
                  <c:v>42334</c:v>
                </c:pt>
                <c:pt idx="267">
                  <c:v>42335</c:v>
                </c:pt>
                <c:pt idx="268">
                  <c:v>42338</c:v>
                </c:pt>
                <c:pt idx="269">
                  <c:v>42339</c:v>
                </c:pt>
                <c:pt idx="270">
                  <c:v>42340</c:v>
                </c:pt>
                <c:pt idx="271">
                  <c:v>42341</c:v>
                </c:pt>
                <c:pt idx="272">
                  <c:v>42342</c:v>
                </c:pt>
                <c:pt idx="273">
                  <c:v>42345</c:v>
                </c:pt>
                <c:pt idx="274">
                  <c:v>42346</c:v>
                </c:pt>
                <c:pt idx="275">
                  <c:v>42347</c:v>
                </c:pt>
                <c:pt idx="276">
                  <c:v>42348</c:v>
                </c:pt>
                <c:pt idx="277">
                  <c:v>42349</c:v>
                </c:pt>
                <c:pt idx="278">
                  <c:v>42352</c:v>
                </c:pt>
                <c:pt idx="279">
                  <c:v>42353</c:v>
                </c:pt>
                <c:pt idx="280">
                  <c:v>42354</c:v>
                </c:pt>
                <c:pt idx="281">
                  <c:v>42355</c:v>
                </c:pt>
                <c:pt idx="282">
                  <c:v>42356</c:v>
                </c:pt>
                <c:pt idx="283">
                  <c:v>42359</c:v>
                </c:pt>
                <c:pt idx="284">
                  <c:v>42360</c:v>
                </c:pt>
                <c:pt idx="285">
                  <c:v>42361</c:v>
                </c:pt>
                <c:pt idx="286">
                  <c:v>42362</c:v>
                </c:pt>
                <c:pt idx="287">
                  <c:v>42366</c:v>
                </c:pt>
                <c:pt idx="288">
                  <c:v>42367</c:v>
                </c:pt>
                <c:pt idx="289">
                  <c:v>42368</c:v>
                </c:pt>
                <c:pt idx="290">
                  <c:v>42369</c:v>
                </c:pt>
                <c:pt idx="291">
                  <c:v>42373</c:v>
                </c:pt>
                <c:pt idx="292">
                  <c:v>42374</c:v>
                </c:pt>
                <c:pt idx="293">
                  <c:v>42375</c:v>
                </c:pt>
                <c:pt idx="294">
                  <c:v>42376</c:v>
                </c:pt>
                <c:pt idx="295">
                  <c:v>42377</c:v>
                </c:pt>
                <c:pt idx="296">
                  <c:v>42380</c:v>
                </c:pt>
                <c:pt idx="297">
                  <c:v>42381</c:v>
                </c:pt>
                <c:pt idx="298">
                  <c:v>42382</c:v>
                </c:pt>
                <c:pt idx="299">
                  <c:v>42383</c:v>
                </c:pt>
                <c:pt idx="300">
                  <c:v>42384</c:v>
                </c:pt>
                <c:pt idx="301">
                  <c:v>42387</c:v>
                </c:pt>
                <c:pt idx="302">
                  <c:v>42388</c:v>
                </c:pt>
                <c:pt idx="303">
                  <c:v>42389</c:v>
                </c:pt>
                <c:pt idx="304">
                  <c:v>42390</c:v>
                </c:pt>
                <c:pt idx="305">
                  <c:v>42391</c:v>
                </c:pt>
                <c:pt idx="306">
                  <c:v>42394</c:v>
                </c:pt>
                <c:pt idx="307">
                  <c:v>42395</c:v>
                </c:pt>
                <c:pt idx="308">
                  <c:v>42396</c:v>
                </c:pt>
                <c:pt idx="309">
                  <c:v>42397</c:v>
                </c:pt>
                <c:pt idx="310">
                  <c:v>42398</c:v>
                </c:pt>
                <c:pt idx="311">
                  <c:v>42401</c:v>
                </c:pt>
                <c:pt idx="312">
                  <c:v>42402</c:v>
                </c:pt>
                <c:pt idx="313">
                  <c:v>42403</c:v>
                </c:pt>
                <c:pt idx="314">
                  <c:v>42404</c:v>
                </c:pt>
                <c:pt idx="315">
                  <c:v>42405</c:v>
                </c:pt>
                <c:pt idx="316">
                  <c:v>42408</c:v>
                </c:pt>
                <c:pt idx="317">
                  <c:v>42409</c:v>
                </c:pt>
                <c:pt idx="318">
                  <c:v>42410</c:v>
                </c:pt>
                <c:pt idx="319">
                  <c:v>42411</c:v>
                </c:pt>
                <c:pt idx="320">
                  <c:v>42412</c:v>
                </c:pt>
                <c:pt idx="321">
                  <c:v>42415</c:v>
                </c:pt>
                <c:pt idx="322">
                  <c:v>42416</c:v>
                </c:pt>
                <c:pt idx="323">
                  <c:v>42417</c:v>
                </c:pt>
                <c:pt idx="324">
                  <c:v>42418</c:v>
                </c:pt>
                <c:pt idx="325">
                  <c:v>42419</c:v>
                </c:pt>
                <c:pt idx="326">
                  <c:v>42422</c:v>
                </c:pt>
                <c:pt idx="327">
                  <c:v>42423</c:v>
                </c:pt>
                <c:pt idx="328">
                  <c:v>42424</c:v>
                </c:pt>
                <c:pt idx="329">
                  <c:v>42425</c:v>
                </c:pt>
                <c:pt idx="330">
                  <c:v>42426</c:v>
                </c:pt>
                <c:pt idx="331">
                  <c:v>42429</c:v>
                </c:pt>
                <c:pt idx="332">
                  <c:v>42430</c:v>
                </c:pt>
                <c:pt idx="333">
                  <c:v>42431</c:v>
                </c:pt>
                <c:pt idx="334">
                  <c:v>42432</c:v>
                </c:pt>
                <c:pt idx="335">
                  <c:v>42433</c:v>
                </c:pt>
                <c:pt idx="336">
                  <c:v>42436</c:v>
                </c:pt>
                <c:pt idx="337">
                  <c:v>42437</c:v>
                </c:pt>
                <c:pt idx="338">
                  <c:v>42438</c:v>
                </c:pt>
                <c:pt idx="339">
                  <c:v>42439</c:v>
                </c:pt>
                <c:pt idx="340">
                  <c:v>42440</c:v>
                </c:pt>
                <c:pt idx="341">
                  <c:v>42443</c:v>
                </c:pt>
                <c:pt idx="342">
                  <c:v>42444</c:v>
                </c:pt>
                <c:pt idx="343">
                  <c:v>42445</c:v>
                </c:pt>
                <c:pt idx="344">
                  <c:v>42446</c:v>
                </c:pt>
                <c:pt idx="345">
                  <c:v>42447</c:v>
                </c:pt>
                <c:pt idx="346">
                  <c:v>42450</c:v>
                </c:pt>
                <c:pt idx="347">
                  <c:v>42451</c:v>
                </c:pt>
                <c:pt idx="348">
                  <c:v>42452</c:v>
                </c:pt>
                <c:pt idx="349">
                  <c:v>42453</c:v>
                </c:pt>
                <c:pt idx="350">
                  <c:v>42458</c:v>
                </c:pt>
                <c:pt idx="351">
                  <c:v>42459</c:v>
                </c:pt>
                <c:pt idx="352">
                  <c:v>42460</c:v>
                </c:pt>
                <c:pt idx="353">
                  <c:v>42461</c:v>
                </c:pt>
                <c:pt idx="354">
                  <c:v>42464</c:v>
                </c:pt>
                <c:pt idx="355">
                  <c:v>42465</c:v>
                </c:pt>
                <c:pt idx="356">
                  <c:v>42466</c:v>
                </c:pt>
                <c:pt idx="357">
                  <c:v>42467</c:v>
                </c:pt>
                <c:pt idx="358">
                  <c:v>42468</c:v>
                </c:pt>
                <c:pt idx="359">
                  <c:v>42471</c:v>
                </c:pt>
                <c:pt idx="360">
                  <c:v>42472</c:v>
                </c:pt>
                <c:pt idx="361">
                  <c:v>42473</c:v>
                </c:pt>
                <c:pt idx="362">
                  <c:v>42474</c:v>
                </c:pt>
                <c:pt idx="363">
                  <c:v>42475</c:v>
                </c:pt>
                <c:pt idx="364">
                  <c:v>42478</c:v>
                </c:pt>
                <c:pt idx="365">
                  <c:v>42479</c:v>
                </c:pt>
                <c:pt idx="366">
                  <c:v>42480</c:v>
                </c:pt>
                <c:pt idx="367">
                  <c:v>42481</c:v>
                </c:pt>
                <c:pt idx="368">
                  <c:v>42482</c:v>
                </c:pt>
                <c:pt idx="369">
                  <c:v>42485</c:v>
                </c:pt>
                <c:pt idx="370">
                  <c:v>42486</c:v>
                </c:pt>
                <c:pt idx="371">
                  <c:v>42487</c:v>
                </c:pt>
                <c:pt idx="372">
                  <c:v>42488</c:v>
                </c:pt>
                <c:pt idx="373">
                  <c:v>42489</c:v>
                </c:pt>
                <c:pt idx="374">
                  <c:v>42492</c:v>
                </c:pt>
                <c:pt idx="375">
                  <c:v>42493</c:v>
                </c:pt>
                <c:pt idx="376">
                  <c:v>42494</c:v>
                </c:pt>
                <c:pt idx="377">
                  <c:v>42495</c:v>
                </c:pt>
                <c:pt idx="378">
                  <c:v>42496</c:v>
                </c:pt>
                <c:pt idx="379">
                  <c:v>42499</c:v>
                </c:pt>
                <c:pt idx="380">
                  <c:v>42500</c:v>
                </c:pt>
                <c:pt idx="381">
                  <c:v>42501</c:v>
                </c:pt>
                <c:pt idx="382">
                  <c:v>42502</c:v>
                </c:pt>
                <c:pt idx="383">
                  <c:v>42503</c:v>
                </c:pt>
                <c:pt idx="384">
                  <c:v>42506</c:v>
                </c:pt>
                <c:pt idx="385">
                  <c:v>42507</c:v>
                </c:pt>
                <c:pt idx="386">
                  <c:v>42508</c:v>
                </c:pt>
                <c:pt idx="387">
                  <c:v>42509</c:v>
                </c:pt>
                <c:pt idx="388">
                  <c:v>42510</c:v>
                </c:pt>
                <c:pt idx="389">
                  <c:v>42513</c:v>
                </c:pt>
                <c:pt idx="390">
                  <c:v>42514</c:v>
                </c:pt>
                <c:pt idx="391">
                  <c:v>42515</c:v>
                </c:pt>
                <c:pt idx="392">
                  <c:v>42516</c:v>
                </c:pt>
                <c:pt idx="393">
                  <c:v>42517</c:v>
                </c:pt>
                <c:pt idx="394">
                  <c:v>42520</c:v>
                </c:pt>
                <c:pt idx="395">
                  <c:v>42521</c:v>
                </c:pt>
                <c:pt idx="396">
                  <c:v>42522</c:v>
                </c:pt>
                <c:pt idx="397">
                  <c:v>42523</c:v>
                </c:pt>
                <c:pt idx="398">
                  <c:v>42524</c:v>
                </c:pt>
                <c:pt idx="399">
                  <c:v>42527</c:v>
                </c:pt>
                <c:pt idx="400">
                  <c:v>42528</c:v>
                </c:pt>
                <c:pt idx="401">
                  <c:v>42529</c:v>
                </c:pt>
                <c:pt idx="402">
                  <c:v>42530</c:v>
                </c:pt>
                <c:pt idx="403">
                  <c:v>42531</c:v>
                </c:pt>
                <c:pt idx="404">
                  <c:v>42534</c:v>
                </c:pt>
                <c:pt idx="405">
                  <c:v>42535</c:v>
                </c:pt>
                <c:pt idx="406">
                  <c:v>42536</c:v>
                </c:pt>
                <c:pt idx="407">
                  <c:v>42537</c:v>
                </c:pt>
                <c:pt idx="408">
                  <c:v>42538</c:v>
                </c:pt>
                <c:pt idx="409">
                  <c:v>42541</c:v>
                </c:pt>
                <c:pt idx="410">
                  <c:v>42542</c:v>
                </c:pt>
                <c:pt idx="411">
                  <c:v>42543</c:v>
                </c:pt>
                <c:pt idx="412">
                  <c:v>42544</c:v>
                </c:pt>
                <c:pt idx="413">
                  <c:v>42545</c:v>
                </c:pt>
                <c:pt idx="414">
                  <c:v>42548</c:v>
                </c:pt>
                <c:pt idx="415">
                  <c:v>42549</c:v>
                </c:pt>
                <c:pt idx="416">
                  <c:v>42550</c:v>
                </c:pt>
                <c:pt idx="417">
                  <c:v>42551</c:v>
                </c:pt>
                <c:pt idx="418">
                  <c:v>42552</c:v>
                </c:pt>
                <c:pt idx="419">
                  <c:v>42555</c:v>
                </c:pt>
                <c:pt idx="420">
                  <c:v>42556</c:v>
                </c:pt>
                <c:pt idx="421">
                  <c:v>42557</c:v>
                </c:pt>
                <c:pt idx="422">
                  <c:v>42558</c:v>
                </c:pt>
                <c:pt idx="423">
                  <c:v>42559</c:v>
                </c:pt>
                <c:pt idx="424">
                  <c:v>42562</c:v>
                </c:pt>
                <c:pt idx="425">
                  <c:v>42563</c:v>
                </c:pt>
                <c:pt idx="426">
                  <c:v>42564</c:v>
                </c:pt>
                <c:pt idx="427">
                  <c:v>42565</c:v>
                </c:pt>
                <c:pt idx="428">
                  <c:v>42566</c:v>
                </c:pt>
                <c:pt idx="429">
                  <c:v>42569</c:v>
                </c:pt>
                <c:pt idx="430">
                  <c:v>42570</c:v>
                </c:pt>
                <c:pt idx="431">
                  <c:v>42571</c:v>
                </c:pt>
                <c:pt idx="432">
                  <c:v>42572</c:v>
                </c:pt>
                <c:pt idx="433">
                  <c:v>42573</c:v>
                </c:pt>
                <c:pt idx="434">
                  <c:v>42576</c:v>
                </c:pt>
                <c:pt idx="435">
                  <c:v>42577</c:v>
                </c:pt>
                <c:pt idx="436">
                  <c:v>42578</c:v>
                </c:pt>
                <c:pt idx="437">
                  <c:v>42579</c:v>
                </c:pt>
                <c:pt idx="438">
                  <c:v>42580</c:v>
                </c:pt>
                <c:pt idx="439">
                  <c:v>42583</c:v>
                </c:pt>
                <c:pt idx="440">
                  <c:v>42584</c:v>
                </c:pt>
                <c:pt idx="441">
                  <c:v>42585</c:v>
                </c:pt>
                <c:pt idx="442">
                  <c:v>42586</c:v>
                </c:pt>
                <c:pt idx="443">
                  <c:v>42587</c:v>
                </c:pt>
                <c:pt idx="444">
                  <c:v>42590</c:v>
                </c:pt>
                <c:pt idx="445">
                  <c:v>42591</c:v>
                </c:pt>
                <c:pt idx="446">
                  <c:v>42592</c:v>
                </c:pt>
                <c:pt idx="447">
                  <c:v>42593</c:v>
                </c:pt>
                <c:pt idx="448">
                  <c:v>42594</c:v>
                </c:pt>
                <c:pt idx="449">
                  <c:v>42597</c:v>
                </c:pt>
                <c:pt idx="450">
                  <c:v>42598</c:v>
                </c:pt>
                <c:pt idx="451">
                  <c:v>42599</c:v>
                </c:pt>
                <c:pt idx="452">
                  <c:v>42600</c:v>
                </c:pt>
                <c:pt idx="453">
                  <c:v>42601</c:v>
                </c:pt>
                <c:pt idx="454">
                  <c:v>42604</c:v>
                </c:pt>
                <c:pt idx="455">
                  <c:v>42605</c:v>
                </c:pt>
                <c:pt idx="456">
                  <c:v>42606</c:v>
                </c:pt>
                <c:pt idx="457">
                  <c:v>42607</c:v>
                </c:pt>
                <c:pt idx="458">
                  <c:v>42608</c:v>
                </c:pt>
                <c:pt idx="459">
                  <c:v>42611</c:v>
                </c:pt>
                <c:pt idx="460">
                  <c:v>42612</c:v>
                </c:pt>
                <c:pt idx="461">
                  <c:v>42613</c:v>
                </c:pt>
                <c:pt idx="462">
                  <c:v>42614</c:v>
                </c:pt>
                <c:pt idx="463">
                  <c:v>42615</c:v>
                </c:pt>
                <c:pt idx="464">
                  <c:v>42618</c:v>
                </c:pt>
                <c:pt idx="465">
                  <c:v>42619</c:v>
                </c:pt>
                <c:pt idx="466">
                  <c:v>42620</c:v>
                </c:pt>
                <c:pt idx="467">
                  <c:v>42621</c:v>
                </c:pt>
                <c:pt idx="468">
                  <c:v>42622</c:v>
                </c:pt>
                <c:pt idx="469">
                  <c:v>42625</c:v>
                </c:pt>
                <c:pt idx="470">
                  <c:v>42626</c:v>
                </c:pt>
                <c:pt idx="471">
                  <c:v>42627</c:v>
                </c:pt>
                <c:pt idx="472">
                  <c:v>42628</c:v>
                </c:pt>
                <c:pt idx="473">
                  <c:v>42629</c:v>
                </c:pt>
                <c:pt idx="474">
                  <c:v>42632</c:v>
                </c:pt>
                <c:pt idx="475">
                  <c:v>42633</c:v>
                </c:pt>
                <c:pt idx="476">
                  <c:v>42634</c:v>
                </c:pt>
              </c:numCache>
            </c:numRef>
          </c:xVal>
          <c:yVal>
            <c:numRef>
              <c:f>'basis 3M'!$Q$2:$Q$478</c:f>
              <c:numCache>
                <c:formatCode>0.0000%</c:formatCode>
                <c:ptCount val="477"/>
                <c:pt idx="0">
                  <c:v>1.049805505174192E-3</c:v>
                </c:pt>
                <c:pt idx="1">
                  <c:v>1.0533734402352632E-3</c:v>
                </c:pt>
                <c:pt idx="2">
                  <c:v>1.0569509715294483E-3</c:v>
                </c:pt>
                <c:pt idx="3">
                  <c:v>1.0605367281663024E-3</c:v>
                </c:pt>
                <c:pt idx="4">
                  <c:v>1.0713296412284297E-3</c:v>
                </c:pt>
                <c:pt idx="5">
                  <c:v>1.0749345903315112E-3</c:v>
                </c:pt>
                <c:pt idx="6">
                  <c:v>1.0785409103250374E-3</c:v>
                </c:pt>
                <c:pt idx="7">
                  <c:v>1.0821472303185636E-3</c:v>
                </c:pt>
                <c:pt idx="8">
                  <c:v>1.085752179421645E-3</c:v>
                </c:pt>
                <c:pt idx="9">
                  <c:v>1.0965450924837724E-3</c:v>
                </c:pt>
                <c:pt idx="10">
                  <c:v>1.1001308491206264E-3</c:v>
                </c:pt>
                <c:pt idx="11">
                  <c:v>1.1037083804148115E-3</c:v>
                </c:pt>
                <c:pt idx="12">
                  <c:v>1.1072763154758828E-3</c:v>
                </c:pt>
                <c:pt idx="13">
                  <c:v>1.1108332834133955E-3</c:v>
                </c:pt>
                <c:pt idx="14">
                  <c:v>1.1214246755801346E-3</c:v>
                </c:pt>
                <c:pt idx="15">
                  <c:v>1.1249240661189649E-3</c:v>
                </c:pt>
                <c:pt idx="16">
                  <c:v>1.1284056350820127E-3</c:v>
                </c:pt>
                <c:pt idx="17">
                  <c:v>1.1318680115788328E-3</c:v>
                </c:pt>
                <c:pt idx="18">
                  <c:v>1.135309824718981E-3</c:v>
                </c:pt>
                <c:pt idx="19">
                  <c:v>1.1454981750949429E-3</c:v>
                </c:pt>
                <c:pt idx="20">
                  <c:v>1.1488440259039537E-3</c:v>
                </c:pt>
                <c:pt idx="21">
                  <c:v>1.1521624589040679E-3</c:v>
                </c:pt>
                <c:pt idx="22">
                  <c:v>1.1554521032048411E-3</c:v>
                </c:pt>
                <c:pt idx="23">
                  <c:v>1.1587115879158282E-3</c:v>
                </c:pt>
                <c:pt idx="24">
                  <c:v>1.1682953756056249E-3</c:v>
                </c:pt>
                <c:pt idx="25">
                  <c:v>1.1714205130530198E-3</c:v>
                </c:pt>
                <c:pt idx="26">
                  <c:v>1.1745086364584045E-3</c:v>
                </c:pt>
                <c:pt idx="27">
                  <c:v>1.1775586608783976E-3</c:v>
                </c:pt>
                <c:pt idx="28">
                  <c:v>1.1805706451578702E-3</c:v>
                </c:pt>
                <c:pt idx="29">
                  <c:v>1.1893818050725119E-3</c:v>
                </c:pt>
                <c:pt idx="30">
                  <c:v>1.192245076709249E-3</c:v>
                </c:pt>
                <c:pt idx="31">
                  <c:v>1.1950720321651385E-3</c:v>
                </c:pt>
                <c:pt idx="32">
                  <c:v>1.2086741344495859E-3</c:v>
                </c:pt>
                <c:pt idx="33">
                  <c:v>1.2112904334510171E-3</c:v>
                </c:pt>
                <c:pt idx="34">
                  <c:v>1.2138728298151432E-3</c:v>
                </c:pt>
                <c:pt idx="35">
                  <c:v>1.2189372937992174E-3</c:v>
                </c:pt>
                <c:pt idx="36">
                  <c:v>1.2262883397939034E-3</c:v>
                </c:pt>
                <c:pt idx="37">
                  <c:v>1.2286745609648235E-3</c:v>
                </c:pt>
                <c:pt idx="38">
                  <c:v>1.2310292930419805E-3</c:v>
                </c:pt>
                <c:pt idx="39">
                  <c:v>1.2333528808173087E-3</c:v>
                </c:pt>
                <c:pt idx="40">
                  <c:v>1.2356456690827428E-3</c:v>
                </c:pt>
                <c:pt idx="41">
                  <c:v>1.2423426847390266E-3</c:v>
                </c:pt>
                <c:pt idx="42">
                  <c:v>1.2445157228842302E-3</c:v>
                </c:pt>
                <c:pt idx="43">
                  <c:v>1.2466596854792127E-3</c:v>
                </c:pt>
                <c:pt idx="44">
                  <c:v>1.2487749173159086E-3</c:v>
                </c:pt>
                <c:pt idx="45">
                  <c:v>1.2508617631862523E-3</c:v>
                </c:pt>
                <c:pt idx="46">
                  <c:v>1.2569554329185176E-3</c:v>
                </c:pt>
                <c:pt idx="47">
                  <c:v>1.2589321828427994E-3</c:v>
                </c:pt>
                <c:pt idx="48">
                  <c:v>1.2608822707604018E-3</c:v>
                </c:pt>
                <c:pt idx="49">
                  <c:v>1.2628060414632599E-3</c:v>
                </c:pt>
                <c:pt idx="50">
                  <c:v>1.2647038397433081E-3</c:v>
                </c:pt>
                <c:pt idx="51">
                  <c:v>1.2702448479659388E-3</c:v>
                </c:pt>
                <c:pt idx="52">
                  <c:v>1.272042204474093E-3</c:v>
                </c:pt>
                <c:pt idx="53">
                  <c:v>1.2738153125191104E-3</c:v>
                </c:pt>
                <c:pt idx="54">
                  <c:v>1.2755645168929252E-3</c:v>
                </c:pt>
                <c:pt idx="55">
                  <c:v>1.2772901623874723E-3</c:v>
                </c:pt>
                <c:pt idx="56">
                  <c:v>1.2823291935148522E-3</c:v>
                </c:pt>
                <c:pt idx="57">
                  <c:v>1.2839640514116736E-3</c:v>
                </c:pt>
                <c:pt idx="58">
                  <c:v>1.2855770743889002E-3</c:v>
                </c:pt>
                <c:pt idx="59">
                  <c:v>1.2871686072384665E-3</c:v>
                </c:pt>
                <c:pt idx="60">
                  <c:v>1.288738994752307E-3</c:v>
                </c:pt>
                <c:pt idx="61">
                  <c:v>1.2933267331988198E-3</c:v>
                </c:pt>
                <c:pt idx="62">
                  <c:v>1.2948159872891033E-3</c:v>
                </c:pt>
                <c:pt idx="63">
                  <c:v>1.2962858200033338E-3</c:v>
                </c:pt>
                <c:pt idx="64">
                  <c:v>1.2977365761334459E-3</c:v>
                </c:pt>
                <c:pt idx="65">
                  <c:v>1.2991686004713745E-3</c:v>
                </c:pt>
                <c:pt idx="66">
                  <c:v>1.3033557306514041E-3</c:v>
                </c:pt>
                <c:pt idx="67">
                  <c:v>1.3047162757399439E-3</c:v>
                </c:pt>
                <c:pt idx="68">
                  <c:v>1.3060598129959731E-3</c:v>
                </c:pt>
                <c:pt idx="69">
                  <c:v>1.3073866872114258E-3</c:v>
                </c:pt>
                <c:pt idx="70">
                  <c:v>1.308697243178237E-3</c:v>
                </c:pt>
                <c:pt idx="71">
                  <c:v>1.3125344495061673E-3</c:v>
                </c:pt>
                <c:pt idx="72">
                  <c:v>1.3137831803977582E-3</c:v>
                </c:pt>
                <c:pt idx="73">
                  <c:v>1.3150173170003803E-3</c:v>
                </c:pt>
                <c:pt idx="74">
                  <c:v>1.3162372041059683E-3</c:v>
                </c:pt>
                <c:pt idx="75">
                  <c:v>1.3174431865064567E-3</c:v>
                </c:pt>
                <c:pt idx="76">
                  <c:v>1.3209811533966714E-3</c:v>
                </c:pt>
                <c:pt idx="77">
                  <c:v>1.3221349648961077E-3</c:v>
                </c:pt>
                <c:pt idx="78">
                  <c:v>1.3232765956501175E-3</c:v>
                </c:pt>
                <c:pt idx="79">
                  <c:v>1.3244063904506353E-3</c:v>
                </c:pt>
                <c:pt idx="80">
                  <c:v>1.3255246940895959E-3</c:v>
                </c:pt>
                <c:pt idx="81">
                  <c:v>1.3288141059564786E-3</c:v>
                </c:pt>
                <c:pt idx="82">
                  <c:v>1.3298898928685552E-3</c:v>
                </c:pt>
                <c:pt idx="83">
                  <c:v>1.3309559125787474E-3</c:v>
                </c:pt>
                <c:pt idx="84">
                  <c:v>1.3320125098789895E-3</c:v>
                </c:pt>
                <c:pt idx="85">
                  <c:v>1.3330600295612164E-3</c:v>
                </c:pt>
                <c:pt idx="86">
                  <c:v>1.3361515708191511E-3</c:v>
                </c:pt>
                <c:pt idx="87">
                  <c:v>1.3371662279486624E-3</c:v>
                </c:pt>
                <c:pt idx="88">
                  <c:v>1.3381735314198315E-3</c:v>
                </c:pt>
                <c:pt idx="89">
                  <c:v>1.3391737896954821E-3</c:v>
                </c:pt>
                <c:pt idx="90">
                  <c:v>1.3401671659219949E-3</c:v>
                </c:pt>
                <c:pt idx="91">
                  <c:v>1.3431072704794089E-3</c:v>
                </c:pt>
                <c:pt idx="92">
                  <c:v>1.3440743866820724E-3</c:v>
                </c:pt>
                <c:pt idx="93">
                  <c:v>1.3450352549219493E-3</c:v>
                </c:pt>
                <c:pt idx="94">
                  <c:v>1.3459900020163092E-3</c:v>
                </c:pt>
                <c:pt idx="95">
                  <c:v>1.3469387547824228E-3</c:v>
                </c:pt>
                <c:pt idx="96">
                  <c:v>1.3497503152839852E-3</c:v>
                </c:pt>
                <c:pt idx="97">
                  <c:v>1.3506763589098139E-3</c:v>
                </c:pt>
                <c:pt idx="98">
                  <c:v>1.3515970422937468E-3</c:v>
                </c:pt>
                <c:pt idx="99">
                  <c:v>1.352512492253054E-3</c:v>
                </c:pt>
                <c:pt idx="100">
                  <c:v>1.3570156792846605E-3</c:v>
                </c:pt>
                <c:pt idx="101">
                  <c:v>1.3579023918588869E-3</c:v>
                </c:pt>
                <c:pt idx="102">
                  <c:v>1.3587847587293788E-3</c:v>
                </c:pt>
                <c:pt idx="103">
                  <c:v>1.3596629067134064E-3</c:v>
                </c:pt>
                <c:pt idx="104">
                  <c:v>1.3622733055194038E-3</c:v>
                </c:pt>
                <c:pt idx="105">
                  <c:v>1.3631358461302751E-3</c:v>
                </c:pt>
                <c:pt idx="106">
                  <c:v>1.3639948019410328E-3</c:v>
                </c:pt>
                <c:pt idx="107">
                  <c:v>1.364850299768947E-3</c:v>
                </c:pt>
                <c:pt idx="108">
                  <c:v>1.365702466431288E-3</c:v>
                </c:pt>
                <c:pt idx="109">
                  <c:v>1.3682402475975722E-3</c:v>
                </c:pt>
                <c:pt idx="110">
                  <c:v>1.3690803577703211E-3</c:v>
                </c:pt>
                <c:pt idx="111">
                  <c:v>1.3699177708638476E-3</c:v>
                </c:pt>
                <c:pt idx="112">
                  <c:v>1.3707526136954218E-3</c:v>
                </c:pt>
                <c:pt idx="113">
                  <c:v>1.3715850130823135E-3</c:v>
                </c:pt>
                <c:pt idx="114">
                  <c:v>1.3740688187475971E-3</c:v>
                </c:pt>
                <c:pt idx="115">
                  <c:v>1.3748927125284613E-3</c:v>
                </c:pt>
                <c:pt idx="116">
                  <c:v>1.3757147969509942E-3</c:v>
                </c:pt>
                <c:pt idx="117">
                  <c:v>1.3765351988324656E-3</c:v>
                </c:pt>
                <c:pt idx="118">
                  <c:v>1.3798025172931416E-3</c:v>
                </c:pt>
                <c:pt idx="119">
                  <c:v>1.3806164087283588E-3</c:v>
                </c:pt>
                <c:pt idx="120">
                  <c:v>1.3814293785261356E-3</c:v>
                </c:pt>
                <c:pt idx="121">
                  <c:v>1.3822415535037422E-3</c:v>
                </c:pt>
                <c:pt idx="122">
                  <c:v>1.3830530604784486E-3</c:v>
                </c:pt>
                <c:pt idx="123">
                  <c:v>1.3854848415578689E-3</c:v>
                </c:pt>
                <c:pt idx="124">
                  <c:v>1.3862949446936765E-3</c:v>
                </c:pt>
                <c:pt idx="125">
                  <c:v>1.3871050139129348E-3</c:v>
                </c:pt>
                <c:pt idx="126">
                  <c:v>1.3879151760329139E-3</c:v>
                </c:pt>
                <c:pt idx="127">
                  <c:v>1.388725557870884E-3</c:v>
                </c:pt>
                <c:pt idx="128">
                  <c:v>1.3911592898654419E-3</c:v>
                </c:pt>
                <c:pt idx="129">
                  <c:v>1.3919718187480775E-3</c:v>
                </c:pt>
                <c:pt idx="130">
                  <c:v>1.392785201435055E-3</c:v>
                </c:pt>
                <c:pt idx="131">
                  <c:v>1.3935995647436441E-3</c:v>
                </c:pt>
                <c:pt idx="132">
                  <c:v>1.3944150354911154E-3</c:v>
                </c:pt>
                <c:pt idx="133">
                  <c:v>1.3968693605395236E-3</c:v>
                </c:pt>
                <c:pt idx="134">
                  <c:v>1.3976905292152249E-3</c:v>
                </c:pt>
                <c:pt idx="135">
                  <c:v>1.3985134394161589E-3</c:v>
                </c:pt>
                <c:pt idx="136">
                  <c:v>1.3993382179595959E-3</c:v>
                </c:pt>
                <c:pt idx="137">
                  <c:v>1.4001649916628061E-3</c:v>
                </c:pt>
                <c:pt idx="138">
                  <c:v>1.4026585519037772E-3</c:v>
                </c:pt>
                <c:pt idx="139">
                  <c:v>1.4034945744187816E-3</c:v>
                </c:pt>
                <c:pt idx="140">
                  <c:v>1.4043332261799097E-3</c:v>
                </c:pt>
                <c:pt idx="141">
                  <c:v>1.4051746340044322E-3</c:v>
                </c:pt>
                <c:pt idx="142">
                  <c:v>1.4060189247096188E-3</c:v>
                </c:pt>
                <c:pt idx="143">
                  <c:v>1.4085703622818656E-3</c:v>
                </c:pt>
                <c:pt idx="144">
                  <c:v>1.4094274526824106E-3</c:v>
                </c:pt>
                <c:pt idx="145">
                  <c:v>1.4102880600499706E-3</c:v>
                </c:pt>
                <c:pt idx="146">
                  <c:v>1.411152311201816E-3</c:v>
                </c:pt>
                <c:pt idx="147">
                  <c:v>1.4120203329552165E-3</c:v>
                </c:pt>
                <c:pt idx="148">
                  <c:v>1.4146482899974515E-3</c:v>
                </c:pt>
                <c:pt idx="149">
                  <c:v>1.415532662329775E-3</c:v>
                </c:pt>
                <c:pt idx="150">
                  <c:v>1.4164214393500045E-3</c:v>
                </c:pt>
                <c:pt idx="151">
                  <c:v>1.4173147107986431E-3</c:v>
                </c:pt>
                <c:pt idx="152">
                  <c:v>1.4182124181091255E-3</c:v>
                </c:pt>
                <c:pt idx="153">
                  <c:v>1.4209311987783116E-3</c:v>
                </c:pt>
                <c:pt idx="154">
                  <c:v>1.421845693102845E-3</c:v>
                </c:pt>
                <c:pt idx="155">
                  <c:v>1.4227641450725601E-3</c:v>
                </c:pt>
                <c:pt idx="156">
                  <c:v>1.4236864590441245E-3</c:v>
                </c:pt>
                <c:pt idx="157">
                  <c:v>1.4246125393742057E-3</c:v>
                </c:pt>
                <c:pt idx="158">
                  <c:v>1.4274124220822262E-3</c:v>
                </c:pt>
                <c:pt idx="159">
                  <c:v>1.4283526114130505E-3</c:v>
                </c:pt>
                <c:pt idx="160">
                  <c:v>1.4292960888857295E-3</c:v>
                </c:pt>
                <c:pt idx="161">
                  <c:v>1.4302427588569308E-3</c:v>
                </c:pt>
                <c:pt idx="162">
                  <c:v>1.4311925256833219E-3</c:v>
                </c:pt>
                <c:pt idx="163">
                  <c:v>1.4340594508603104E-3</c:v>
                </c:pt>
                <c:pt idx="164">
                  <c:v>1.4350206486741365E-3</c:v>
                </c:pt>
                <c:pt idx="165">
                  <c:v>1.4359844651264907E-3</c:v>
                </c:pt>
                <c:pt idx="166">
                  <c:v>1.43695080457404E-3</c:v>
                </c:pt>
                <c:pt idx="167">
                  <c:v>1.437919571373452E-3</c:v>
                </c:pt>
                <c:pt idx="168">
                  <c:v>1.4408394794495417E-3</c:v>
                </c:pt>
                <c:pt idx="169">
                  <c:v>1.4418169992230811E-3</c:v>
                </c:pt>
                <c:pt idx="170">
                  <c:v>1.4427964681318212E-3</c:v>
                </c:pt>
                <c:pt idx="171">
                  <c:v>1.4437777905324295E-3</c:v>
                </c:pt>
                <c:pt idx="172">
                  <c:v>1.4447608707815738E-3</c:v>
                </c:pt>
                <c:pt idx="173">
                  <c:v>1.4477197021868979E-3</c:v>
                </c:pt>
                <c:pt idx="174">
                  <c:v>1.4487088573968616E-3</c:v>
                </c:pt>
                <c:pt idx="175">
                  <c:v>1.449699292238699E-3</c:v>
                </c:pt>
                <c:pt idx="176">
                  <c:v>1.4506909110690777E-3</c:v>
                </c:pt>
                <c:pt idx="177">
                  <c:v>1.4516836182446654E-3</c:v>
                </c:pt>
                <c:pt idx="178">
                  <c:v>1.4546673134093573E-3</c:v>
                </c:pt>
                <c:pt idx="179">
                  <c:v>1.4556634175324561E-3</c:v>
                </c:pt>
                <c:pt idx="180">
                  <c:v>1.4566601317841019E-3</c:v>
                </c:pt>
                <c:pt idx="181">
                  <c:v>1.457657360520962E-3</c:v>
                </c:pt>
                <c:pt idx="182">
                  <c:v>1.4586550080997042E-3</c:v>
                </c:pt>
                <c:pt idx="183">
                  <c:v>1.4616495074538972E-3</c:v>
                </c:pt>
                <c:pt idx="184">
                  <c:v>1.4626478739668428E-3</c:v>
                </c:pt>
                <c:pt idx="185">
                  <c:v>1.463646181105008E-3</c:v>
                </c:pt>
                <c:pt idx="186">
                  <c:v>1.4646443332250606E-3</c:v>
                </c:pt>
                <c:pt idx="187">
                  <c:v>1.465642234683668E-3</c:v>
                </c:pt>
                <c:pt idx="188">
                  <c:v>1.468633478657496E-3</c:v>
                </c:pt>
                <c:pt idx="189">
                  <c:v>1.469629421036999E-3</c:v>
                </c:pt>
                <c:pt idx="190">
                  <c:v>1.4706246345383947E-3</c:v>
                </c:pt>
                <c:pt idx="191">
                  <c:v>1.4716190235183509E-3</c:v>
                </c:pt>
                <c:pt idx="192">
                  <c:v>1.4726124923335349E-3</c:v>
                </c:pt>
                <c:pt idx="193">
                  <c:v>1.4755864213571309E-3</c:v>
                </c:pt>
                <c:pt idx="194">
                  <c:v>1.4765752530799027E-3</c:v>
                </c:pt>
                <c:pt idx="195">
                  <c:v>1.4775626864212401E-3</c:v>
                </c:pt>
                <c:pt idx="196">
                  <c:v>1.4785486257378111E-3</c:v>
                </c:pt>
                <c:pt idx="197">
                  <c:v>1.479532975386283E-3</c:v>
                </c:pt>
                <c:pt idx="198">
                  <c:v>1.4824755298897801E-3</c:v>
                </c:pt>
                <c:pt idx="199">
                  <c:v>1.4834525644325317E-3</c:v>
                </c:pt>
                <c:pt idx="200">
                  <c:v>1.484427531090522E-3</c:v>
                </c:pt>
                <c:pt idx="201">
                  <c:v>1.4854003342204187E-3</c:v>
                </c:pt>
                <c:pt idx="202">
                  <c:v>1.4863708781788895E-3</c:v>
                </c:pt>
                <c:pt idx="203">
                  <c:v>1.4892679985924215E-3</c:v>
                </c:pt>
                <c:pt idx="204">
                  <c:v>1.4902285494318638E-3</c:v>
                </c:pt>
                <c:pt idx="205">
                  <c:v>1.4911863628832181E-3</c:v>
                </c:pt>
                <c:pt idx="206">
                  <c:v>1.492141343303152E-3</c:v>
                </c:pt>
                <c:pt idx="207">
                  <c:v>1.4930933950483326E-3</c:v>
                </c:pt>
                <c:pt idx="208">
                  <c:v>1.4959310218020327E-3</c:v>
                </c:pt>
                <c:pt idx="209">
                  <c:v>1.496870402414877E-3</c:v>
                </c:pt>
                <c:pt idx="210">
                  <c:v>1.4978063761363065E-3</c:v>
                </c:pt>
                <c:pt idx="211">
                  <c:v>1.4987388473229881E-3</c:v>
                </c:pt>
                <c:pt idx="212">
                  <c:v>1.49966772033159E-3</c:v>
                </c:pt>
                <c:pt idx="213">
                  <c:v>1.5024317938555915E-3</c:v>
                </c:pt>
                <c:pt idx="214">
                  <c:v>1.5033453177185491E-3</c:v>
                </c:pt>
                <c:pt idx="215">
                  <c:v>1.5042547651867647E-3</c:v>
                </c:pt>
                <c:pt idx="216">
                  <c:v>1.5051600618506118E-3</c:v>
                </c:pt>
                <c:pt idx="217">
                  <c:v>1.5060612182352887E-3</c:v>
                </c:pt>
                <c:pt idx="218">
                  <c:v>1.5087401633033419E-3</c:v>
                </c:pt>
                <c:pt idx="219">
                  <c:v>1.5096250761603815E-3</c:v>
                </c:pt>
                <c:pt idx="220">
                  <c:v>1.5105060075327726E-3</c:v>
                </c:pt>
                <c:pt idx="221">
                  <c:v>1.5113829891794195E-3</c:v>
                </c:pt>
                <c:pt idx="222">
                  <c:v>1.5122560528592266E-3</c:v>
                </c:pt>
                <c:pt idx="223">
                  <c:v>1.5148520536866525E-3</c:v>
                </c:pt>
                <c:pt idx="224">
                  <c:v>1.5157097630881437E-3</c:v>
                </c:pt>
                <c:pt idx="225">
                  <c:v>1.516563713317317E-3</c:v>
                </c:pt>
                <c:pt idx="226">
                  <c:v>1.5174139361330764E-3</c:v>
                </c:pt>
                <c:pt idx="227">
                  <c:v>1.5182604632943265E-3</c:v>
                </c:pt>
                <c:pt idx="228">
                  <c:v>1.5207781884400632E-3</c:v>
                </c:pt>
                <c:pt idx="229">
                  <c:v>1.521610250572319E-3</c:v>
                </c:pt>
                <c:pt idx="230">
                  <c:v>1.522438775844587E-3</c:v>
                </c:pt>
                <c:pt idx="231">
                  <c:v>1.5232637960157717E-3</c:v>
                </c:pt>
                <c:pt idx="232">
                  <c:v>1.5240853428447772E-3</c:v>
                </c:pt>
                <c:pt idx="233">
                  <c:v>1.526529460867763E-3</c:v>
                </c:pt>
                <c:pt idx="234">
                  <c:v>1.527337431917096E-3</c:v>
                </c:pt>
                <c:pt idx="235">
                  <c:v>1.5281420884187713E-3</c:v>
                </c:pt>
                <c:pt idx="236">
                  <c:v>1.5289434621316939E-3</c:v>
                </c:pt>
                <c:pt idx="237">
                  <c:v>1.5297415848147676E-3</c:v>
                </c:pt>
                <c:pt idx="238">
                  <c:v>1.5321167642739406E-3</c:v>
                </c:pt>
                <c:pt idx="239">
                  <c:v>1.5329022004266634E-3</c:v>
                </c:pt>
                <c:pt idx="240">
                  <c:v>1.533684544344059E-3</c:v>
                </c:pt>
                <c:pt idx="241">
                  <c:v>1.5344638277850319E-3</c:v>
                </c:pt>
                <c:pt idx="242">
                  <c:v>1.5352400825084868E-3</c:v>
                </c:pt>
                <c:pt idx="243">
                  <c:v>1.5375509919627851E-3</c:v>
                </c:pt>
                <c:pt idx="244">
                  <c:v>1.53831544940521E-3</c:v>
                </c:pt>
                <c:pt idx="245">
                  <c:v>1.5390770369246387E-3</c:v>
                </c:pt>
                <c:pt idx="246">
                  <c:v>1.539835786279975E-3</c:v>
                </c:pt>
                <c:pt idx="247">
                  <c:v>1.5405917292301233E-3</c:v>
                </c:pt>
                <c:pt idx="248">
                  <c:v>1.5428430372384848E-3</c:v>
                </c:pt>
                <c:pt idx="249">
                  <c:v>1.5435880721569252E-3</c:v>
                </c:pt>
                <c:pt idx="250">
                  <c:v>1.5443304594646994E-3</c:v>
                </c:pt>
                <c:pt idx="251">
                  <c:v>1.5450702309207115E-3</c:v>
                </c:pt>
                <c:pt idx="252">
                  <c:v>1.5458074182838665E-3</c:v>
                </c:pt>
                <c:pt idx="253">
                  <c:v>1.5480037934052292E-3</c:v>
                </c:pt>
                <c:pt idx="254">
                  <c:v>1.5487309619859973E-3</c:v>
                </c:pt>
                <c:pt idx="255">
                  <c:v>1.5494557052684297E-3</c:v>
                </c:pt>
                <c:pt idx="256">
                  <c:v>1.5501780550114307E-3</c:v>
                </c:pt>
                <c:pt idx="257">
                  <c:v>1.5508980429739046E-3</c:v>
                </c:pt>
                <c:pt idx="258">
                  <c:v>1.5530441537672066E-3</c:v>
                </c:pt>
                <c:pt idx="259">
                  <c:v>1.5537550121966154E-3</c:v>
                </c:pt>
                <c:pt idx="260">
                  <c:v>1.5544636676400189E-3</c:v>
                </c:pt>
                <c:pt idx="261">
                  <c:v>1.5551701518563212E-3</c:v>
                </c:pt>
                <c:pt idx="262">
                  <c:v>1.5558744966044267E-3</c:v>
                </c:pt>
                <c:pt idx="263">
                  <c:v>1.5579750116286064E-3</c:v>
                </c:pt>
                <c:pt idx="264">
                  <c:v>1.5586711160929685E-3</c:v>
                </c:pt>
                <c:pt idx="265">
                  <c:v>1.5593652398836555E-3</c:v>
                </c:pt>
                <c:pt idx="266">
                  <c:v>1.5600574147595718E-3</c:v>
                </c:pt>
                <c:pt idx="267">
                  <c:v>1.5607476724796218E-3</c:v>
                </c:pt>
                <c:pt idx="268">
                  <c:v>1.562807260293617E-3</c:v>
                </c:pt>
                <c:pt idx="269">
                  <c:v>1.5634901669792452E-3</c:v>
                </c:pt>
                <c:pt idx="270">
                  <c:v>1.5641713153035286E-3</c:v>
                </c:pt>
                <c:pt idx="271">
                  <c:v>1.5648507370253715E-3</c:v>
                </c:pt>
                <c:pt idx="272">
                  <c:v>1.5655284639036788E-3</c:v>
                </c:pt>
                <c:pt idx="273">
                  <c:v>1.5675517930664276E-3</c:v>
                </c:pt>
                <c:pt idx="274">
                  <c:v>1.5682230581596343E-3</c:v>
                </c:pt>
                <c:pt idx="275">
                  <c:v>1.5688927872038268E-3</c:v>
                </c:pt>
                <c:pt idx="276">
                  <c:v>1.5695610119579092E-3</c:v>
                </c:pt>
                <c:pt idx="277">
                  <c:v>1.5702277641807861E-3</c:v>
                </c:pt>
                <c:pt idx="278">
                  <c:v>1.5722195032512268E-3</c:v>
                </c:pt>
                <c:pt idx="279">
                  <c:v>1.5728806829383251E-3</c:v>
                </c:pt>
                <c:pt idx="280">
                  <c:v>1.5735405488887392E-3</c:v>
                </c:pt>
                <c:pt idx="281">
                  <c:v>1.5741991328613737E-3</c:v>
                </c:pt>
                <c:pt idx="282">
                  <c:v>1.5748564666151332E-3</c:v>
                </c:pt>
                <c:pt idx="283">
                  <c:v>1.5768212841522039E-3</c:v>
                </c:pt>
                <c:pt idx="284">
                  <c:v>1.5774739346195059E-3</c:v>
                </c:pt>
                <c:pt idx="285">
                  <c:v>1.5781254936624545E-3</c:v>
                </c:pt>
                <c:pt idx="286">
                  <c:v>1.5787759930399538E-3</c:v>
                </c:pt>
                <c:pt idx="287">
                  <c:v>1.5813680290735471E-3</c:v>
                </c:pt>
                <c:pt idx="288">
                  <c:v>1.5820137065073658E-3</c:v>
                </c:pt>
                <c:pt idx="289">
                  <c:v>1.5826585148291615E-3</c:v>
                </c:pt>
                <c:pt idx="290">
                  <c:v>1.5833024857978386E-3</c:v>
                </c:pt>
                <c:pt idx="291">
                  <c:v>1.5858706313194456E-3</c:v>
                </c:pt>
                <c:pt idx="292">
                  <c:v>1.5865108919060939E-3</c:v>
                </c:pt>
                <c:pt idx="293">
                  <c:v>1.5871505056930496E-3</c:v>
                </c:pt>
                <c:pt idx="294">
                  <c:v>1.5877895044392166E-3</c:v>
                </c:pt>
                <c:pt idx="295">
                  <c:v>1.5884279199034998E-3</c:v>
                </c:pt>
                <c:pt idx="296">
                  <c:v>1.5903399841940885E-3</c:v>
                </c:pt>
                <c:pt idx="297">
                  <c:v>1.5909763841198787E-3</c:v>
                </c:pt>
                <c:pt idx="298">
                  <c:v>1.5916123595583068E-3</c:v>
                </c:pt>
                <c:pt idx="299">
                  <c:v>1.5922479422682771E-3</c:v>
                </c:pt>
                <c:pt idx="300">
                  <c:v>1.5928831640086934E-3</c:v>
                </c:pt>
                <c:pt idx="301">
                  <c:v>1.5947869810016642E-3</c:v>
                </c:pt>
                <c:pt idx="302">
                  <c:v>1.5954210764529094E-3</c:v>
                </c:pt>
                <c:pt idx="303">
                  <c:v>1.5960549697291227E-3</c:v>
                </c:pt>
                <c:pt idx="304">
                  <c:v>1.5966886925892084E-3</c:v>
                </c:pt>
                <c:pt idx="305">
                  <c:v>1.5973222767920708E-3</c:v>
                </c:pt>
                <c:pt idx="306">
                  <c:v>1.5992225150463619E-3</c:v>
                </c:pt>
                <c:pt idx="307">
                  <c:v>1.5998558622093745E-3</c:v>
                </c:pt>
                <c:pt idx="308">
                  <c:v>1.6004892295096859E-3</c:v>
                </c:pt>
                <c:pt idx="309">
                  <c:v>1.6011226487061998E-3</c:v>
                </c:pt>
                <c:pt idx="310">
                  <c:v>1.6017561515578207E-3</c:v>
                </c:pt>
                <c:pt idx="311">
                  <c:v>1.6036574796323701E-3</c:v>
                </c:pt>
                <c:pt idx="312">
                  <c:v>1.6042916346934632E-3</c:v>
                </c:pt>
                <c:pt idx="313">
                  <c:v>1.6049260322041849E-3</c:v>
                </c:pt>
                <c:pt idx="314">
                  <c:v>1.60556070392344E-3</c:v>
                </c:pt>
                <c:pt idx="315">
                  <c:v>1.6061956816101324E-3</c:v>
                </c:pt>
                <c:pt idx="316">
                  <c:v>1.6081027680638783E-3</c:v>
                </c:pt>
                <c:pt idx="317">
                  <c:v>1.608739287209364E-3</c:v>
                </c:pt>
                <c:pt idx="318">
                  <c:v>1.6093762711168092E-3</c:v>
                </c:pt>
                <c:pt idx="319">
                  <c:v>1.6100137515451178E-3</c:v>
                </c:pt>
                <c:pt idx="320">
                  <c:v>1.6106517602531944E-3</c:v>
                </c:pt>
                <c:pt idx="321">
                  <c:v>1.6125692736450746E-3</c:v>
                </c:pt>
                <c:pt idx="322">
                  <c:v>1.6132097130612661E-3</c:v>
                </c:pt>
                <c:pt idx="323">
                  <c:v>1.6138508395517471E-3</c:v>
                </c:pt>
                <c:pt idx="324">
                  <c:v>1.6144926848754221E-3</c:v>
                </c:pt>
                <c:pt idx="325">
                  <c:v>1.6151352807911956E-3</c:v>
                </c:pt>
                <c:pt idx="326">
                  <c:v>1.6170678896801484E-3</c:v>
                </c:pt>
                <c:pt idx="327">
                  <c:v>1.6177138055533582E-3</c:v>
                </c:pt>
                <c:pt idx="328">
                  <c:v>1.618360630813188E-3</c:v>
                </c:pt>
                <c:pt idx="329">
                  <c:v>1.619008397218542E-3</c:v>
                </c:pt>
                <c:pt idx="330">
                  <c:v>1.6196571365283247E-3</c:v>
                </c:pt>
                <c:pt idx="331">
                  <c:v>1.6216095094732884E-3</c:v>
                </c:pt>
                <c:pt idx="332">
                  <c:v>1.6222624579898292E-3</c:v>
                </c:pt>
                <c:pt idx="333">
                  <c:v>1.6229165382053202E-3</c:v>
                </c:pt>
                <c:pt idx="334">
                  <c:v>1.6235717818786661E-3</c:v>
                </c:pt>
                <c:pt idx="335">
                  <c:v>1.624228220768771E-3</c:v>
                </c:pt>
                <c:pt idx="336">
                  <c:v>1.6262050263286833E-3</c:v>
                </c:pt>
                <c:pt idx="337">
                  <c:v>1.6268665636748679E-3</c:v>
                </c:pt>
                <c:pt idx="338">
                  <c:v>1.6275294550323329E-3</c:v>
                </c:pt>
                <c:pt idx="339">
                  <c:v>1.6281937321599833E-3</c:v>
                </c:pt>
                <c:pt idx="340">
                  <c:v>1.6288594268167231E-3</c:v>
                </c:pt>
                <c:pt idx="341">
                  <c:v>1.6308653335505223E-3</c:v>
                </c:pt>
                <c:pt idx="342">
                  <c:v>1.6315370159126631E-3</c:v>
                </c:pt>
                <c:pt idx="343">
                  <c:v>1.632210274598415E-3</c:v>
                </c:pt>
                <c:pt idx="344">
                  <c:v>1.6328851245107653E-3</c:v>
                </c:pt>
                <c:pt idx="345">
                  <c:v>1.6335615131290336E-3</c:v>
                </c:pt>
                <c:pt idx="346">
                  <c:v>1.6355992174533647E-3</c:v>
                </c:pt>
                <c:pt idx="347">
                  <c:v>1.6362810671293245E-3</c:v>
                </c:pt>
                <c:pt idx="348">
                  <c:v>1.6369641086282128E-3</c:v>
                </c:pt>
                <c:pt idx="349">
                  <c:v>1.6376482725734315E-3</c:v>
                </c:pt>
                <c:pt idx="350">
                  <c:v>1.6410835008135569E-3</c:v>
                </c:pt>
                <c:pt idx="351">
                  <c:v>1.6417729425282034E-3</c:v>
                </c:pt>
                <c:pt idx="352">
                  <c:v>1.6424630210529953E-3</c:v>
                </c:pt>
                <c:pt idx="353">
                  <c:v>1.6431536670113349E-3</c:v>
                </c:pt>
                <c:pt idx="354">
                  <c:v>1.6452283157216605E-3</c:v>
                </c:pt>
                <c:pt idx="355">
                  <c:v>1.6459205376482117E-3</c:v>
                </c:pt>
                <c:pt idx="356">
                  <c:v>1.6466129801253214E-3</c:v>
                </c:pt>
                <c:pt idx="357">
                  <c:v>1.6473055737763916E-3</c:v>
                </c:pt>
                <c:pt idx="358">
                  <c:v>1.6479982492248241E-3</c:v>
                </c:pt>
                <c:pt idx="359">
                  <c:v>1.6500760725883191E-3</c:v>
                </c:pt>
                <c:pt idx="360">
                  <c:v>1.6507683814602236E-3</c:v>
                </c:pt>
                <c:pt idx="361">
                  <c:v>1.6514604252465014E-3</c:v>
                </c:pt>
                <c:pt idx="362">
                  <c:v>1.6521521345705546E-3</c:v>
                </c:pt>
                <c:pt idx="363">
                  <c:v>1.6528434400557854E-3</c:v>
                </c:pt>
                <c:pt idx="364">
                  <c:v>1.6549142397125646E-3</c:v>
                </c:pt>
                <c:pt idx="365">
                  <c:v>1.6556032360765273E-3</c:v>
                </c:pt>
                <c:pt idx="366">
                  <c:v>1.656291481718678E-3</c:v>
                </c:pt>
                <c:pt idx="367">
                  <c:v>1.6569789072624194E-3</c:v>
                </c:pt>
                <c:pt idx="368">
                  <c:v>1.6576654433311533E-3</c:v>
                </c:pt>
                <c:pt idx="369">
                  <c:v>1.6597190209213315E-3</c:v>
                </c:pt>
                <c:pt idx="370">
                  <c:v>1.6604013053240572E-3</c:v>
                </c:pt>
                <c:pt idx="371">
                  <c:v>1.661082353368786E-3</c:v>
                </c:pt>
                <c:pt idx="372">
                  <c:v>1.6617620956789203E-3</c:v>
                </c:pt>
                <c:pt idx="373">
                  <c:v>1.6624404628778622E-3</c:v>
                </c:pt>
                <c:pt idx="374">
                  <c:v>1.6644666200415546E-3</c:v>
                </c:pt>
                <c:pt idx="375">
                  <c:v>1.665138793029748E-3</c:v>
                </c:pt>
                <c:pt idx="376">
                  <c:v>1.6658092440237598E-3</c:v>
                </c:pt>
                <c:pt idx="377">
                  <c:v>1.6664779036469923E-3</c:v>
                </c:pt>
                <c:pt idx="378">
                  <c:v>1.6671447025228469E-3</c:v>
                </c:pt>
                <c:pt idx="379">
                  <c:v>1.6691332409001682E-3</c:v>
                </c:pt>
                <c:pt idx="380">
                  <c:v>1.6697919030205345E-3</c:v>
                </c:pt>
                <c:pt idx="381">
                  <c:v>1.6704483575105344E-3</c:v>
                </c:pt>
                <c:pt idx="382">
                  <c:v>1.6711025349935695E-3</c:v>
                </c:pt>
                <c:pt idx="383">
                  <c:v>1.6717543660930423E-3</c:v>
                </c:pt>
                <c:pt idx="384">
                  <c:v>1.6736950873241069E-3</c:v>
                </c:pt>
                <c:pt idx="385">
                  <c:v>1.6743368391233513E-3</c:v>
                </c:pt>
                <c:pt idx="386">
                  <c:v>1.6749758976560439E-3</c:v>
                </c:pt>
                <c:pt idx="387">
                  <c:v>1.675612193545587E-3</c:v>
                </c:pt>
                <c:pt idx="388">
                  <c:v>1.6762456574153826E-3</c:v>
                </c:pt>
                <c:pt idx="389">
                  <c:v>1.6781283631403059E-3</c:v>
                </c:pt>
                <c:pt idx="390">
                  <c:v>1.6787498051651329E-3</c:v>
                </c:pt>
                <c:pt idx="391">
                  <c:v>1.6793680682872234E-3</c:v>
                </c:pt>
                <c:pt idx="392">
                  <c:v>1.6799830831299792E-3</c:v>
                </c:pt>
                <c:pt idx="393">
                  <c:v>1.6805947803168026E-3</c:v>
                </c:pt>
                <c:pt idx="394">
                  <c:v>1.682409272175699E-3</c:v>
                </c:pt>
                <c:pt idx="395">
                  <c:v>1.6830070049728141E-3</c:v>
                </c:pt>
                <c:pt idx="396">
                  <c:v>1.6836010732310073E-3</c:v>
                </c:pt>
                <c:pt idx="397">
                  <c:v>1.6841914075736808E-3</c:v>
                </c:pt>
                <c:pt idx="398">
                  <c:v>1.6847779386242369E-3</c:v>
                </c:pt>
                <c:pt idx="399">
                  <c:v>1.6865140182572215E-3</c:v>
                </c:pt>
                <c:pt idx="400">
                  <c:v>1.6870846423733292E-3</c:v>
                </c:pt>
                <c:pt idx="401">
                  <c:v>1.68765111631433E-3</c:v>
                </c:pt>
                <c:pt idx="402">
                  <c:v>1.6882133707036263E-3</c:v>
                </c:pt>
                <c:pt idx="403">
                  <c:v>1.6887713361646199E-3</c:v>
                </c:pt>
                <c:pt idx="404">
                  <c:v>1.6904188052118078E-3</c:v>
                </c:pt>
                <c:pt idx="405">
                  <c:v>1.6909589211936131E-3</c:v>
                </c:pt>
                <c:pt idx="406">
                  <c:v>1.6914944013641266E-3</c:v>
                </c:pt>
                <c:pt idx="407">
                  <c:v>1.692025195911537E-3</c:v>
                </c:pt>
                <c:pt idx="408">
                  <c:v>1.6925513332831791E-3</c:v>
                </c:pt>
                <c:pt idx="409">
                  <c:v>1.6941022824647088E-3</c:v>
                </c:pt>
                <c:pt idx="410">
                  <c:v>1.6946102712544909E-3</c:v>
                </c:pt>
                <c:pt idx="411">
                  <c:v>1.6951138429291113E-3</c:v>
                </c:pt>
                <c:pt idx="412">
                  <c:v>1.6956130455006914E-3</c:v>
                </c:pt>
                <c:pt idx="413">
                  <c:v>1.6961079269813524E-3</c:v>
                </c:pt>
                <c:pt idx="414">
                  <c:v>1.6975671249990344E-3</c:v>
                </c:pt>
                <c:pt idx="415">
                  <c:v>1.6980452022372324E-3</c:v>
                </c:pt>
                <c:pt idx="416">
                  <c:v>1.6985191984451181E-3</c:v>
                </c:pt>
                <c:pt idx="417">
                  <c:v>1.6989891616348124E-3</c:v>
                </c:pt>
                <c:pt idx="418">
                  <c:v>1.6994551398184373E-3</c:v>
                </c:pt>
                <c:pt idx="419">
                  <c:v>1.700829644454106E-3</c:v>
                </c:pt>
                <c:pt idx="420">
                  <c:v>1.7012801627346648E-3</c:v>
                </c:pt>
                <c:pt idx="421">
                  <c:v>1.7017269360697603E-3</c:v>
                </c:pt>
                <c:pt idx="422">
                  <c:v>1.7021700124715143E-3</c:v>
                </c:pt>
                <c:pt idx="423">
                  <c:v>1.7026094399520476E-3</c:v>
                </c:pt>
                <c:pt idx="424">
                  <c:v>1.7039063089875374E-3</c:v>
                </c:pt>
                <c:pt idx="425">
                  <c:v>1.7043316209044018E-3</c:v>
                </c:pt>
                <c:pt idx="426">
                  <c:v>1.7047535239606523E-3</c:v>
                </c:pt>
                <c:pt idx="427">
                  <c:v>1.70517206616841E-3</c:v>
                </c:pt>
                <c:pt idx="428">
                  <c:v>1.7055872955397968E-3</c:v>
                </c:pt>
                <c:pt idx="429">
                  <c:v>1.7068135867569422E-3</c:v>
                </c:pt>
                <c:pt idx="430">
                  <c:v>1.7072160449040569E-3</c:v>
                </c:pt>
                <c:pt idx="431">
                  <c:v>1.7076154302754071E-3</c:v>
                </c:pt>
                <c:pt idx="432">
                  <c:v>1.7080117908831139E-3</c:v>
                </c:pt>
                <c:pt idx="433">
                  <c:v>1.7084051747392986E-3</c:v>
                </c:pt>
                <c:pt idx="434">
                  <c:v>1.7095679459199341E-3</c:v>
                </c:pt>
                <c:pt idx="435">
                  <c:v>1.7099499028912441E-3</c:v>
                </c:pt>
                <c:pt idx="436">
                  <c:v>1.7103291231716387E-3</c:v>
                </c:pt>
                <c:pt idx="437">
                  <c:v>1.7107056547732392E-3</c:v>
                </c:pt>
                <c:pt idx="438">
                  <c:v>1.7110795457081669E-3</c:v>
                </c:pt>
                <c:pt idx="439">
                  <c:v>1.7121858546341269E-3</c:v>
                </c:pt>
                <c:pt idx="440">
                  <c:v>1.7125496630235769E-3</c:v>
                </c:pt>
                <c:pt idx="441">
                  <c:v>1.7129110708069607E-3</c:v>
                </c:pt>
                <c:pt idx="442">
                  <c:v>1.7132701259963998E-3</c:v>
                </c:pt>
                <c:pt idx="443">
                  <c:v>1.7136268766040153E-3</c:v>
                </c:pt>
                <c:pt idx="444">
                  <c:v>1.7146837810571342E-3</c:v>
                </c:pt>
                <c:pt idx="445">
                  <c:v>1.7150317934586691E-3</c:v>
                </c:pt>
                <c:pt idx="446">
                  <c:v>1.7153777413389871E-3</c:v>
                </c:pt>
                <c:pt idx="447">
                  <c:v>1.7157216727102095E-3</c:v>
                </c:pt>
                <c:pt idx="448">
                  <c:v>1.7160636355844576E-3</c:v>
                </c:pt>
                <c:pt idx="449">
                  <c:v>1.7170781933465698E-3</c:v>
                </c:pt>
                <c:pt idx="450">
                  <c:v>1.7174127623541342E-3</c:v>
                </c:pt>
                <c:pt idx="451">
                  <c:v>1.7177456029253311E-3</c:v>
                </c:pt>
                <c:pt idx="452">
                  <c:v>1.7180767630722816E-3</c:v>
                </c:pt>
                <c:pt idx="453">
                  <c:v>1.7184062908071071E-3</c:v>
                </c:pt>
                <c:pt idx="454">
                  <c:v>1.7193855596600474E-3</c:v>
                </c:pt>
                <c:pt idx="455">
                  <c:v>1.7197090378675863E-3</c:v>
                </c:pt>
                <c:pt idx="456">
                  <c:v>1.7200311237236068E-3</c:v>
                </c:pt>
                <c:pt idx="457">
                  <c:v>1.7203518652402303E-3</c:v>
                </c:pt>
                <c:pt idx="458">
                  <c:v>1.7206713104295781E-3</c:v>
                </c:pt>
                <c:pt idx="459">
                  <c:v>1.7216223481551804E-3</c:v>
                </c:pt>
                <c:pt idx="460">
                  <c:v>1.7219370881566384E-3</c:v>
                </c:pt>
                <c:pt idx="461">
                  <c:v>1.7222507718914276E-3</c:v>
                </c:pt>
                <c:pt idx="462">
                  <c:v>1.7225634473716689E-3</c:v>
                </c:pt>
                <c:pt idx="463">
                  <c:v>1.7228751626094838E-3</c:v>
                </c:pt>
                <c:pt idx="464">
                  <c:v>1.7238050269895828E-3</c:v>
                </c:pt>
                <c:pt idx="465">
                  <c:v>1.724113381378905E-3</c:v>
                </c:pt>
                <c:pt idx="466">
                  <c:v>1.7244210155864075E-3</c:v>
                </c:pt>
                <c:pt idx="467">
                  <c:v>1.7247279776242113E-3</c:v>
                </c:pt>
                <c:pt idx="468">
                  <c:v>1.725034315504438E-3</c:v>
                </c:pt>
                <c:pt idx="469">
                  <c:v>1.725950064320868E-3</c:v>
                </c:pt>
                <c:pt idx="470">
                  <c:v>1.7262543856919992E-3</c:v>
                </c:pt>
                <c:pt idx="471">
                  <c:v>1.7265583229661599E-3</c:v>
                </c:pt>
                <c:pt idx="472">
                  <c:v>1.726861924155471E-3</c:v>
                </c:pt>
                <c:pt idx="473">
                  <c:v>1.7271652372720546E-3</c:v>
                </c:pt>
                <c:pt idx="474">
                  <c:v>1.7280739283066502E-3</c:v>
                </c:pt>
                <c:pt idx="475">
                  <c:v>1.7283765692535349E-3</c:v>
                </c:pt>
                <c:pt idx="476">
                  <c:v>1.7286791621882985E-3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951040"/>
        <c:axId val="576952576"/>
      </c:scatterChart>
      <c:valAx>
        <c:axId val="5769510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6952576"/>
        <c:crosses val="autoZero"/>
        <c:crossBetween val="midCat"/>
      </c:valAx>
      <c:valAx>
        <c:axId val="5769525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6951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2"/>
          <c:order val="0"/>
          <c:tx>
            <c:v>Basis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41954</c:v>
                </c:pt>
                <c:pt idx="1">
                  <c:v>41984</c:v>
                </c:pt>
                <c:pt idx="2">
                  <c:v>42016</c:v>
                </c:pt>
                <c:pt idx="3">
                  <c:v>42046</c:v>
                </c:pt>
                <c:pt idx="4">
                  <c:v>42074</c:v>
                </c:pt>
                <c:pt idx="5">
                  <c:v>42107</c:v>
                </c:pt>
                <c:pt idx="6">
                  <c:v>42135</c:v>
                </c:pt>
                <c:pt idx="7">
                  <c:v>42166</c:v>
                </c:pt>
                <c:pt idx="8">
                  <c:v>42198</c:v>
                </c:pt>
                <c:pt idx="9">
                  <c:v>42227</c:v>
                </c:pt>
                <c:pt idx="10">
                  <c:v>42258</c:v>
                </c:pt>
                <c:pt idx="11">
                  <c:v>42289</c:v>
                </c:pt>
                <c:pt idx="12">
                  <c:v>42319</c:v>
                </c:pt>
                <c:pt idx="13">
                  <c:v>42349</c:v>
                </c:pt>
                <c:pt idx="14">
                  <c:v>42380</c:v>
                </c:pt>
                <c:pt idx="15">
                  <c:v>42411</c:v>
                </c:pt>
                <c:pt idx="16">
                  <c:v>42440</c:v>
                </c:pt>
                <c:pt idx="17">
                  <c:v>42471</c:v>
                </c:pt>
                <c:pt idx="18">
                  <c:v>42501</c:v>
                </c:pt>
              </c:numCache>
            </c:numRef>
          </c:xVal>
          <c:yVal>
            <c:numRef>
              <c:f>'basis 6M '!$K$2:$K$20</c:f>
              <c:numCache>
                <c:formatCode>0.0000%</c:formatCode>
                <c:ptCount val="19"/>
                <c:pt idx="0">
                  <c:v>2.134591043901268E-3</c:v>
                </c:pt>
                <c:pt idx="1">
                  <c:v>2.2703768045152671E-3</c:v>
                </c:pt>
                <c:pt idx="2">
                  <c:v>2.3216396462359544E-3</c:v>
                </c:pt>
                <c:pt idx="3">
                  <c:v>2.3673619995920104E-3</c:v>
                </c:pt>
                <c:pt idx="4">
                  <c:v>2.4346674294555368E-3</c:v>
                </c:pt>
                <c:pt idx="5">
                  <c:v>2.5093772813772779E-3</c:v>
                </c:pt>
                <c:pt idx="6">
                  <c:v>2.5335618227271977E-3</c:v>
                </c:pt>
                <c:pt idx="7">
                  <c:v>2.5473112140909737E-3</c:v>
                </c:pt>
                <c:pt idx="8">
                  <c:v>2.5430280649973553E-3</c:v>
                </c:pt>
                <c:pt idx="9">
                  <c:v>2.5767763544944015E-3</c:v>
                </c:pt>
                <c:pt idx="10">
                  <c:v>2.6034416461067191E-3</c:v>
                </c:pt>
                <c:pt idx="11">
                  <c:v>2.6335377535164524E-3</c:v>
                </c:pt>
                <c:pt idx="12">
                  <c:v>2.6689627552623175E-3</c:v>
                </c:pt>
                <c:pt idx="13">
                  <c:v>2.6954624094327933E-3</c:v>
                </c:pt>
                <c:pt idx="14">
                  <c:v>2.7796896619134322E-3</c:v>
                </c:pt>
                <c:pt idx="15">
                  <c:v>2.7949624305345206E-3</c:v>
                </c:pt>
                <c:pt idx="16">
                  <c:v>2.8102699391151119E-3</c:v>
                </c:pt>
                <c:pt idx="17">
                  <c:v>2.8267385923748099E-3</c:v>
                </c:pt>
                <c:pt idx="18">
                  <c:v>2.8517611915908148E-3</c:v>
                </c:pt>
              </c:numCache>
            </c:numRef>
          </c:yVal>
          <c:smooth val="0"/>
        </c:ser>
        <c:ser>
          <c:idx val="3"/>
          <c:order val="1"/>
          <c:tx>
            <c:v>interpolated Basis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'basis 6M '!$P$2:$P$404</c:f>
              <c:numCache>
                <c:formatCode>ddd\,\ dd\-mmm\-yyyy</c:formatCode>
                <c:ptCount val="403"/>
                <c:pt idx="0">
                  <c:v>41954</c:v>
                </c:pt>
                <c:pt idx="1">
                  <c:v>41955</c:v>
                </c:pt>
                <c:pt idx="2">
                  <c:v>41956</c:v>
                </c:pt>
                <c:pt idx="3">
                  <c:v>41957</c:v>
                </c:pt>
                <c:pt idx="4">
                  <c:v>41960</c:v>
                </c:pt>
                <c:pt idx="5">
                  <c:v>41961</c:v>
                </c:pt>
                <c:pt idx="6">
                  <c:v>41962</c:v>
                </c:pt>
                <c:pt idx="7">
                  <c:v>41963</c:v>
                </c:pt>
                <c:pt idx="8">
                  <c:v>41964</c:v>
                </c:pt>
                <c:pt idx="9">
                  <c:v>41967</c:v>
                </c:pt>
                <c:pt idx="10">
                  <c:v>41968</c:v>
                </c:pt>
                <c:pt idx="11">
                  <c:v>41969</c:v>
                </c:pt>
                <c:pt idx="12">
                  <c:v>41970</c:v>
                </c:pt>
                <c:pt idx="13">
                  <c:v>41971</c:v>
                </c:pt>
                <c:pt idx="14">
                  <c:v>41974</c:v>
                </c:pt>
                <c:pt idx="15">
                  <c:v>41975</c:v>
                </c:pt>
                <c:pt idx="16">
                  <c:v>41976</c:v>
                </c:pt>
                <c:pt idx="17">
                  <c:v>41977</c:v>
                </c:pt>
                <c:pt idx="18">
                  <c:v>41978</c:v>
                </c:pt>
                <c:pt idx="19">
                  <c:v>41981</c:v>
                </c:pt>
                <c:pt idx="20">
                  <c:v>41982</c:v>
                </c:pt>
                <c:pt idx="21">
                  <c:v>41983</c:v>
                </c:pt>
                <c:pt idx="22">
                  <c:v>41984</c:v>
                </c:pt>
                <c:pt idx="23">
                  <c:v>41985</c:v>
                </c:pt>
                <c:pt idx="24">
                  <c:v>41988</c:v>
                </c:pt>
                <c:pt idx="25">
                  <c:v>41989</c:v>
                </c:pt>
                <c:pt idx="26">
                  <c:v>41990</c:v>
                </c:pt>
                <c:pt idx="27">
                  <c:v>41991</c:v>
                </c:pt>
                <c:pt idx="28">
                  <c:v>41992</c:v>
                </c:pt>
                <c:pt idx="29">
                  <c:v>41995</c:v>
                </c:pt>
                <c:pt idx="30">
                  <c:v>41996</c:v>
                </c:pt>
                <c:pt idx="31">
                  <c:v>41997</c:v>
                </c:pt>
                <c:pt idx="32">
                  <c:v>42002</c:v>
                </c:pt>
                <c:pt idx="33">
                  <c:v>42003</c:v>
                </c:pt>
                <c:pt idx="34">
                  <c:v>42004</c:v>
                </c:pt>
                <c:pt idx="35">
                  <c:v>42006</c:v>
                </c:pt>
                <c:pt idx="36">
                  <c:v>42009</c:v>
                </c:pt>
                <c:pt idx="37">
                  <c:v>42010</c:v>
                </c:pt>
                <c:pt idx="38">
                  <c:v>42011</c:v>
                </c:pt>
                <c:pt idx="39">
                  <c:v>42012</c:v>
                </c:pt>
                <c:pt idx="40">
                  <c:v>42013</c:v>
                </c:pt>
                <c:pt idx="41">
                  <c:v>42016</c:v>
                </c:pt>
                <c:pt idx="42">
                  <c:v>42017</c:v>
                </c:pt>
                <c:pt idx="43">
                  <c:v>42018</c:v>
                </c:pt>
                <c:pt idx="44">
                  <c:v>42019</c:v>
                </c:pt>
                <c:pt idx="45">
                  <c:v>42020</c:v>
                </c:pt>
                <c:pt idx="46">
                  <c:v>42023</c:v>
                </c:pt>
                <c:pt idx="47">
                  <c:v>42024</c:v>
                </c:pt>
                <c:pt idx="48">
                  <c:v>42025</c:v>
                </c:pt>
                <c:pt idx="49">
                  <c:v>42026</c:v>
                </c:pt>
                <c:pt idx="50">
                  <c:v>42027</c:v>
                </c:pt>
                <c:pt idx="51">
                  <c:v>42030</c:v>
                </c:pt>
                <c:pt idx="52">
                  <c:v>42031</c:v>
                </c:pt>
                <c:pt idx="53">
                  <c:v>42032</c:v>
                </c:pt>
                <c:pt idx="54">
                  <c:v>42033</c:v>
                </c:pt>
                <c:pt idx="55">
                  <c:v>42034</c:v>
                </c:pt>
                <c:pt idx="56">
                  <c:v>42037</c:v>
                </c:pt>
                <c:pt idx="57">
                  <c:v>42038</c:v>
                </c:pt>
                <c:pt idx="58">
                  <c:v>42039</c:v>
                </c:pt>
                <c:pt idx="59">
                  <c:v>42040</c:v>
                </c:pt>
                <c:pt idx="60">
                  <c:v>42041</c:v>
                </c:pt>
                <c:pt idx="61">
                  <c:v>42044</c:v>
                </c:pt>
                <c:pt idx="62">
                  <c:v>42045</c:v>
                </c:pt>
                <c:pt idx="63">
                  <c:v>42046</c:v>
                </c:pt>
                <c:pt idx="64">
                  <c:v>42047</c:v>
                </c:pt>
                <c:pt idx="65">
                  <c:v>42048</c:v>
                </c:pt>
                <c:pt idx="66">
                  <c:v>42051</c:v>
                </c:pt>
                <c:pt idx="67">
                  <c:v>42052</c:v>
                </c:pt>
                <c:pt idx="68">
                  <c:v>42053</c:v>
                </c:pt>
                <c:pt idx="69">
                  <c:v>42054</c:v>
                </c:pt>
                <c:pt idx="70">
                  <c:v>42055</c:v>
                </c:pt>
                <c:pt idx="71">
                  <c:v>42058</c:v>
                </c:pt>
                <c:pt idx="72">
                  <c:v>42059</c:v>
                </c:pt>
                <c:pt idx="73">
                  <c:v>42060</c:v>
                </c:pt>
                <c:pt idx="74">
                  <c:v>42061</c:v>
                </c:pt>
                <c:pt idx="75">
                  <c:v>42062</c:v>
                </c:pt>
                <c:pt idx="76">
                  <c:v>42065</c:v>
                </c:pt>
                <c:pt idx="77">
                  <c:v>42066</c:v>
                </c:pt>
                <c:pt idx="78">
                  <c:v>42067</c:v>
                </c:pt>
                <c:pt idx="79">
                  <c:v>42068</c:v>
                </c:pt>
                <c:pt idx="80">
                  <c:v>42069</c:v>
                </c:pt>
                <c:pt idx="81">
                  <c:v>42072</c:v>
                </c:pt>
                <c:pt idx="82">
                  <c:v>42073</c:v>
                </c:pt>
                <c:pt idx="83">
                  <c:v>42074</c:v>
                </c:pt>
                <c:pt idx="84">
                  <c:v>42075</c:v>
                </c:pt>
                <c:pt idx="85">
                  <c:v>42076</c:v>
                </c:pt>
                <c:pt idx="86">
                  <c:v>42079</c:v>
                </c:pt>
                <c:pt idx="87">
                  <c:v>42080</c:v>
                </c:pt>
                <c:pt idx="88">
                  <c:v>42081</c:v>
                </c:pt>
                <c:pt idx="89">
                  <c:v>42082</c:v>
                </c:pt>
                <c:pt idx="90">
                  <c:v>42083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42093</c:v>
                </c:pt>
                <c:pt idx="97">
                  <c:v>42094</c:v>
                </c:pt>
                <c:pt idx="98">
                  <c:v>42095</c:v>
                </c:pt>
                <c:pt idx="99">
                  <c:v>42096</c:v>
                </c:pt>
                <c:pt idx="100">
                  <c:v>42101</c:v>
                </c:pt>
                <c:pt idx="101">
                  <c:v>42102</c:v>
                </c:pt>
                <c:pt idx="102">
                  <c:v>42103</c:v>
                </c:pt>
                <c:pt idx="103">
                  <c:v>42104</c:v>
                </c:pt>
                <c:pt idx="104">
                  <c:v>42107</c:v>
                </c:pt>
                <c:pt idx="105">
                  <c:v>42108</c:v>
                </c:pt>
                <c:pt idx="106">
                  <c:v>42109</c:v>
                </c:pt>
                <c:pt idx="107">
                  <c:v>42110</c:v>
                </c:pt>
                <c:pt idx="108">
                  <c:v>42111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42121</c:v>
                </c:pt>
                <c:pt idx="115">
                  <c:v>42122</c:v>
                </c:pt>
                <c:pt idx="116">
                  <c:v>42123</c:v>
                </c:pt>
                <c:pt idx="117">
                  <c:v>42124</c:v>
                </c:pt>
                <c:pt idx="118">
                  <c:v>42128</c:v>
                </c:pt>
                <c:pt idx="119">
                  <c:v>42129</c:v>
                </c:pt>
                <c:pt idx="120">
                  <c:v>42130</c:v>
                </c:pt>
                <c:pt idx="121">
                  <c:v>42131</c:v>
                </c:pt>
                <c:pt idx="122">
                  <c:v>42132</c:v>
                </c:pt>
                <c:pt idx="123">
                  <c:v>42135</c:v>
                </c:pt>
                <c:pt idx="124">
                  <c:v>42136</c:v>
                </c:pt>
                <c:pt idx="125">
                  <c:v>42137</c:v>
                </c:pt>
                <c:pt idx="126">
                  <c:v>42138</c:v>
                </c:pt>
                <c:pt idx="127">
                  <c:v>42139</c:v>
                </c:pt>
                <c:pt idx="128">
                  <c:v>42142</c:v>
                </c:pt>
                <c:pt idx="129">
                  <c:v>42143</c:v>
                </c:pt>
                <c:pt idx="130">
                  <c:v>42144</c:v>
                </c:pt>
                <c:pt idx="131">
                  <c:v>42145</c:v>
                </c:pt>
                <c:pt idx="132">
                  <c:v>42146</c:v>
                </c:pt>
                <c:pt idx="133">
                  <c:v>42149</c:v>
                </c:pt>
                <c:pt idx="134">
                  <c:v>42150</c:v>
                </c:pt>
                <c:pt idx="135">
                  <c:v>42151</c:v>
                </c:pt>
                <c:pt idx="136">
                  <c:v>42152</c:v>
                </c:pt>
                <c:pt idx="137">
                  <c:v>42153</c:v>
                </c:pt>
                <c:pt idx="138">
                  <c:v>42156</c:v>
                </c:pt>
                <c:pt idx="139">
                  <c:v>42157</c:v>
                </c:pt>
                <c:pt idx="140">
                  <c:v>42158</c:v>
                </c:pt>
                <c:pt idx="141">
                  <c:v>42159</c:v>
                </c:pt>
                <c:pt idx="142">
                  <c:v>42160</c:v>
                </c:pt>
                <c:pt idx="143">
                  <c:v>42163</c:v>
                </c:pt>
                <c:pt idx="144">
                  <c:v>42164</c:v>
                </c:pt>
                <c:pt idx="145">
                  <c:v>42165</c:v>
                </c:pt>
                <c:pt idx="146">
                  <c:v>42166</c:v>
                </c:pt>
                <c:pt idx="147">
                  <c:v>42167</c:v>
                </c:pt>
                <c:pt idx="148">
                  <c:v>42170</c:v>
                </c:pt>
                <c:pt idx="149">
                  <c:v>42171</c:v>
                </c:pt>
                <c:pt idx="150">
                  <c:v>42172</c:v>
                </c:pt>
                <c:pt idx="151">
                  <c:v>42173</c:v>
                </c:pt>
                <c:pt idx="152">
                  <c:v>42174</c:v>
                </c:pt>
                <c:pt idx="153">
                  <c:v>42177</c:v>
                </c:pt>
                <c:pt idx="154">
                  <c:v>42178</c:v>
                </c:pt>
                <c:pt idx="155">
                  <c:v>42179</c:v>
                </c:pt>
                <c:pt idx="156">
                  <c:v>42180</c:v>
                </c:pt>
                <c:pt idx="157">
                  <c:v>42181</c:v>
                </c:pt>
                <c:pt idx="158">
                  <c:v>42184</c:v>
                </c:pt>
                <c:pt idx="159">
                  <c:v>42185</c:v>
                </c:pt>
                <c:pt idx="160">
                  <c:v>42186</c:v>
                </c:pt>
                <c:pt idx="161">
                  <c:v>42187</c:v>
                </c:pt>
                <c:pt idx="162">
                  <c:v>42188</c:v>
                </c:pt>
                <c:pt idx="163">
                  <c:v>42191</c:v>
                </c:pt>
                <c:pt idx="164">
                  <c:v>42192</c:v>
                </c:pt>
                <c:pt idx="165">
                  <c:v>42193</c:v>
                </c:pt>
                <c:pt idx="166">
                  <c:v>42194</c:v>
                </c:pt>
                <c:pt idx="167">
                  <c:v>42195</c:v>
                </c:pt>
                <c:pt idx="168">
                  <c:v>42198</c:v>
                </c:pt>
                <c:pt idx="169">
                  <c:v>42199</c:v>
                </c:pt>
                <c:pt idx="170">
                  <c:v>42200</c:v>
                </c:pt>
                <c:pt idx="171">
                  <c:v>42201</c:v>
                </c:pt>
                <c:pt idx="172">
                  <c:v>42202</c:v>
                </c:pt>
                <c:pt idx="173">
                  <c:v>42205</c:v>
                </c:pt>
                <c:pt idx="174">
                  <c:v>42206</c:v>
                </c:pt>
                <c:pt idx="175">
                  <c:v>42207</c:v>
                </c:pt>
                <c:pt idx="176">
                  <c:v>42208</c:v>
                </c:pt>
                <c:pt idx="177">
                  <c:v>42209</c:v>
                </c:pt>
                <c:pt idx="178">
                  <c:v>42212</c:v>
                </c:pt>
                <c:pt idx="179">
                  <c:v>42213</c:v>
                </c:pt>
                <c:pt idx="180">
                  <c:v>42214</c:v>
                </c:pt>
                <c:pt idx="181">
                  <c:v>42215</c:v>
                </c:pt>
                <c:pt idx="182">
                  <c:v>42216</c:v>
                </c:pt>
                <c:pt idx="183">
                  <c:v>42219</c:v>
                </c:pt>
                <c:pt idx="184">
                  <c:v>42220</c:v>
                </c:pt>
                <c:pt idx="185">
                  <c:v>42221</c:v>
                </c:pt>
                <c:pt idx="186">
                  <c:v>42222</c:v>
                </c:pt>
                <c:pt idx="187">
                  <c:v>42223</c:v>
                </c:pt>
                <c:pt idx="188">
                  <c:v>42226</c:v>
                </c:pt>
                <c:pt idx="189">
                  <c:v>42227</c:v>
                </c:pt>
                <c:pt idx="190">
                  <c:v>42228</c:v>
                </c:pt>
                <c:pt idx="191">
                  <c:v>42229</c:v>
                </c:pt>
                <c:pt idx="192">
                  <c:v>42230</c:v>
                </c:pt>
                <c:pt idx="193">
                  <c:v>42233</c:v>
                </c:pt>
                <c:pt idx="194">
                  <c:v>42234</c:v>
                </c:pt>
                <c:pt idx="195">
                  <c:v>42235</c:v>
                </c:pt>
                <c:pt idx="196">
                  <c:v>42236</c:v>
                </c:pt>
                <c:pt idx="197">
                  <c:v>42237</c:v>
                </c:pt>
                <c:pt idx="198">
                  <c:v>42240</c:v>
                </c:pt>
                <c:pt idx="199">
                  <c:v>42241</c:v>
                </c:pt>
                <c:pt idx="200">
                  <c:v>42242</c:v>
                </c:pt>
                <c:pt idx="201">
                  <c:v>42243</c:v>
                </c:pt>
                <c:pt idx="202">
                  <c:v>42244</c:v>
                </c:pt>
                <c:pt idx="203">
                  <c:v>42247</c:v>
                </c:pt>
                <c:pt idx="204">
                  <c:v>42248</c:v>
                </c:pt>
                <c:pt idx="205">
                  <c:v>42249</c:v>
                </c:pt>
                <c:pt idx="206">
                  <c:v>42250</c:v>
                </c:pt>
                <c:pt idx="207">
                  <c:v>42251</c:v>
                </c:pt>
                <c:pt idx="208">
                  <c:v>42254</c:v>
                </c:pt>
                <c:pt idx="209">
                  <c:v>42255</c:v>
                </c:pt>
                <c:pt idx="210">
                  <c:v>42256</c:v>
                </c:pt>
                <c:pt idx="211">
                  <c:v>42257</c:v>
                </c:pt>
                <c:pt idx="212">
                  <c:v>42258</c:v>
                </c:pt>
                <c:pt idx="213">
                  <c:v>42261</c:v>
                </c:pt>
                <c:pt idx="214">
                  <c:v>42262</c:v>
                </c:pt>
                <c:pt idx="215">
                  <c:v>42263</c:v>
                </c:pt>
                <c:pt idx="216">
                  <c:v>42264</c:v>
                </c:pt>
                <c:pt idx="217">
                  <c:v>42265</c:v>
                </c:pt>
                <c:pt idx="218">
                  <c:v>42268</c:v>
                </c:pt>
                <c:pt idx="219">
                  <c:v>42269</c:v>
                </c:pt>
                <c:pt idx="220">
                  <c:v>42270</c:v>
                </c:pt>
                <c:pt idx="221">
                  <c:v>42271</c:v>
                </c:pt>
                <c:pt idx="222">
                  <c:v>42272</c:v>
                </c:pt>
                <c:pt idx="223">
                  <c:v>42275</c:v>
                </c:pt>
                <c:pt idx="224">
                  <c:v>42276</c:v>
                </c:pt>
                <c:pt idx="225">
                  <c:v>42277</c:v>
                </c:pt>
                <c:pt idx="226">
                  <c:v>42278</c:v>
                </c:pt>
                <c:pt idx="227">
                  <c:v>42279</c:v>
                </c:pt>
                <c:pt idx="228">
                  <c:v>42282</c:v>
                </c:pt>
                <c:pt idx="229">
                  <c:v>42283</c:v>
                </c:pt>
                <c:pt idx="230">
                  <c:v>42284</c:v>
                </c:pt>
                <c:pt idx="231">
                  <c:v>42285</c:v>
                </c:pt>
                <c:pt idx="232">
                  <c:v>42286</c:v>
                </c:pt>
                <c:pt idx="233">
                  <c:v>42289</c:v>
                </c:pt>
                <c:pt idx="234">
                  <c:v>42290</c:v>
                </c:pt>
                <c:pt idx="235">
                  <c:v>42291</c:v>
                </c:pt>
                <c:pt idx="236">
                  <c:v>42292</c:v>
                </c:pt>
                <c:pt idx="237">
                  <c:v>42293</c:v>
                </c:pt>
                <c:pt idx="238">
                  <c:v>42296</c:v>
                </c:pt>
                <c:pt idx="239">
                  <c:v>42297</c:v>
                </c:pt>
                <c:pt idx="240">
                  <c:v>42298</c:v>
                </c:pt>
                <c:pt idx="241">
                  <c:v>42299</c:v>
                </c:pt>
                <c:pt idx="242">
                  <c:v>42300</c:v>
                </c:pt>
                <c:pt idx="243">
                  <c:v>42303</c:v>
                </c:pt>
                <c:pt idx="244">
                  <c:v>42304</c:v>
                </c:pt>
                <c:pt idx="245">
                  <c:v>42305</c:v>
                </c:pt>
                <c:pt idx="246">
                  <c:v>42306</c:v>
                </c:pt>
                <c:pt idx="247">
                  <c:v>42307</c:v>
                </c:pt>
                <c:pt idx="248">
                  <c:v>42310</c:v>
                </c:pt>
                <c:pt idx="249">
                  <c:v>42311</c:v>
                </c:pt>
                <c:pt idx="250">
                  <c:v>42312</c:v>
                </c:pt>
                <c:pt idx="251">
                  <c:v>42313</c:v>
                </c:pt>
                <c:pt idx="252">
                  <c:v>42314</c:v>
                </c:pt>
                <c:pt idx="253">
                  <c:v>42317</c:v>
                </c:pt>
                <c:pt idx="254">
                  <c:v>42318</c:v>
                </c:pt>
                <c:pt idx="255">
                  <c:v>42319</c:v>
                </c:pt>
                <c:pt idx="256">
                  <c:v>42320</c:v>
                </c:pt>
                <c:pt idx="257">
                  <c:v>42321</c:v>
                </c:pt>
                <c:pt idx="258">
                  <c:v>42324</c:v>
                </c:pt>
                <c:pt idx="259">
                  <c:v>42325</c:v>
                </c:pt>
                <c:pt idx="260">
                  <c:v>42326</c:v>
                </c:pt>
                <c:pt idx="261">
                  <c:v>42327</c:v>
                </c:pt>
                <c:pt idx="262">
                  <c:v>42328</c:v>
                </c:pt>
                <c:pt idx="263">
                  <c:v>42331</c:v>
                </c:pt>
                <c:pt idx="264">
                  <c:v>42332</c:v>
                </c:pt>
                <c:pt idx="265">
                  <c:v>42333</c:v>
                </c:pt>
                <c:pt idx="266">
                  <c:v>42334</c:v>
                </c:pt>
                <c:pt idx="267">
                  <c:v>42335</c:v>
                </c:pt>
                <c:pt idx="268">
                  <c:v>42338</c:v>
                </c:pt>
                <c:pt idx="269">
                  <c:v>42339</c:v>
                </c:pt>
                <c:pt idx="270">
                  <c:v>42340</c:v>
                </c:pt>
                <c:pt idx="271">
                  <c:v>42341</c:v>
                </c:pt>
                <c:pt idx="272">
                  <c:v>42342</c:v>
                </c:pt>
                <c:pt idx="273">
                  <c:v>42345</c:v>
                </c:pt>
                <c:pt idx="274">
                  <c:v>42346</c:v>
                </c:pt>
                <c:pt idx="275">
                  <c:v>42347</c:v>
                </c:pt>
                <c:pt idx="276">
                  <c:v>42348</c:v>
                </c:pt>
                <c:pt idx="277">
                  <c:v>42349</c:v>
                </c:pt>
                <c:pt idx="278">
                  <c:v>42352</c:v>
                </c:pt>
                <c:pt idx="279">
                  <c:v>42353</c:v>
                </c:pt>
                <c:pt idx="280">
                  <c:v>42354</c:v>
                </c:pt>
                <c:pt idx="281">
                  <c:v>42355</c:v>
                </c:pt>
                <c:pt idx="282">
                  <c:v>42356</c:v>
                </c:pt>
                <c:pt idx="283">
                  <c:v>42359</c:v>
                </c:pt>
                <c:pt idx="284">
                  <c:v>42360</c:v>
                </c:pt>
                <c:pt idx="285">
                  <c:v>42361</c:v>
                </c:pt>
                <c:pt idx="286">
                  <c:v>42362</c:v>
                </c:pt>
                <c:pt idx="287">
                  <c:v>42366</c:v>
                </c:pt>
                <c:pt idx="288">
                  <c:v>42367</c:v>
                </c:pt>
                <c:pt idx="289">
                  <c:v>42368</c:v>
                </c:pt>
                <c:pt idx="290">
                  <c:v>42369</c:v>
                </c:pt>
                <c:pt idx="291">
                  <c:v>42373</c:v>
                </c:pt>
                <c:pt idx="292">
                  <c:v>42374</c:v>
                </c:pt>
                <c:pt idx="293">
                  <c:v>42375</c:v>
                </c:pt>
                <c:pt idx="294">
                  <c:v>42376</c:v>
                </c:pt>
                <c:pt idx="295">
                  <c:v>42377</c:v>
                </c:pt>
                <c:pt idx="296">
                  <c:v>42380</c:v>
                </c:pt>
                <c:pt idx="297">
                  <c:v>42381</c:v>
                </c:pt>
                <c:pt idx="298">
                  <c:v>42382</c:v>
                </c:pt>
                <c:pt idx="299">
                  <c:v>42383</c:v>
                </c:pt>
                <c:pt idx="300">
                  <c:v>42384</c:v>
                </c:pt>
                <c:pt idx="301">
                  <c:v>42387</c:v>
                </c:pt>
                <c:pt idx="302">
                  <c:v>42388</c:v>
                </c:pt>
                <c:pt idx="303">
                  <c:v>42389</c:v>
                </c:pt>
                <c:pt idx="304">
                  <c:v>42390</c:v>
                </c:pt>
                <c:pt idx="305">
                  <c:v>42391</c:v>
                </c:pt>
                <c:pt idx="306">
                  <c:v>42394</c:v>
                </c:pt>
                <c:pt idx="307">
                  <c:v>42395</c:v>
                </c:pt>
                <c:pt idx="308">
                  <c:v>42396</c:v>
                </c:pt>
                <c:pt idx="309">
                  <c:v>42397</c:v>
                </c:pt>
                <c:pt idx="310">
                  <c:v>42398</c:v>
                </c:pt>
                <c:pt idx="311">
                  <c:v>42401</c:v>
                </c:pt>
                <c:pt idx="312">
                  <c:v>42402</c:v>
                </c:pt>
                <c:pt idx="313">
                  <c:v>42403</c:v>
                </c:pt>
                <c:pt idx="314">
                  <c:v>42404</c:v>
                </c:pt>
                <c:pt idx="315">
                  <c:v>42405</c:v>
                </c:pt>
                <c:pt idx="316">
                  <c:v>42408</c:v>
                </c:pt>
                <c:pt idx="317">
                  <c:v>42409</c:v>
                </c:pt>
                <c:pt idx="318">
                  <c:v>42410</c:v>
                </c:pt>
                <c:pt idx="319">
                  <c:v>42411</c:v>
                </c:pt>
                <c:pt idx="320">
                  <c:v>42412</c:v>
                </c:pt>
                <c:pt idx="321">
                  <c:v>42415</c:v>
                </c:pt>
                <c:pt idx="322">
                  <c:v>42416</c:v>
                </c:pt>
                <c:pt idx="323">
                  <c:v>42417</c:v>
                </c:pt>
                <c:pt idx="324">
                  <c:v>42418</c:v>
                </c:pt>
                <c:pt idx="325">
                  <c:v>42419</c:v>
                </c:pt>
                <c:pt idx="326">
                  <c:v>42422</c:v>
                </c:pt>
                <c:pt idx="327">
                  <c:v>42423</c:v>
                </c:pt>
                <c:pt idx="328">
                  <c:v>42424</c:v>
                </c:pt>
                <c:pt idx="329">
                  <c:v>42425</c:v>
                </c:pt>
                <c:pt idx="330">
                  <c:v>42426</c:v>
                </c:pt>
                <c:pt idx="331">
                  <c:v>42429</c:v>
                </c:pt>
                <c:pt idx="332">
                  <c:v>42430</c:v>
                </c:pt>
                <c:pt idx="333">
                  <c:v>42431</c:v>
                </c:pt>
                <c:pt idx="334">
                  <c:v>42432</c:v>
                </c:pt>
                <c:pt idx="335">
                  <c:v>42433</c:v>
                </c:pt>
                <c:pt idx="336">
                  <c:v>42436</c:v>
                </c:pt>
                <c:pt idx="337">
                  <c:v>42437</c:v>
                </c:pt>
                <c:pt idx="338">
                  <c:v>42438</c:v>
                </c:pt>
                <c:pt idx="339">
                  <c:v>42439</c:v>
                </c:pt>
                <c:pt idx="340">
                  <c:v>42440</c:v>
                </c:pt>
                <c:pt idx="341">
                  <c:v>42443</c:v>
                </c:pt>
                <c:pt idx="342">
                  <c:v>42444</c:v>
                </c:pt>
                <c:pt idx="343">
                  <c:v>42445</c:v>
                </c:pt>
                <c:pt idx="344">
                  <c:v>42446</c:v>
                </c:pt>
                <c:pt idx="345">
                  <c:v>42447</c:v>
                </c:pt>
                <c:pt idx="346">
                  <c:v>42450</c:v>
                </c:pt>
                <c:pt idx="347">
                  <c:v>42451</c:v>
                </c:pt>
                <c:pt idx="348">
                  <c:v>42452</c:v>
                </c:pt>
                <c:pt idx="349">
                  <c:v>42453</c:v>
                </c:pt>
                <c:pt idx="350">
                  <c:v>42458</c:v>
                </c:pt>
                <c:pt idx="351">
                  <c:v>42459</c:v>
                </c:pt>
                <c:pt idx="352">
                  <c:v>42460</c:v>
                </c:pt>
                <c:pt idx="353">
                  <c:v>42461</c:v>
                </c:pt>
                <c:pt idx="354">
                  <c:v>42464</c:v>
                </c:pt>
                <c:pt idx="355">
                  <c:v>42465</c:v>
                </c:pt>
                <c:pt idx="356">
                  <c:v>42466</c:v>
                </c:pt>
                <c:pt idx="357">
                  <c:v>42467</c:v>
                </c:pt>
                <c:pt idx="358">
                  <c:v>42468</c:v>
                </c:pt>
                <c:pt idx="359">
                  <c:v>42471</c:v>
                </c:pt>
                <c:pt idx="360">
                  <c:v>42472</c:v>
                </c:pt>
                <c:pt idx="361">
                  <c:v>42473</c:v>
                </c:pt>
                <c:pt idx="362">
                  <c:v>42474</c:v>
                </c:pt>
                <c:pt idx="363">
                  <c:v>42475</c:v>
                </c:pt>
                <c:pt idx="364">
                  <c:v>42478</c:v>
                </c:pt>
                <c:pt idx="365">
                  <c:v>42479</c:v>
                </c:pt>
                <c:pt idx="366">
                  <c:v>42480</c:v>
                </c:pt>
                <c:pt idx="367">
                  <c:v>42481</c:v>
                </c:pt>
                <c:pt idx="368">
                  <c:v>42482</c:v>
                </c:pt>
                <c:pt idx="369">
                  <c:v>42485</c:v>
                </c:pt>
                <c:pt idx="370">
                  <c:v>42486</c:v>
                </c:pt>
                <c:pt idx="371">
                  <c:v>42487</c:v>
                </c:pt>
                <c:pt idx="372">
                  <c:v>42488</c:v>
                </c:pt>
                <c:pt idx="373">
                  <c:v>42489</c:v>
                </c:pt>
                <c:pt idx="374">
                  <c:v>42492</c:v>
                </c:pt>
                <c:pt idx="375">
                  <c:v>42493</c:v>
                </c:pt>
                <c:pt idx="376">
                  <c:v>42494</c:v>
                </c:pt>
                <c:pt idx="377">
                  <c:v>42495</c:v>
                </c:pt>
                <c:pt idx="378">
                  <c:v>42496</c:v>
                </c:pt>
                <c:pt idx="379">
                  <c:v>42499</c:v>
                </c:pt>
                <c:pt idx="380">
                  <c:v>42500</c:v>
                </c:pt>
                <c:pt idx="381">
                  <c:v>42501</c:v>
                </c:pt>
              </c:numCache>
            </c:numRef>
          </c:xVal>
          <c:yVal>
            <c:numRef>
              <c:f>'basis 6M '!$Q$2:$Q$404</c:f>
              <c:numCache>
                <c:formatCode>0.0000%</c:formatCode>
                <c:ptCount val="403"/>
                <c:pt idx="0">
                  <c:v>2.2061804597449321E-3</c:v>
                </c:pt>
                <c:pt idx="1">
                  <c:v>2.2089045468201315E-3</c:v>
                </c:pt>
                <c:pt idx="2">
                  <c:v>2.2115865928157316E-3</c:v>
                </c:pt>
                <c:pt idx="3">
                  <c:v>2.2142272869297578E-3</c:v>
                </c:pt>
                <c:pt idx="4">
                  <c:v>2.2219081499626572E-3</c:v>
                </c:pt>
                <c:pt idx="5">
                  <c:v>2.2243903285306512E-3</c:v>
                </c:pt>
                <c:pt idx="6">
                  <c:v>2.226834601207203E-3</c:v>
                </c:pt>
                <c:pt idx="7">
                  <c:v>2.2292416571903385E-3</c:v>
                </c:pt>
                <c:pt idx="8">
                  <c:v>2.231612185678084E-3</c:v>
                </c:pt>
                <c:pt idx="9">
                  <c:v>2.2385114981492427E-3</c:v>
                </c:pt>
                <c:pt idx="10">
                  <c:v>2.2407428086356905E-3</c:v>
                </c:pt>
                <c:pt idx="11">
                  <c:v>2.2429410376168797E-3</c:v>
                </c:pt>
                <c:pt idx="12">
                  <c:v>2.2451068742908357E-3</c:v>
                </c:pt>
                <c:pt idx="13">
                  <c:v>2.2472410078555856E-3</c:v>
                </c:pt>
                <c:pt idx="14">
                  <c:v>2.253460081874859E-3</c:v>
                </c:pt>
                <c:pt idx="15">
                  <c:v>2.2554742949830457E-3</c:v>
                </c:pt>
                <c:pt idx="16">
                  <c:v>2.2574602509721569E-3</c:v>
                </c:pt>
                <c:pt idx="17">
                  <c:v>2.2594186390402192E-3</c:v>
                </c:pt>
                <c:pt idx="18">
                  <c:v>2.2613501483852582E-3</c:v>
                </c:pt>
                <c:pt idx="19">
                  <c:v>2.2669902960625017E-3</c:v>
                </c:pt>
                <c:pt idx="20">
                  <c:v>2.268821182495712E-3</c:v>
                </c:pt>
                <c:pt idx="21">
                  <c:v>2.2706286361960305E-3</c:v>
                </c:pt>
                <c:pt idx="22">
                  <c:v>2.2724133463614838E-3</c:v>
                </c:pt>
                <c:pt idx="23">
                  <c:v>2.2741760021900976E-3</c:v>
                </c:pt>
                <c:pt idx="24">
                  <c:v>2.2793385356351661E-3</c:v>
                </c:pt>
                <c:pt idx="25">
                  <c:v>2.2810198660966853E-3</c:v>
                </c:pt>
                <c:pt idx="26">
                  <c:v>2.2826825882114963E-3</c:v>
                </c:pt>
                <c:pt idx="27">
                  <c:v>2.2843273911776255E-3</c:v>
                </c:pt>
                <c:pt idx="28">
                  <c:v>2.2859549641930988E-3</c:v>
                </c:pt>
                <c:pt idx="29">
                  <c:v>2.2907411955158477E-3</c:v>
                </c:pt>
                <c:pt idx="30">
                  <c:v>2.2923067407089608E-3</c:v>
                </c:pt>
                <c:pt idx="31">
                  <c:v>2.2938585019415497E-3</c:v>
                </c:pt>
                <c:pt idx="32">
                  <c:v>2.3014346706275429E-3</c:v>
                </c:pt>
                <c:pt idx="33">
                  <c:v>2.302918201255535E-3</c:v>
                </c:pt>
                <c:pt idx="34">
                  <c:v>2.3043927723091864E-3</c:v>
                </c:pt>
                <c:pt idx="35">
                  <c:v>2.3073177924855708E-3</c:v>
                </c:pt>
                <c:pt idx="36">
                  <c:v>2.3116553558932464E-3</c:v>
                </c:pt>
                <c:pt idx="37">
                  <c:v>2.313090642659403E-3</c:v>
                </c:pt>
                <c:pt idx="38">
                  <c:v>2.3145217942374019E-3</c:v>
                </c:pt>
                <c:pt idx="39">
                  <c:v>2.3159494998252696E-3</c:v>
                </c:pt>
                <c:pt idx="40">
                  <c:v>2.3173744486210328E-3</c:v>
                </c:pt>
                <c:pt idx="41">
                  <c:v>2.3216396462359544E-3</c:v>
                </c:pt>
                <c:pt idx="42">
                  <c:v>2.32306045984356E-3</c:v>
                </c:pt>
                <c:pt idx="43">
                  <c:v>2.3244819626491919E-3</c:v>
                </c:pt>
                <c:pt idx="44">
                  <c:v>2.3259048438508761E-3</c:v>
                </c:pt>
                <c:pt idx="45">
                  <c:v>2.3273297926466392E-3</c:v>
                </c:pt>
                <c:pt idx="46">
                  <c:v>2.3316239365786624E-3</c:v>
                </c:pt>
                <c:pt idx="47">
                  <c:v>2.3330640477310025E-3</c:v>
                </c:pt>
                <c:pt idx="48">
                  <c:v>2.3345096724675524E-3</c:v>
                </c:pt>
                <c:pt idx="49">
                  <c:v>2.335961499986338E-3</c:v>
                </c:pt>
                <c:pt idx="50">
                  <c:v>2.3374202194853862E-3</c:v>
                </c:pt>
                <c:pt idx="51">
                  <c:v>2.341844621844366E-3</c:v>
                </c:pt>
                <c:pt idx="52">
                  <c:v>2.3433378012447255E-3</c:v>
                </c:pt>
                <c:pt idx="53">
                  <c:v>2.3448413186154785E-3</c:v>
                </c:pt>
                <c:pt idx="54">
                  <c:v>2.3463558631546507E-3</c:v>
                </c:pt>
                <c:pt idx="55">
                  <c:v>2.3478821240602689E-3</c:v>
                </c:pt>
                <c:pt idx="56">
                  <c:v>2.3525380969560612E-3</c:v>
                </c:pt>
                <c:pt idx="57">
                  <c:v>2.3541181153077248E-3</c:v>
                </c:pt>
                <c:pt idx="58">
                  <c:v>2.3557132960159658E-3</c:v>
                </c:pt>
                <c:pt idx="59">
                  <c:v>2.35732432827881E-3</c:v>
                </c:pt>
                <c:pt idx="60">
                  <c:v>2.3589519012942833E-3</c:v>
                </c:pt>
                <c:pt idx="61">
                  <c:v>2.3639407568367427E-3</c:v>
                </c:pt>
                <c:pt idx="62">
                  <c:v>2.3656413848429964E-3</c:v>
                </c:pt>
                <c:pt idx="63">
                  <c:v>2.3673619995920104E-3</c:v>
                </c:pt>
                <c:pt idx="64">
                  <c:v>2.3691030765007563E-3</c:v>
                </c:pt>
                <c:pt idx="65">
                  <c:v>2.3708642358619861E-3</c:v>
                </c:pt>
                <c:pt idx="66">
                  <c:v>2.3762622737775432E-3</c:v>
                </c:pt>
                <c:pt idx="67">
                  <c:v>2.3780978280656746E-3</c:v>
                </c:pt>
                <c:pt idx="68">
                  <c:v>2.3799504973647735E-3</c:v>
                </c:pt>
                <c:pt idx="69">
                  <c:v>2.3818196881865363E-3</c:v>
                </c:pt>
                <c:pt idx="70">
                  <c:v>2.3837048070426601E-3</c:v>
                </c:pt>
                <c:pt idx="71">
                  <c:v>2.3894497969341641E-3</c:v>
                </c:pt>
                <c:pt idx="72">
                  <c:v>2.3913926930446993E-3</c:v>
                </c:pt>
                <c:pt idx="73">
                  <c:v>2.3933485497480791E-3</c:v>
                </c:pt>
                <c:pt idx="74">
                  <c:v>2.3953167735559998E-3</c:v>
                </c:pt>
                <c:pt idx="75">
                  <c:v>2.3972967709801592E-3</c:v>
                </c:pt>
                <c:pt idx="76">
                  <c:v>2.4033014700670344E-3</c:v>
                </c:pt>
                <c:pt idx="77">
                  <c:v>2.4053226270731145E-3</c:v>
                </c:pt>
                <c:pt idx="78">
                  <c:v>2.4073525902539167E-3</c:v>
                </c:pt>
                <c:pt idx="79">
                  <c:v>2.4093907661211374E-3</c:v>
                </c:pt>
                <c:pt idx="80">
                  <c:v>2.4114365611864739E-3</c:v>
                </c:pt>
                <c:pt idx="81">
                  <c:v>2.417613726688144E-3</c:v>
                </c:pt>
                <c:pt idx="82">
                  <c:v>2.4196840636629105E-3</c:v>
                </c:pt>
                <c:pt idx="83">
                  <c:v>2.4217590523942763E-3</c:v>
                </c:pt>
                <c:pt idx="84">
                  <c:v>2.4238380993939382E-3</c:v>
                </c:pt>
                <c:pt idx="85">
                  <c:v>2.4259206111735929E-3</c:v>
                </c:pt>
                <c:pt idx="86">
                  <c:v>2.4321830003094826E-3</c:v>
                </c:pt>
                <c:pt idx="87">
                  <c:v>2.4342734363260767E-3</c:v>
                </c:pt>
                <c:pt idx="88">
                  <c:v>2.4363643696811476E-3</c:v>
                </c:pt>
                <c:pt idx="89">
                  <c:v>2.4384552068863917E-3</c:v>
                </c:pt>
                <c:pt idx="90">
                  <c:v>2.4405453544535062E-3</c:v>
                </c:pt>
                <c:pt idx="91">
                  <c:v>2.4468057244430392E-3</c:v>
                </c:pt>
                <c:pt idx="92">
                  <c:v>2.4488871785746029E-3</c:v>
                </c:pt>
                <c:pt idx="93">
                  <c:v>2.45096497562652E-3</c:v>
                </c:pt>
                <c:pt idx="94">
                  <c:v>2.4530385221104884E-3</c:v>
                </c:pt>
                <c:pt idx="95">
                  <c:v>2.4551072245382042E-3</c:v>
                </c:pt>
                <c:pt idx="96">
                  <c:v>2.4612783326008049E-3</c:v>
                </c:pt>
                <c:pt idx="97">
                  <c:v>2.4633217239204788E-3</c:v>
                </c:pt>
                <c:pt idx="98">
                  <c:v>2.4653573037423837E-3</c:v>
                </c:pt>
                <c:pt idx="99">
                  <c:v>2.4673844785782174E-3</c:v>
                </c:pt>
                <c:pt idx="100">
                  <c:v>2.4773735058756939E-3</c:v>
                </c:pt>
                <c:pt idx="101">
                  <c:v>2.4793377875407287E-3</c:v>
                </c:pt>
                <c:pt idx="102">
                  <c:v>2.4812895098015688E-3</c:v>
                </c:pt>
                <c:pt idx="103">
                  <c:v>2.4832280791699112E-3</c:v>
                </c:pt>
                <c:pt idx="104">
                  <c:v>2.4889589350369193E-3</c:v>
                </c:pt>
                <c:pt idx="105">
                  <c:v>2.4908389579522388E-3</c:v>
                </c:pt>
                <c:pt idx="106">
                  <c:v>2.492702860533544E-3</c:v>
                </c:pt>
                <c:pt idx="107">
                  <c:v>2.4945500492925318E-3</c:v>
                </c:pt>
                <c:pt idx="108">
                  <c:v>2.4963799307408997E-3</c:v>
                </c:pt>
                <c:pt idx="109">
                  <c:v>2.5017597963392481E-3</c:v>
                </c:pt>
                <c:pt idx="110">
                  <c:v>2.5035145136621021E-3</c:v>
                </c:pt>
                <c:pt idx="111">
                  <c:v>2.5052489562328193E-3</c:v>
                </c:pt>
                <c:pt idx="112">
                  <c:v>2.5069625305630971E-3</c:v>
                </c:pt>
                <c:pt idx="113">
                  <c:v>2.5086546431646317E-3</c:v>
                </c:pt>
                <c:pt idx="114">
                  <c:v>2.5135962757137447E-3</c:v>
                </c:pt>
                <c:pt idx="115">
                  <c:v>2.5151966065172747E-3</c:v>
                </c:pt>
                <c:pt idx="116">
                  <c:v>2.5167725081505451E-3</c:v>
                </c:pt>
                <c:pt idx="117">
                  <c:v>2.5183233871252536E-3</c:v>
                </c:pt>
                <c:pt idx="118">
                  <c:v>2.5242648066723977E-3</c:v>
                </c:pt>
                <c:pt idx="119">
                  <c:v>2.5256816700297453E-3</c:v>
                </c:pt>
                <c:pt idx="120">
                  <c:v>2.5270699497987109E-3</c:v>
                </c:pt>
                <c:pt idx="121">
                  <c:v>2.5284290524909916E-3</c:v>
                </c:pt>
                <c:pt idx="122">
                  <c:v>2.5297583846182834E-3</c:v>
                </c:pt>
                <c:pt idx="123">
                  <c:v>2.5335618227271977E-3</c:v>
                </c:pt>
                <c:pt idx="124">
                  <c:v>2.5347663226239587E-3</c:v>
                </c:pt>
                <c:pt idx="125">
                  <c:v>2.5359391939889439E-3</c:v>
                </c:pt>
                <c:pt idx="126">
                  <c:v>2.5370809528085783E-3</c:v>
                </c:pt>
                <c:pt idx="127">
                  <c:v>2.5381921150692869E-3</c:v>
                </c:pt>
                <c:pt idx="128">
                  <c:v>2.5413471823621113E-3</c:v>
                </c:pt>
                <c:pt idx="129">
                  <c:v>2.5423411182513697E-3</c:v>
                </c:pt>
                <c:pt idx="130">
                  <c:v>2.5433070375138287E-3</c:v>
                </c:pt>
                <c:pt idx="131">
                  <c:v>2.5442454561359134E-3</c:v>
                </c:pt>
                <c:pt idx="132">
                  <c:v>2.5451568901040489E-3</c:v>
                </c:pt>
                <c:pt idx="133">
                  <c:v>2.5477344439490137E-3</c:v>
                </c:pt>
                <c:pt idx="134">
                  <c:v>2.5485430991656053E-3</c:v>
                </c:pt>
                <c:pt idx="135">
                  <c:v>2.5493273496603741E-3</c:v>
                </c:pt>
                <c:pt idx="136">
                  <c:v>2.5500877114197455E-3</c:v>
                </c:pt>
                <c:pt idx="137">
                  <c:v>2.5508247004301442E-3</c:v>
                </c:pt>
                <c:pt idx="138">
                  <c:v>2.5529005908317575E-3</c:v>
                </c:pt>
                <c:pt idx="139">
                  <c:v>2.5535492487105183E-3</c:v>
                </c:pt>
                <c:pt idx="140">
                  <c:v>2.5541771137724332E-3</c:v>
                </c:pt>
                <c:pt idx="141">
                  <c:v>2.5547847020039268E-3</c:v>
                </c:pt>
                <c:pt idx="142">
                  <c:v>2.5553725293914246E-3</c:v>
                </c:pt>
                <c:pt idx="143">
                  <c:v>2.5570226063541947E-3</c:v>
                </c:pt>
                <c:pt idx="144">
                  <c:v>2.557536550229961E-3</c:v>
                </c:pt>
                <c:pt idx="145">
                  <c:v>2.5580333131938575E-3</c:v>
                </c:pt>
                <c:pt idx="146">
                  <c:v>2.5585134112323096E-3</c:v>
                </c:pt>
                <c:pt idx="147">
                  <c:v>2.5589773603317423E-3</c:v>
                </c:pt>
                <c:pt idx="148">
                  <c:v>2.5602774738601774E-3</c:v>
                </c:pt>
                <c:pt idx="149">
                  <c:v>2.5606819870677851E-3</c:v>
                </c:pt>
                <c:pt idx="150">
                  <c:v>2.5610729312685E-3</c:v>
                </c:pt>
                <c:pt idx="151">
                  <c:v>2.5614508224487465E-3</c:v>
                </c:pt>
                <c:pt idx="152">
                  <c:v>2.5618161765949506E-3</c:v>
                </c:pt>
                <c:pt idx="153">
                  <c:v>2.5628421766935583E-3</c:v>
                </c:pt>
                <c:pt idx="154">
                  <c:v>2.5631625425678434E-3</c:v>
                </c:pt>
                <c:pt idx="155">
                  <c:v>2.5634729513402121E-3</c:v>
                </c:pt>
                <c:pt idx="156">
                  <c:v>2.5637739189970895E-3</c:v>
                </c:pt>
                <c:pt idx="157">
                  <c:v>2.5640659615249009E-3</c:v>
                </c:pt>
                <c:pt idx="158">
                  <c:v>2.5648936981981897E-3</c:v>
                </c:pt>
                <c:pt idx="159">
                  <c:v>2.5651552000739886E-3</c:v>
                </c:pt>
                <c:pt idx="160">
                  <c:v>2.5654103567528471E-3</c:v>
                </c:pt>
                <c:pt idx="161">
                  <c:v>2.5656596842211911E-3</c:v>
                </c:pt>
                <c:pt idx="162">
                  <c:v>2.5659036984654457E-3</c:v>
                </c:pt>
                <c:pt idx="163">
                  <c:v>2.5666090217179235E-3</c:v>
                </c:pt>
                <c:pt idx="164">
                  <c:v>2.566836942930072E-3</c:v>
                </c:pt>
                <c:pt idx="165">
                  <c:v>2.567062130850257E-3</c:v>
                </c:pt>
                <c:pt idx="166">
                  <c:v>2.5672851014649036E-3</c:v>
                </c:pt>
                <c:pt idx="167">
                  <c:v>2.5675063707604373E-3</c:v>
                </c:pt>
                <c:pt idx="168">
                  <c:v>2.5681651305966124E-3</c:v>
                </c:pt>
                <c:pt idx="169">
                  <c:v>2.5683847544799463E-3</c:v>
                </c:pt>
                <c:pt idx="170">
                  <c:v>2.5686052569762934E-3</c:v>
                </c:pt>
                <c:pt idx="171">
                  <c:v>2.568827154072079E-3</c:v>
                </c:pt>
                <c:pt idx="172">
                  <c:v>2.5690509617537281E-3</c:v>
                </c:pt>
                <c:pt idx="173">
                  <c:v>2.5697390081781089E-3</c:v>
                </c:pt>
                <c:pt idx="174">
                  <c:v>2.5699756180674643E-3</c:v>
                </c:pt>
                <c:pt idx="175">
                  <c:v>2.5702167184748098E-3</c:v>
                </c:pt>
                <c:pt idx="176">
                  <c:v>2.5704628253865702E-3</c:v>
                </c:pt>
                <c:pt idx="177">
                  <c:v>2.5707144547891703E-3</c:v>
                </c:pt>
                <c:pt idx="178">
                  <c:v>2.5715076378062646E-3</c:v>
                </c:pt>
                <c:pt idx="179">
                  <c:v>2.5717865170364783E-3</c:v>
                </c:pt>
                <c:pt idx="180">
                  <c:v>2.5720734986896575E-3</c:v>
                </c:pt>
                <c:pt idx="181">
                  <c:v>2.5723690987522287E-3</c:v>
                </c:pt>
                <c:pt idx="182">
                  <c:v>2.5726738332106165E-3</c:v>
                </c:pt>
                <c:pt idx="183">
                  <c:v>2.5736480028249326E-3</c:v>
                </c:pt>
                <c:pt idx="184">
                  <c:v>2.5739944347308395E-3</c:v>
                </c:pt>
                <c:pt idx="185">
                  <c:v>2.5743525809646894E-3</c:v>
                </c:pt>
                <c:pt idx="186">
                  <c:v>2.5747229575129073E-3</c:v>
                </c:pt>
                <c:pt idx="187">
                  <c:v>2.5751060803619187E-3</c:v>
                </c:pt>
                <c:pt idx="188">
                  <c:v>2.5763370865779646E-3</c:v>
                </c:pt>
                <c:pt idx="189">
                  <c:v>2.5767763544944015E-3</c:v>
                </c:pt>
                <c:pt idx="190">
                  <c:v>2.5772308449445013E-3</c:v>
                </c:pt>
                <c:pt idx="191">
                  <c:v>2.5777005554184088E-3</c:v>
                </c:pt>
                <c:pt idx="192">
                  <c:v>2.5781853797070113E-3</c:v>
                </c:pt>
                <c:pt idx="193">
                  <c:v>2.5797294733698691E-3</c:v>
                </c:pt>
                <c:pt idx="194">
                  <c:v>2.5802736908261317E-3</c:v>
                </c:pt>
                <c:pt idx="195">
                  <c:v>2.5808324910515288E-3</c:v>
                </c:pt>
                <c:pt idx="196">
                  <c:v>2.5814057678369483E-3</c:v>
                </c:pt>
                <c:pt idx="197">
                  <c:v>2.5819934149732783E-3</c:v>
                </c:pt>
                <c:pt idx="198">
                  <c:v>2.5838415163966099E-3</c:v>
                </c:pt>
                <c:pt idx="199">
                  <c:v>2.5844855828454608E-3</c:v>
                </c:pt>
                <c:pt idx="200">
                  <c:v>2.5851434885996614E-3</c:v>
                </c:pt>
                <c:pt idx="201">
                  <c:v>2.5858151274500995E-3</c:v>
                </c:pt>
                <c:pt idx="202">
                  <c:v>2.5865003931876637E-3</c:v>
                </c:pt>
                <c:pt idx="203">
                  <c:v>2.5886368896319892E-3</c:v>
                </c:pt>
                <c:pt idx="204">
                  <c:v>2.5893756008269347E-3</c:v>
                </c:pt>
                <c:pt idx="205">
                  <c:v>2.5901274078634455E-3</c:v>
                </c:pt>
                <c:pt idx="206">
                  <c:v>2.5908922045324097E-3</c:v>
                </c:pt>
                <c:pt idx="207">
                  <c:v>2.5916698846247142E-3</c:v>
                </c:pt>
                <c:pt idx="208">
                  <c:v>2.5940791633505531E-3</c:v>
                </c:pt>
                <c:pt idx="209">
                  <c:v>2.5949073150451003E-3</c:v>
                </c:pt>
                <c:pt idx="210">
                  <c:v>2.5957478191174282E-3</c:v>
                </c:pt>
                <c:pt idx="211">
                  <c:v>2.5966005693584238E-3</c:v>
                </c:pt>
                <c:pt idx="212">
                  <c:v>2.5974654595589761E-3</c:v>
                </c:pt>
                <c:pt idx="213">
                  <c:v>2.6001319078268483E-3</c:v>
                </c:pt>
                <c:pt idx="214">
                  <c:v>2.6010442957745037E-3</c:v>
                </c:pt>
                <c:pt idx="215">
                  <c:v>2.601968292636155E-3</c:v>
                </c:pt>
                <c:pt idx="216">
                  <c:v>2.6029037922026895E-3</c:v>
                </c:pt>
                <c:pt idx="217">
                  <c:v>2.6038506882649953E-3</c:v>
                </c:pt>
                <c:pt idx="218">
                  <c:v>2.6067586933354206E-3</c:v>
                </c:pt>
                <c:pt idx="219">
                  <c:v>2.6077501132896908E-3</c:v>
                </c:pt>
                <c:pt idx="220">
                  <c:v>2.6087523986941721E-3</c:v>
                </c:pt>
                <c:pt idx="221">
                  <c:v>2.6097654433397521E-3</c:v>
                </c:pt>
                <c:pt idx="222">
                  <c:v>2.6107891410173186E-3</c:v>
                </c:pt>
                <c:pt idx="223">
                  <c:v>2.6139230901508167E-3</c:v>
                </c:pt>
                <c:pt idx="224">
                  <c:v>2.6149883378652084E-3</c:v>
                </c:pt>
                <c:pt idx="225">
                  <c:v>2.6160637075660262E-3</c:v>
                </c:pt>
                <c:pt idx="226">
                  <c:v>2.6171490930441584E-3</c:v>
                </c:pt>
                <c:pt idx="227">
                  <c:v>2.6182443880904916E-3</c:v>
                </c:pt>
                <c:pt idx="228">
                  <c:v>2.6215886685475825E-3</c:v>
                </c:pt>
                <c:pt idx="229">
                  <c:v>2.6227225397756023E-3</c:v>
                </c:pt>
                <c:pt idx="230">
                  <c:v>2.6238657895262638E-3</c:v>
                </c:pt>
                <c:pt idx="231">
                  <c:v>2.6250183115904542E-3</c:v>
                </c:pt>
                <c:pt idx="232">
                  <c:v>2.6261799997590613E-3</c:v>
                </c:pt>
                <c:pt idx="233">
                  <c:v>2.6297189988002648E-3</c:v>
                </c:pt>
                <c:pt idx="234">
                  <c:v>2.6309162892954193E-3</c:v>
                </c:pt>
                <c:pt idx="235">
                  <c:v>2.6321222148494305E-3</c:v>
                </c:pt>
                <c:pt idx="236">
                  <c:v>2.6333366692531859E-3</c:v>
                </c:pt>
                <c:pt idx="237">
                  <c:v>2.6345595462975739E-3</c:v>
                </c:pt>
                <c:pt idx="238">
                  <c:v>2.6382776511834098E-3</c:v>
                </c:pt>
                <c:pt idx="239">
                  <c:v>2.6395331566992056E-3</c:v>
                </c:pt>
                <c:pt idx="240">
                  <c:v>2.6407965538100728E-3</c:v>
                </c:pt>
                <c:pt idx="241">
                  <c:v>2.6420677363069001E-3</c:v>
                </c:pt>
                <c:pt idx="242">
                  <c:v>2.6433465979805748E-3</c:v>
                </c:pt>
                <c:pt idx="243">
                  <c:v>2.6472281959715629E-3</c:v>
                </c:pt>
                <c:pt idx="244">
                  <c:v>2.6485367122615067E-3</c:v>
                </c:pt>
                <c:pt idx="245">
                  <c:v>2.6498523766827374E-3</c:v>
                </c:pt>
                <c:pt idx="246">
                  <c:v>2.6511750830261432E-3</c:v>
                </c:pt>
                <c:pt idx="247">
                  <c:v>2.6525047250826111E-3</c:v>
                </c:pt>
                <c:pt idx="248">
                  <c:v>2.6565342034392718E-3</c:v>
                </c:pt>
                <c:pt idx="249">
                  <c:v>2.6578905262568697E-3</c:v>
                </c:pt>
                <c:pt idx="250">
                  <c:v>2.6592532537419705E-3</c:v>
                </c:pt>
                <c:pt idx="251">
                  <c:v>2.6606222796854606E-3</c:v>
                </c:pt>
                <c:pt idx="252">
                  <c:v>2.6619974978782292E-3</c:v>
                </c:pt>
                <c:pt idx="253">
                  <c:v>2.6661592438610815E-3</c:v>
                </c:pt>
                <c:pt idx="254">
                  <c:v>2.6675581689598409E-3</c:v>
                </c:pt>
                <c:pt idx="255">
                  <c:v>2.6689627552623175E-3</c:v>
                </c:pt>
                <c:pt idx="256">
                  <c:v>2.6703728796024159E-3</c:v>
                </c:pt>
                <c:pt idx="257">
                  <c:v>2.6717883509861039E-3</c:v>
                </c:pt>
                <c:pt idx="258">
                  <c:v>2.6760647678885584E-3</c:v>
                </c:pt>
                <c:pt idx="259">
                  <c:v>2.6774995479364556E-3</c:v>
                </c:pt>
                <c:pt idx="260">
                  <c:v>2.6789386352728674E-3</c:v>
                </c:pt>
                <c:pt idx="261">
                  <c:v>2.6803818219467779E-3</c:v>
                </c:pt>
                <c:pt idx="262">
                  <c:v>2.6818289000071728E-3</c:v>
                </c:pt>
                <c:pt idx="263">
                  <c:v>2.6861914029971084E-3</c:v>
                </c:pt>
                <c:pt idx="264">
                  <c:v>2.6876519670932875E-3</c:v>
                </c:pt>
                <c:pt idx="265">
                  <c:v>2.6891153828208741E-3</c:v>
                </c:pt>
                <c:pt idx="266">
                  <c:v>2.6905814422288538E-3</c:v>
                </c:pt>
                <c:pt idx="267">
                  <c:v>2.6920499373662113E-3</c:v>
                </c:pt>
                <c:pt idx="268">
                  <c:v>2.6964679576443988E-3</c:v>
                </c:pt>
                <c:pt idx="269">
                  <c:v>2.6979441161891155E-3</c:v>
                </c:pt>
                <c:pt idx="270">
                  <c:v>2.6994216707081345E-3</c:v>
                </c:pt>
                <c:pt idx="271">
                  <c:v>2.7009004132504399E-3</c:v>
                </c:pt>
                <c:pt idx="272">
                  <c:v>2.7023801358650166E-3</c:v>
                </c:pt>
                <c:pt idx="273">
                  <c:v>2.7068231046322253E-3</c:v>
                </c:pt>
                <c:pt idx="274">
                  <c:v>2.7083046680257371E-3</c:v>
                </c:pt>
                <c:pt idx="275">
                  <c:v>2.7097861717364441E-3</c:v>
                </c:pt>
                <c:pt idx="276">
                  <c:v>2.711267407813332E-3</c:v>
                </c:pt>
                <c:pt idx="277">
                  <c:v>2.7127481683053849E-3</c:v>
                </c:pt>
                <c:pt idx="278">
                  <c:v>2.7171855167623846E-3</c:v>
                </c:pt>
                <c:pt idx="279">
                  <c:v>2.7186622954049476E-3</c:v>
                </c:pt>
                <c:pt idx="280">
                  <c:v>2.7201375587075998E-3</c:v>
                </c:pt>
                <c:pt idx="281">
                  <c:v>2.7216110987193262E-3</c:v>
                </c:pt>
                <c:pt idx="282">
                  <c:v>2.7230827074891124E-3</c:v>
                </c:pt>
                <c:pt idx="283">
                  <c:v>2.7274838668366729E-3</c:v>
                </c:pt>
                <c:pt idx="284">
                  <c:v>2.7289456711285433E-3</c:v>
                </c:pt>
                <c:pt idx="285">
                  <c:v>2.7304045044233977E-3</c:v>
                </c:pt>
                <c:pt idx="286">
                  <c:v>2.7318601587702196E-3</c:v>
                </c:pt>
                <c:pt idx="287">
                  <c:v>2.737646827656886E-3</c:v>
                </c:pt>
                <c:pt idx="288">
                  <c:v>2.7390834679983213E-3</c:v>
                </c:pt>
                <c:pt idx="289">
                  <c:v>2.7405156816856335E-3</c:v>
                </c:pt>
                <c:pt idx="290">
                  <c:v>2.7419432607678077E-3</c:v>
                </c:pt>
                <c:pt idx="291">
                  <c:v>2.7476030720248205E-3</c:v>
                </c:pt>
                <c:pt idx="292">
                  <c:v>2.7490043588160769E-3</c:v>
                </c:pt>
                <c:pt idx="293">
                  <c:v>2.750399763296104E-3</c:v>
                </c:pt>
                <c:pt idx="294">
                  <c:v>2.7517890775138869E-3</c:v>
                </c:pt>
                <c:pt idx="295">
                  <c:v>2.7531720935184104E-3</c:v>
                </c:pt>
                <c:pt idx="296">
                  <c:v>2.7572812727422727E-3</c:v>
                </c:pt>
                <c:pt idx="297">
                  <c:v>2.7586370163836067E-3</c:v>
                </c:pt>
                <c:pt idx="298">
                  <c:v>2.7599854220566058E-3</c:v>
                </c:pt>
                <c:pt idx="299">
                  <c:v>2.7613262818102537E-3</c:v>
                </c:pt>
                <c:pt idx="300">
                  <c:v>2.7626593876935363E-3</c:v>
                </c:pt>
                <c:pt idx="301">
                  <c:v>2.7666101026110387E-3</c:v>
                </c:pt>
                <c:pt idx="302">
                  <c:v>2.7679101135027074E-3</c:v>
                </c:pt>
                <c:pt idx="303">
                  <c:v>2.7692013307689342E-3</c:v>
                </c:pt>
                <c:pt idx="304">
                  <c:v>2.7704835464587045E-3</c:v>
                </c:pt>
                <c:pt idx="305">
                  <c:v>2.7717565526210026E-3</c:v>
                </c:pt>
                <c:pt idx="306">
                  <c:v>2.7755182344329152E-3</c:v>
                </c:pt>
                <c:pt idx="307">
                  <c:v>2.7767523229751743E-3</c:v>
                </c:pt>
                <c:pt idx="308">
                  <c:v>2.7779761622348863E-3</c:v>
                </c:pt>
                <c:pt idx="309">
                  <c:v>2.7791895442610347E-3</c:v>
                </c:pt>
                <c:pt idx="310">
                  <c:v>2.7803922611026057E-3</c:v>
                </c:pt>
                <c:pt idx="311">
                  <c:v>2.7839343410096975E-3</c:v>
                </c:pt>
                <c:pt idx="312">
                  <c:v>2.7850923176028046E-3</c:v>
                </c:pt>
                <c:pt idx="313">
                  <c:v>2.7862385892562574E-3</c:v>
                </c:pt>
                <c:pt idx="314">
                  <c:v>2.7873729480190415E-3</c:v>
                </c:pt>
                <c:pt idx="315">
                  <c:v>2.7884951859401411E-3</c:v>
                </c:pt>
                <c:pt idx="316">
                  <c:v>2.7917870951431828E-3</c:v>
                </c:pt>
                <c:pt idx="317">
                  <c:v>2.792858770187394E-3</c:v>
                </c:pt>
                <c:pt idx="318">
                  <c:v>2.7939172846348451E-3</c:v>
                </c:pt>
                <c:pt idx="319">
                  <c:v>2.7949624305345206E-3</c:v>
                </c:pt>
                <c:pt idx="320">
                  <c:v>2.7959940597355728E-3</c:v>
                </c:pt>
                <c:pt idx="321">
                  <c:v>2.7990089968458524E-3</c:v>
                </c:pt>
                <c:pt idx="322">
                  <c:v>2.7999878285516083E-3</c:v>
                </c:pt>
                <c:pt idx="323">
                  <c:v>2.8009538380085069E-3</c:v>
                </c:pt>
                <c:pt idx="324">
                  <c:v>2.8019071760665339E-3</c:v>
                </c:pt>
                <c:pt idx="325">
                  <c:v>2.8028479935756768E-3</c:v>
                </c:pt>
                <c:pt idx="326">
                  <c:v>2.8055968313096639E-3</c:v>
                </c:pt>
                <c:pt idx="327">
                  <c:v>2.8064890751231344E-3</c:v>
                </c:pt>
                <c:pt idx="328">
                  <c:v>2.8073695526376532E-3</c:v>
                </c:pt>
                <c:pt idx="329">
                  <c:v>2.8082384147032065E-3</c:v>
                </c:pt>
                <c:pt idx="330">
                  <c:v>2.8090958121697812E-3</c:v>
                </c:pt>
                <c:pt idx="331">
                  <c:v>2.8116007254755005E-3</c:v>
                </c:pt>
                <c:pt idx="332">
                  <c:v>2.8124137730460267E-3</c:v>
                </c:pt>
                <c:pt idx="333">
                  <c:v>2.8132161102675068E-3</c:v>
                </c:pt>
                <c:pt idx="334">
                  <c:v>2.814007887989928E-3</c:v>
                </c:pt>
                <c:pt idx="335">
                  <c:v>2.8147892570632767E-3</c:v>
                </c:pt>
                <c:pt idx="336">
                  <c:v>2.8170724208887517E-3</c:v>
                </c:pt>
                <c:pt idx="337">
                  <c:v>2.8178136638656753E-3</c:v>
                </c:pt>
                <c:pt idx="338">
                  <c:v>2.8185452524434589E-3</c:v>
                </c:pt>
                <c:pt idx="339">
                  <c:v>2.8192673374720888E-3</c:v>
                </c:pt>
                <c:pt idx="340">
                  <c:v>2.8199800698015527E-3</c:v>
                </c:pt>
                <c:pt idx="341">
                  <c:v>2.8220636590948083E-3</c:v>
                </c:pt>
                <c:pt idx="342">
                  <c:v>2.8227404891274705E-3</c:v>
                </c:pt>
                <c:pt idx="343">
                  <c:v>2.8234087207108984E-3</c:v>
                </c:pt>
                <c:pt idx="344">
                  <c:v>2.8240685046950795E-3</c:v>
                </c:pt>
                <c:pt idx="345">
                  <c:v>2.8247199919299994E-3</c:v>
                </c:pt>
                <c:pt idx="346">
                  <c:v>2.8266261816390602E-3</c:v>
                </c:pt>
                <c:pt idx="347">
                  <c:v>2.8272459903768026E-3</c:v>
                </c:pt>
                <c:pt idx="348">
                  <c:v>2.8278582566152169E-3</c:v>
                </c:pt>
                <c:pt idx="349">
                  <c:v>2.8284631312042899E-3</c:v>
                </c:pt>
                <c:pt idx="350">
                  <c:v>2.8313819091590618E-3</c:v>
                </c:pt>
                <c:pt idx="351">
                  <c:v>2.8319456017018036E-3</c:v>
                </c:pt>
                <c:pt idx="352">
                  <c:v>2.8325029585451098E-3</c:v>
                </c:pt>
                <c:pt idx="353">
                  <c:v>2.8330541305389674E-3</c:v>
                </c:pt>
                <c:pt idx="354">
                  <c:v>2.8346720459237109E-3</c:v>
                </c:pt>
                <c:pt idx="355">
                  <c:v>2.8351999870196379E-3</c:v>
                </c:pt>
                <c:pt idx="356">
                  <c:v>2.8357224975160489E-3</c:v>
                </c:pt>
                <c:pt idx="357">
                  <c:v>2.8362397282629304E-3</c:v>
                </c:pt>
                <c:pt idx="358">
                  <c:v>2.8367518301102685E-3</c:v>
                </c:pt>
                <c:pt idx="359">
                  <c:v>2.8382588707548907E-3</c:v>
                </c:pt>
                <c:pt idx="360">
                  <c:v>2.8387519655039221E-3</c:v>
                </c:pt>
                <c:pt idx="361">
                  <c:v>2.8392406856033434E-3</c:v>
                </c:pt>
                <c:pt idx="362">
                  <c:v>2.839725181903141E-3</c:v>
                </c:pt>
                <c:pt idx="363">
                  <c:v>2.8402056052533016E-3</c:v>
                </c:pt>
                <c:pt idx="364">
                  <c:v>2.8416239461058262E-3</c:v>
                </c:pt>
                <c:pt idx="365">
                  <c:v>2.8420895861573036E-3</c:v>
                </c:pt>
                <c:pt idx="366">
                  <c:v>2.842551907509077E-3</c:v>
                </c:pt>
                <c:pt idx="367">
                  <c:v>2.8430110610111327E-3</c:v>
                </c:pt>
                <c:pt idx="368">
                  <c:v>2.8434671975134567E-3</c:v>
                </c:pt>
                <c:pt idx="369">
                  <c:v>2.8448190135219082E-3</c:v>
                </c:pt>
                <c:pt idx="370">
                  <c:v>2.8452645905251732E-3</c:v>
                </c:pt>
                <c:pt idx="371">
                  <c:v>2.8457079047786399E-3</c:v>
                </c:pt>
                <c:pt idx="372">
                  <c:v>2.8461491071322949E-3</c:v>
                </c:pt>
                <c:pt idx="373">
                  <c:v>2.8465883484361243E-3</c:v>
                </c:pt>
                <c:pt idx="374">
                  <c:v>2.8478958145485267E-3</c:v>
                </c:pt>
                <c:pt idx="375">
                  <c:v>2.848328720152921E-3</c:v>
                </c:pt>
                <c:pt idx="376">
                  <c:v>2.8487604189574227E-3</c:v>
                </c:pt>
                <c:pt idx="377">
                  <c:v>2.8491910618120182E-3</c:v>
                </c:pt>
                <c:pt idx="378">
                  <c:v>2.8496207995666943E-3</c:v>
                </c:pt>
                <c:pt idx="379">
                  <c:v>2.8509060907310727E-3</c:v>
                </c:pt>
                <c:pt idx="380">
                  <c:v>2.851333716585937E-3</c:v>
                </c:pt>
                <c:pt idx="381">
                  <c:v>2.8517611915908148E-3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353600"/>
        <c:axId val="579355392"/>
      </c:scatterChart>
      <c:valAx>
        <c:axId val="5793536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55392"/>
        <c:crosses val="autoZero"/>
        <c:crossBetween val="midCat"/>
      </c:valAx>
      <c:valAx>
        <c:axId val="5793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5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77688550520588"/>
          <c:y val="0.35544346811721"/>
          <c:w val="0.15648144664510794"/>
          <c:h val="0.1083620022148686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89231610742123"/>
          <c:y val="3.8550415573053366E-2"/>
          <c:w val="0.85681956172002083"/>
          <c:h val="0.922899168853893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'1Y Curve'!$S$30</c:f>
              <c:strCache>
                <c:ptCount val="1"/>
                <c:pt idx="0">
                  <c:v>FRA</c:v>
                </c:pt>
              </c:strCache>
            </c:strRef>
          </c:tx>
          <c:spPr>
            <a:ln w="28575">
              <a:noFill/>
            </a:ln>
          </c:spPr>
          <c:xVal>
            <c:numRef>
              <c:f>'1Y Curve'!$Q$31:$Q$36</c:f>
              <c:numCache>
                <c:formatCode>ddd\,\ dd\-mmm\-yyyy</c:formatCode>
                <c:ptCount val="6"/>
                <c:pt idx="0">
                  <c:v>41954</c:v>
                </c:pt>
                <c:pt idx="1">
                  <c:v>42319</c:v>
                </c:pt>
                <c:pt idx="2">
                  <c:v>42685</c:v>
                </c:pt>
                <c:pt idx="3">
                  <c:v>43052</c:v>
                </c:pt>
                <c:pt idx="4">
                  <c:v>43416</c:v>
                </c:pt>
                <c:pt idx="5">
                  <c:v>43780</c:v>
                </c:pt>
              </c:numCache>
            </c:numRef>
          </c:xVal>
          <c:yVal>
            <c:numRef>
              <c:f>'1Y Curve'!$S$31:$S$36</c:f>
              <c:numCache>
                <c:formatCode>0.0000%</c:formatCode>
                <c:ptCount val="6"/>
                <c:pt idx="0">
                  <c:v>3.3700000000001229E-3</c:v>
                </c:pt>
                <c:pt idx="1">
                  <c:v>3.6800000000000404E-3</c:v>
                </c:pt>
                <c:pt idx="2">
                  <c:v>4.97785004668291E-3</c:v>
                </c:pt>
                <c:pt idx="3">
                  <c:v>6.9557022977150352E-3</c:v>
                </c:pt>
                <c:pt idx="4">
                  <c:v>9.5231047545984628E-3</c:v>
                </c:pt>
                <c:pt idx="5">
                  <c:v>1.2593732471048639E-2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'1Y Curve'!$U$30</c:f>
              <c:strCache>
                <c:ptCount val="1"/>
                <c:pt idx="0">
                  <c:v>OIS</c:v>
                </c:pt>
              </c:strCache>
            </c:strRef>
          </c:tx>
          <c:spPr>
            <a:ln w="28575">
              <a:noFill/>
            </a:ln>
          </c:spPr>
          <c:xVal>
            <c:numRef>
              <c:f>'1Y Curve'!$Q$31:$Q$36</c:f>
              <c:numCache>
                <c:formatCode>ddd\,\ dd\-mmm\-yyyy</c:formatCode>
                <c:ptCount val="6"/>
                <c:pt idx="0">
                  <c:v>41954</c:v>
                </c:pt>
                <c:pt idx="1">
                  <c:v>42319</c:v>
                </c:pt>
                <c:pt idx="2">
                  <c:v>42685</c:v>
                </c:pt>
                <c:pt idx="3">
                  <c:v>43052</c:v>
                </c:pt>
                <c:pt idx="4">
                  <c:v>43416</c:v>
                </c:pt>
                <c:pt idx="5">
                  <c:v>43780</c:v>
                </c:pt>
              </c:numCache>
            </c:numRef>
          </c:xVal>
          <c:yVal>
            <c:numRef>
              <c:f>'1Y Curve'!$U$31:$U$36</c:f>
              <c:numCache>
                <c:formatCode>0.0000%</c:formatCode>
                <c:ptCount val="6"/>
                <c:pt idx="0">
                  <c:v>-5.0557854652706537E-4</c:v>
                </c:pt>
                <c:pt idx="1">
                  <c:v>-4.3453433743835247E-4</c:v>
                </c:pt>
                <c:pt idx="2">
                  <c:v>4.5761772974787932E-4</c:v>
                </c:pt>
                <c:pt idx="3">
                  <c:v>2.095851063703082E-3</c:v>
                </c:pt>
                <c:pt idx="4">
                  <c:v>4.38665213108521E-3</c:v>
                </c:pt>
                <c:pt idx="5">
                  <c:v>7.6055547929316314E-3</c:v>
                </c:pt>
              </c:numCache>
            </c:numRef>
          </c:yVal>
          <c:smooth val="0"/>
        </c:ser>
        <c:ser>
          <c:idx val="2"/>
          <c:order val="2"/>
          <c:tx>
            <c:v>Basis</c:v>
          </c:tx>
          <c:spPr>
            <a:ln w="28575">
              <a:noFill/>
            </a:ln>
          </c:spPr>
          <c:xVal>
            <c:numRef>
              <c:f>'1Y Curve'!$Q$31:$Q$36</c:f>
              <c:numCache>
                <c:formatCode>ddd\,\ dd\-mmm\-yyyy</c:formatCode>
                <c:ptCount val="6"/>
                <c:pt idx="0">
                  <c:v>41954</c:v>
                </c:pt>
                <c:pt idx="1">
                  <c:v>42319</c:v>
                </c:pt>
                <c:pt idx="2">
                  <c:v>42685</c:v>
                </c:pt>
                <c:pt idx="3">
                  <c:v>43052</c:v>
                </c:pt>
                <c:pt idx="4">
                  <c:v>43416</c:v>
                </c:pt>
                <c:pt idx="5">
                  <c:v>43780</c:v>
                </c:pt>
              </c:numCache>
            </c:numRef>
          </c:xVal>
          <c:yVal>
            <c:numRef>
              <c:f>'1Y Curve'!$V$31:$V$36</c:f>
              <c:numCache>
                <c:formatCode>0.0000%</c:formatCode>
                <c:ptCount val="6"/>
                <c:pt idx="0">
                  <c:v>3.8760000000000001E-3</c:v>
                </c:pt>
                <c:pt idx="1">
                  <c:v>4.1149999999999997E-3</c:v>
                </c:pt>
                <c:pt idx="2">
                  <c:v>4.5199999999999997E-3</c:v>
                </c:pt>
                <c:pt idx="3">
                  <c:v>4.8599999999999997E-3</c:v>
                </c:pt>
                <c:pt idx="4">
                  <c:v>5.1359999999999999E-3</c:v>
                </c:pt>
                <c:pt idx="5">
                  <c:v>4.9880000000000002E-3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542016"/>
        <c:axId val="579552000"/>
      </c:scatterChart>
      <c:valAx>
        <c:axId val="5795420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9552000"/>
        <c:crosses val="autoZero"/>
        <c:crossBetween val="midCat"/>
      </c:valAx>
      <c:valAx>
        <c:axId val="57955200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95420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279666550881301"/>
          <c:y val="8.2901356080489957E-2"/>
          <c:w val="6.4935029358656915E-2"/>
          <c:h val="0.1812823397075365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180976</xdr:colOff>
      <xdr:row>14</xdr:row>
      <xdr:rowOff>66674</xdr:rowOff>
    </xdr:from>
    <xdr:to>
      <xdr:col>29</xdr:col>
      <xdr:colOff>533400</xdr:colOff>
      <xdr:row>42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85726</xdr:colOff>
      <xdr:row>14</xdr:row>
      <xdr:rowOff>66674</xdr:rowOff>
    </xdr:from>
    <xdr:to>
      <xdr:col>29</xdr:col>
      <xdr:colOff>438150</xdr:colOff>
      <xdr:row>42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3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3𝑀@)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3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14</xdr:row>
      <xdr:rowOff>76199</xdr:rowOff>
    </xdr:from>
    <xdr:to>
      <xdr:col>29</xdr:col>
      <xdr:colOff>466725</xdr:colOff>
      <xdr:row>42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9525</xdr:colOff>
      <xdr:row>7</xdr:row>
      <xdr:rowOff>166687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93395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93395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66675</xdr:colOff>
      <xdr:row>7</xdr:row>
      <xdr:rowOff>152400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6102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6102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14</xdr:row>
      <xdr:rowOff>133349</xdr:rowOff>
    </xdr:from>
    <xdr:to>
      <xdr:col>29</xdr:col>
      <xdr:colOff>342900</xdr:colOff>
      <xdr:row>42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64030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64030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2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79152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79152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33337</xdr:rowOff>
    </xdr:from>
    <xdr:to>
      <xdr:col>14</xdr:col>
      <xdr:colOff>298704</xdr:colOff>
      <xdr:row>40</xdr:row>
      <xdr:rowOff>132778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9524</xdr:rowOff>
    </xdr:from>
    <xdr:to>
      <xdr:col>14</xdr:col>
      <xdr:colOff>276225</xdr:colOff>
      <xdr:row>49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504825</xdr:colOff>
      <xdr:row>1</xdr:row>
      <xdr:rowOff>47625</xdr:rowOff>
    </xdr:from>
    <xdr:to>
      <xdr:col>32</xdr:col>
      <xdr:colOff>461963</xdr:colOff>
      <xdr:row>26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97</v>
          </cell>
        </row>
        <row r="7">
          <cell r="D7">
            <v>2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12E</v>
          </cell>
        </row>
        <row r="7">
          <cell r="D7" t="str">
            <v>12E</v>
          </cell>
        </row>
      </sheetData>
      <sheetData sheetId="6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7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8">
        <row r="6">
          <cell r="D6" t="str">
            <v>X4</v>
          </cell>
        </row>
        <row r="7">
          <cell r="D7" t="str">
            <v>Z4</v>
          </cell>
        </row>
      </sheetData>
      <sheetData sheetId="9">
        <row r="6">
          <cell r="D6" t="str">
            <v>Future Code</v>
          </cell>
        </row>
        <row r="7">
          <cell r="D7" t="str">
            <v>X4</v>
          </cell>
        </row>
      </sheetData>
      <sheetData sheetId="10">
        <row r="6">
          <cell r="D6" t="str">
            <v>X4</v>
          </cell>
        </row>
        <row r="7">
          <cell r="D7" t="str">
            <v>Z4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2W</v>
          </cell>
        </row>
        <row r="7">
          <cell r="D7" t="str">
            <v>3W</v>
          </cell>
        </row>
      </sheetData>
      <sheetData sheetId="13">
        <row r="6">
          <cell r="D6" t="str">
            <v>APR14</v>
          </cell>
        </row>
        <row r="7">
          <cell r="D7" t="str">
            <v>MAY14</v>
          </cell>
        </row>
      </sheetData>
      <sheetData sheetId="14">
        <row r="6">
          <cell r="D6" t="str">
            <v>X1S</v>
          </cell>
        </row>
        <row r="7">
          <cell r="D7" t="str">
            <v>X1S</v>
          </cell>
        </row>
      </sheetData>
      <sheetData sheetId="15">
        <row r="6">
          <cell r="D6">
            <v>12</v>
          </cell>
        </row>
        <row r="7">
          <cell r="D7">
            <v>12</v>
          </cell>
        </row>
      </sheetData>
      <sheetData sheetId="16">
        <row r="6">
          <cell r="D6" t="str">
            <v>3E</v>
          </cell>
        </row>
        <row r="7">
          <cell r="D7" t="str">
            <v>3E</v>
          </cell>
        </row>
      </sheetData>
      <sheetData sheetId="17"/>
      <sheetData sheetId="18">
        <row r="6">
          <cell r="D6" t="str">
            <v>6E</v>
          </cell>
        </row>
        <row r="7">
          <cell r="D7" t="str">
            <v>6E</v>
          </cell>
        </row>
      </sheetData>
      <sheetData sheetId="19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0">
        <row r="6">
          <cell r="D6" t="str">
            <v>1E</v>
          </cell>
        </row>
        <row r="7">
          <cell r="D7" t="str">
            <v>1E</v>
          </cell>
        </row>
      </sheetData>
      <sheetData sheetId="21">
        <row r="6">
          <cell r="D6" t="str">
            <v>3E</v>
          </cell>
        </row>
        <row r="7">
          <cell r="D7" t="str">
            <v>3E</v>
          </cell>
        </row>
      </sheetData>
      <sheetData sheetId="22">
        <row r="6">
          <cell r="D6" t="str">
            <v>6E</v>
          </cell>
        </row>
        <row r="7">
          <cell r="D7" t="str">
            <v>6E</v>
          </cell>
        </row>
      </sheetData>
      <sheetData sheetId="23">
        <row r="6">
          <cell r="D6" t="str">
            <v>12E</v>
          </cell>
        </row>
        <row r="7">
          <cell r="D7" t="str">
            <v>12E</v>
          </cell>
        </row>
      </sheetData>
      <sheetData sheetId="24">
        <row r="6">
          <cell r="D6">
            <v>41948</v>
          </cell>
        </row>
        <row r="7">
          <cell r="D7">
            <v>41947</v>
          </cell>
        </row>
      </sheetData>
      <sheetData sheetId="25">
        <row r="6">
          <cell r="D6">
            <v>41948</v>
          </cell>
        </row>
        <row r="7">
          <cell r="D7">
            <v>41947</v>
          </cell>
        </row>
      </sheetData>
      <sheetData sheetId="26">
        <row r="6">
          <cell r="D6">
            <v>41949</v>
          </cell>
        </row>
        <row r="7">
          <cell r="D7">
            <v>41948</v>
          </cell>
        </row>
      </sheetData>
      <sheetData sheetId="27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6"/>
  <sheetViews>
    <sheetView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5" ht="12" thickBot="1" x14ac:dyDescent="0.25">
      <c r="B1" s="1" t="str">
        <f>_xll.qlxlVersion(TRUE,EvaluationDate)</f>
        <v>QuantLibXL 1.5.0 - MS VC++ 9.0 - Multithreaded Dynamic Runtime library - Release Configuration - Nov  4 2014 09:24:39</v>
      </c>
    </row>
    <row r="2" spans="1:35" ht="19.5" thickBot="1" x14ac:dyDescent="0.25">
      <c r="B2" s="163" t="s">
        <v>0</v>
      </c>
      <c r="C2" s="163"/>
      <c r="D2" s="163"/>
      <c r="E2" s="163"/>
      <c r="F2" s="164"/>
      <c r="H2" s="163" t="s">
        <v>193</v>
      </c>
      <c r="I2" s="163"/>
      <c r="J2" s="163"/>
      <c r="K2" s="163"/>
    </row>
    <row r="3" spans="1:35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5" x14ac:dyDescent="0.2">
      <c r="B4" s="2"/>
      <c r="C4" s="5" t="s">
        <v>1</v>
      </c>
      <c r="D4" s="6" t="s">
        <v>2</v>
      </c>
      <c r="E4" s="3"/>
      <c r="F4" s="4"/>
      <c r="H4" s="9"/>
      <c r="I4" s="13" t="s">
        <v>8</v>
      </c>
      <c r="J4" s="14" t="b">
        <v>1</v>
      </c>
      <c r="K4" s="15"/>
    </row>
    <row r="5" spans="1:35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9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8" customFormat="1" x14ac:dyDescent="0.2">
      <c r="A6" s="1"/>
      <c r="B6" s="2"/>
      <c r="C6" s="5" t="s">
        <v>5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11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B7" s="2"/>
      <c r="C7" s="5" t="s">
        <v>6</v>
      </c>
      <c r="D7" s="12" t="s">
        <v>7</v>
      </c>
      <c r="E7" s="3"/>
      <c r="F7" s="4"/>
      <c r="H7" s="9"/>
      <c r="I7" s="13" t="s">
        <v>12</v>
      </c>
      <c r="J7" s="18"/>
      <c r="K7" s="15"/>
    </row>
    <row r="8" spans="1:35" x14ac:dyDescent="0.2">
      <c r="B8" s="2"/>
      <c r="C8" s="5" t="s">
        <v>126</v>
      </c>
      <c r="D8" s="17" t="s">
        <v>127</v>
      </c>
      <c r="E8" s="3"/>
      <c r="F8" s="4"/>
      <c r="H8" s="9"/>
      <c r="I8" s="13" t="s">
        <v>14</v>
      </c>
      <c r="J8" s="19" t="b">
        <v>1</v>
      </c>
      <c r="K8" s="15"/>
    </row>
    <row r="9" spans="1:35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5" x14ac:dyDescent="0.2">
      <c r="B10" s="2"/>
      <c r="C10" s="95" t="s">
        <v>23</v>
      </c>
      <c r="D10" s="97">
        <v>41864.862141203703</v>
      </c>
      <c r="E10" s="96"/>
      <c r="F10" s="4"/>
      <c r="H10" s="9"/>
      <c r="I10" s="13" t="s">
        <v>18</v>
      </c>
      <c r="J10" s="19" t="s">
        <v>19</v>
      </c>
      <c r="K10" s="15"/>
    </row>
    <row r="11" spans="1:35" x14ac:dyDescent="0.2">
      <c r="B11" s="2"/>
      <c r="C11" s="95" t="s">
        <v>24</v>
      </c>
      <c r="D11" s="161" t="b">
        <v>1</v>
      </c>
      <c r="E11" s="96"/>
      <c r="F11" s="4"/>
      <c r="H11" s="9"/>
      <c r="I11" s="13" t="s">
        <v>21</v>
      </c>
      <c r="J11" s="20">
        <v>1E-4</v>
      </c>
      <c r="K11" s="15"/>
    </row>
    <row r="12" spans="1:35" x14ac:dyDescent="0.2">
      <c r="B12" s="2"/>
      <c r="C12" s="21"/>
      <c r="D12" s="95"/>
      <c r="E12" s="96"/>
      <c r="F12" s="4"/>
      <c r="H12" s="9"/>
      <c r="I12" s="13" t="s">
        <v>22</v>
      </c>
      <c r="J12" s="22">
        <v>-0.01</v>
      </c>
      <c r="K12" s="15"/>
    </row>
    <row r="13" spans="1:35" ht="12" thickBot="1" x14ac:dyDescent="0.25">
      <c r="B13" s="31"/>
      <c r="C13" s="168"/>
      <c r="D13" s="169"/>
      <c r="E13" s="170"/>
      <c r="F13" s="33"/>
      <c r="H13" s="25"/>
      <c r="I13" s="26"/>
      <c r="J13" s="26"/>
      <c r="K13" s="27"/>
    </row>
    <row r="15" spans="1:35" ht="12" thickBot="1" x14ac:dyDescent="0.25">
      <c r="C15" s="34"/>
      <c r="D15" s="34"/>
      <c r="E15" s="34"/>
      <c r="F15" s="34"/>
    </row>
    <row r="16" spans="1:35" ht="19.5" thickBot="1" x14ac:dyDescent="0.25">
      <c r="B16" s="163" t="s">
        <v>99</v>
      </c>
      <c r="C16" s="163"/>
      <c r="D16" s="163"/>
      <c r="E16" s="163"/>
      <c r="F16" s="164"/>
      <c r="H16" s="163" t="s">
        <v>107</v>
      </c>
      <c r="I16" s="163"/>
      <c r="J16" s="163"/>
      <c r="K16" s="164"/>
    </row>
    <row r="17" spans="2:11" x14ac:dyDescent="0.2">
      <c r="B17" s="73"/>
      <c r="C17" s="74"/>
      <c r="D17" s="75"/>
      <c r="E17" s="76"/>
      <c r="F17" s="77"/>
      <c r="H17" s="58"/>
      <c r="I17" s="35"/>
      <c r="J17" s="35"/>
      <c r="K17" s="62"/>
    </row>
    <row r="18" spans="2:11" x14ac:dyDescent="0.2">
      <c r="B18" s="2"/>
      <c r="C18" s="82" t="s">
        <v>10</v>
      </c>
      <c r="D18" s="16">
        <f>_xll.qlCalendarAdvance(Calendar,EvaluationDate,"2D","f")</f>
        <v>41954</v>
      </c>
      <c r="E18" s="3"/>
      <c r="F18" s="4"/>
      <c r="H18" s="58"/>
      <c r="I18" s="5" t="s">
        <v>25</v>
      </c>
      <c r="J18" s="165"/>
      <c r="K18" s="62"/>
    </row>
    <row r="19" spans="2:11" x14ac:dyDescent="0.2">
      <c r="B19" s="2"/>
      <c r="C19" s="82" t="s">
        <v>13</v>
      </c>
      <c r="D19" s="17" t="str">
        <f>_xll.qlDiscountingSwapEngine(,OisCurve,,,,,EvaluationDate)</f>
        <v>obj_00551#0001</v>
      </c>
      <c r="E19" s="3"/>
      <c r="F19" s="4"/>
      <c r="H19" s="58"/>
      <c r="I19" s="5" t="s">
        <v>26</v>
      </c>
      <c r="J19" s="165">
        <f>_xll.qlSettingsEvaluationDate(Trigger)</f>
        <v>41950</v>
      </c>
      <c r="K19" s="62"/>
    </row>
    <row r="20" spans="2:11" x14ac:dyDescent="0.2">
      <c r="B20" s="2"/>
      <c r="C20" s="82" t="s">
        <v>17</v>
      </c>
      <c r="D20" s="80">
        <f>_xll.qlCalendarAdjust(Calendar,DATE(YEAR(SettlementDate),12,31),"Preceding")</f>
        <v>42004</v>
      </c>
      <c r="E20" s="3"/>
      <c r="F20" s="4"/>
      <c r="H20" s="58"/>
      <c r="I20" s="5" t="s">
        <v>27</v>
      </c>
      <c r="J20" s="166">
        <f>[1]!TriggerCounter</f>
        <v>97</v>
      </c>
      <c r="K20" s="62"/>
    </row>
    <row r="21" spans="2:11" x14ac:dyDescent="0.2">
      <c r="B21" s="2"/>
      <c r="C21" s="82" t="s">
        <v>20</v>
      </c>
      <c r="D21" s="80">
        <f>_xll.qlCalendarAdjust(Calendar,DATE(YEAR(SettlementDate)+1,12,31),"Preceding")</f>
        <v>42369</v>
      </c>
      <c r="E21" s="3"/>
      <c r="F21" s="4"/>
      <c r="H21" s="58"/>
      <c r="I21" s="5" t="s">
        <v>28</v>
      </c>
      <c r="J21" s="167">
        <f>[1]!LastFixingsTrigger</f>
        <v>2</v>
      </c>
      <c r="K21" s="62"/>
    </row>
    <row r="22" spans="2:11" x14ac:dyDescent="0.2">
      <c r="B22" s="2"/>
      <c r="C22" s="162"/>
      <c r="D22" s="162"/>
      <c r="E22" s="3"/>
      <c r="F22" s="4"/>
      <c r="H22" s="58"/>
      <c r="I22" s="5" t="s">
        <v>31</v>
      </c>
      <c r="J22" s="6">
        <f>_xll.ohTrigger(Contribution!W16,Contribution!W22,Contribution!W29,Contribution!W39,Contribution!W55)</f>
        <v>1</v>
      </c>
      <c r="K22" s="62"/>
    </row>
    <row r="23" spans="2:11" ht="12" thickBot="1" x14ac:dyDescent="0.25">
      <c r="B23" s="31"/>
      <c r="C23" s="32"/>
      <c r="D23" s="32"/>
      <c r="E23" s="32"/>
      <c r="F23" s="33"/>
      <c r="H23" s="63"/>
      <c r="I23" s="64"/>
      <c r="J23" s="64"/>
      <c r="K23" s="65"/>
    </row>
    <row r="25" spans="2:11" ht="12" thickBot="1" x14ac:dyDescent="0.25"/>
    <row r="26" spans="2:11" ht="19.5" thickBot="1" x14ac:dyDescent="0.25">
      <c r="B26" s="163" t="s">
        <v>192</v>
      </c>
      <c r="C26" s="163"/>
      <c r="D26" s="163"/>
      <c r="E26" s="163"/>
      <c r="F26" s="164"/>
      <c r="H26" s="163" t="s">
        <v>191</v>
      </c>
      <c r="I26" s="163"/>
      <c r="J26" s="163"/>
      <c r="K26" s="163"/>
    </row>
    <row r="27" spans="2:11" x14ac:dyDescent="0.2">
      <c r="B27" s="2"/>
      <c r="C27" s="3"/>
      <c r="D27" s="3"/>
      <c r="E27" s="3"/>
      <c r="F27" s="4"/>
      <c r="H27" s="2"/>
      <c r="I27" s="3"/>
      <c r="J27" s="3"/>
      <c r="K27" s="3"/>
    </row>
    <row r="28" spans="2:11" x14ac:dyDescent="0.2">
      <c r="B28" s="2"/>
      <c r="C28" s="82" t="s">
        <v>29</v>
      </c>
      <c r="D28" s="6" t="s">
        <v>30</v>
      </c>
      <c r="E28" s="3"/>
      <c r="F28" s="4"/>
      <c r="H28" s="2"/>
      <c r="I28" s="82" t="s">
        <v>29</v>
      </c>
      <c r="J28" s="6" t="s">
        <v>43</v>
      </c>
      <c r="K28" s="3"/>
    </row>
    <row r="29" spans="2:11" x14ac:dyDescent="0.2">
      <c r="B29" s="2"/>
      <c r="C29" s="82" t="s">
        <v>32</v>
      </c>
      <c r="D29" s="79">
        <v>2</v>
      </c>
      <c r="E29" s="3"/>
      <c r="F29" s="4"/>
      <c r="H29" s="2"/>
      <c r="I29" s="82" t="s">
        <v>32</v>
      </c>
      <c r="J29" s="79">
        <v>2</v>
      </c>
      <c r="K29" s="3"/>
    </row>
    <row r="30" spans="2:11" x14ac:dyDescent="0.2">
      <c r="B30" s="2"/>
      <c r="C30" s="82" t="s">
        <v>33</v>
      </c>
      <c r="D30" s="7" t="e">
        <v>#N/A</v>
      </c>
      <c r="E30" s="3"/>
      <c r="F30" s="4"/>
      <c r="H30" s="2"/>
      <c r="I30" s="82" t="s">
        <v>33</v>
      </c>
      <c r="J30" s="7" t="e">
        <v>#N/A</v>
      </c>
      <c r="K30" s="3"/>
    </row>
    <row r="31" spans="2:11" x14ac:dyDescent="0.2">
      <c r="B31" s="2"/>
      <c r="C31" s="82" t="s">
        <v>34</v>
      </c>
      <c r="D31" s="12" t="s">
        <v>35</v>
      </c>
      <c r="E31" s="3"/>
      <c r="F31" s="4"/>
      <c r="H31" s="2"/>
      <c r="I31" s="82" t="s">
        <v>34</v>
      </c>
      <c r="J31" s="12" t="s">
        <v>35</v>
      </c>
      <c r="K31" s="3"/>
    </row>
    <row r="32" spans="2:11" x14ac:dyDescent="0.2">
      <c r="B32" s="2"/>
      <c r="C32" s="82" t="s">
        <v>36</v>
      </c>
      <c r="D32" s="17" t="s">
        <v>177</v>
      </c>
      <c r="E32" s="3"/>
      <c r="F32" s="4"/>
      <c r="H32" s="2"/>
      <c r="I32" s="82" t="s">
        <v>36</v>
      </c>
      <c r="J32" s="17" t="s">
        <v>177</v>
      </c>
      <c r="K32" s="3"/>
    </row>
    <row r="33" spans="2:11" x14ac:dyDescent="0.2">
      <c r="B33" s="2"/>
      <c r="C33" s="21"/>
      <c r="D33" s="21"/>
      <c r="E33" s="21"/>
      <c r="F33" s="4"/>
      <c r="H33" s="2"/>
      <c r="I33" s="21"/>
      <c r="J33" s="28"/>
      <c r="K33" s="29"/>
    </row>
    <row r="34" spans="2:11" x14ac:dyDescent="0.2">
      <c r="B34" s="2"/>
      <c r="C34" s="82" t="s">
        <v>100</v>
      </c>
      <c r="D34" s="81" t="b">
        <f>_xll.qlExtrapolatorEnableExtrapolation(YieldCurve,TRUE)</f>
        <v>1</v>
      </c>
      <c r="E34" s="24"/>
      <c r="F34" s="4"/>
      <c r="H34" s="2"/>
      <c r="I34" s="5" t="s">
        <v>101</v>
      </c>
      <c r="J34" s="329" t="str">
        <f>_xll.qlEuribor(,"1M",J35,,Trigger)</f>
        <v>obj_0058f#0001</v>
      </c>
      <c r="K34" s="29"/>
    </row>
    <row r="35" spans="2:11" x14ac:dyDescent="0.2">
      <c r="B35" s="2"/>
      <c r="C35" s="21"/>
      <c r="D35" s="28"/>
      <c r="E35" s="29"/>
      <c r="F35" s="4"/>
      <c r="H35" s="2"/>
      <c r="I35" s="89" t="s">
        <v>105</v>
      </c>
      <c r="J35" s="90" t="str">
        <f>_xll.qlPiecewiseYieldCurve(,NDays,Calendar,_xll.ohPack('1M Curve'!L13:L21),"actual/365",,,Accuracy,J31,J32,,Trigger)</f>
        <v>obj_0058e#0001</v>
      </c>
      <c r="K35" s="29"/>
    </row>
    <row r="36" spans="2:11" x14ac:dyDescent="0.2">
      <c r="B36" s="2"/>
      <c r="C36" s="5" t="s">
        <v>101</v>
      </c>
      <c r="D36" s="83" t="str">
        <f>_xll.qlEuribor(,IborTenor,YieldCurve,,D34)</f>
        <v>obj_005c1#0001</v>
      </c>
      <c r="E36" s="29"/>
      <c r="F36" s="4"/>
      <c r="H36" s="2"/>
      <c r="I36" s="91" t="s">
        <v>106</v>
      </c>
      <c r="J36" s="92" t="str">
        <f>_xll.ohRangeRetrieveError(YieldCurve)</f>
        <v/>
      </c>
      <c r="K36" s="29"/>
    </row>
    <row r="37" spans="2:11" x14ac:dyDescent="0.2">
      <c r="B37" s="2"/>
      <c r="C37" s="5" t="s">
        <v>102</v>
      </c>
      <c r="D37" s="81" t="s">
        <v>104</v>
      </c>
      <c r="E37" s="29"/>
      <c r="F37" s="4"/>
      <c r="H37" s="2"/>
      <c r="I37" s="21"/>
      <c r="J37" s="23"/>
      <c r="K37" s="29"/>
    </row>
    <row r="38" spans="2:11" x14ac:dyDescent="0.2">
      <c r="B38" s="2"/>
      <c r="C38" s="5" t="s">
        <v>103</v>
      </c>
      <c r="D38" s="84" t="str">
        <f>_xll.qlInterpolation(,BasisInterpolation,'1Y Curve'!Q32:Q36,'1Y Curve'!V32:V36)</f>
        <v>obj_005f9#0097</v>
      </c>
      <c r="E38" s="29"/>
      <c r="F38" s="4"/>
      <c r="H38" s="2"/>
      <c r="I38" s="85">
        <f>_xll.qlTermStructureReferenceDate(J35)</f>
        <v>41954</v>
      </c>
      <c r="J38" s="349">
        <f>_xll.qlYieldTSDiscount(J35,I38,,Trigger)</f>
        <v>1</v>
      </c>
      <c r="K38" s="29"/>
    </row>
    <row r="39" spans="2:11" x14ac:dyDescent="0.2">
      <c r="B39" s="2"/>
      <c r="C39" s="5" t="s">
        <v>15</v>
      </c>
      <c r="D39" s="78" t="s">
        <v>16</v>
      </c>
      <c r="E39" s="3"/>
      <c r="F39" s="4"/>
      <c r="H39" s="2"/>
      <c r="I39" s="87">
        <f>_xll.qlTermStructureMaxDate(J35)</f>
        <v>42107</v>
      </c>
      <c r="J39" s="350">
        <f>_xll.qlYieldTSDiscount(J35,I39,,Trigger)</f>
        <v>0.99997449891159584</v>
      </c>
      <c r="K39" s="29"/>
    </row>
    <row r="40" spans="2:11" x14ac:dyDescent="0.2">
      <c r="B40" s="2"/>
      <c r="C40" s="89" t="s">
        <v>105</v>
      </c>
      <c r="D40" s="90" t="str">
        <f>_xll.qlPiecewiseYieldCurve(,NDays,Calendar,_xll.ohPack('1Y Curve'!L14:L27),DayCounter,,,Accuracy,TraitsID,InterpolatorID)</f>
        <v>obj_005c0#0001</v>
      </c>
      <c r="E40" s="29"/>
      <c r="F40" s="4"/>
      <c r="H40" s="2"/>
      <c r="I40" s="21"/>
      <c r="J40" s="23"/>
      <c r="K40" s="30"/>
    </row>
    <row r="41" spans="2:11" ht="12" thickBot="1" x14ac:dyDescent="0.25">
      <c r="B41" s="2"/>
      <c r="C41" s="91" t="s">
        <v>106</v>
      </c>
      <c r="D41" s="92" t="str">
        <f>_xll.ohRangeRetrieveError(YieldCurve)</f>
        <v/>
      </c>
      <c r="E41" s="29"/>
      <c r="F41" s="4"/>
      <c r="H41" s="31"/>
      <c r="I41" s="32"/>
      <c r="J41" s="32"/>
      <c r="K41" s="32"/>
    </row>
    <row r="42" spans="2:11" x14ac:dyDescent="0.2">
      <c r="B42" s="2"/>
      <c r="C42" s="21"/>
      <c r="D42" s="23"/>
      <c r="E42" s="29"/>
      <c r="F42" s="4"/>
    </row>
    <row r="43" spans="2:11" x14ac:dyDescent="0.2">
      <c r="B43" s="2"/>
      <c r="C43" s="85">
        <f>_xll.qlTermStructureReferenceDate(YieldCurve)</f>
        <v>41954</v>
      </c>
      <c r="D43" s="86">
        <f>_xll.qlYieldTSDiscount(YieldCurve,C43,,Trigger)</f>
        <v>1</v>
      </c>
      <c r="E43" s="29"/>
      <c r="F43" s="4"/>
    </row>
    <row r="44" spans="2:11" x14ac:dyDescent="0.2">
      <c r="B44" s="2"/>
      <c r="C44" s="87">
        <f>_xll.qlTermStructureMaxDate(D40)</f>
        <v>44511</v>
      </c>
      <c r="D44" s="88">
        <f>_xll.qlYieldTSDiscount(YieldCurve,C44,,Trigger)</f>
        <v>0.94418172956768853</v>
      </c>
      <c r="E44" s="29"/>
      <c r="F44" s="4"/>
    </row>
    <row r="45" spans="2:11" x14ac:dyDescent="0.2">
      <c r="B45" s="2"/>
      <c r="C45" s="21"/>
      <c r="D45" s="23"/>
      <c r="E45" s="30"/>
      <c r="F45" s="4"/>
    </row>
    <row r="46" spans="2:11" ht="12" thickBot="1" x14ac:dyDescent="0.25">
      <c r="B46" s="31"/>
      <c r="C46" s="32"/>
      <c r="D46" s="32"/>
      <c r="E46" s="32"/>
      <c r="F46" s="33"/>
    </row>
  </sheetData>
  <conditionalFormatting sqref="D11">
    <cfRule type="cellIs" dxfId="51" priority="3" stopIfTrue="1" operator="equal">
      <formula>TRUE</formula>
    </cfRule>
  </conditionalFormatting>
  <conditionalFormatting sqref="E45">
    <cfRule type="cellIs" dxfId="50" priority="2" stopIfTrue="1" operator="equal">
      <formula>TRUE</formula>
    </cfRule>
  </conditionalFormatting>
  <conditionalFormatting sqref="K40">
    <cfRule type="cellIs" dxfId="49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J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J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"/>
  <sheetViews>
    <sheetView workbookViewId="0"/>
  </sheetViews>
  <sheetFormatPr defaultColWidth="9.5" defaultRowHeight="11.25" outlineLevelCol="1" x14ac:dyDescent="0.2"/>
  <cols>
    <col min="1" max="1" width="3.5" style="173" customWidth="1"/>
    <col min="2" max="2" width="2.33203125" style="173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2.33203125" style="173" bestFit="1" customWidth="1"/>
    <col min="23" max="23" width="10.83203125" style="173" customWidth="1"/>
    <col min="24" max="24" width="2.33203125" style="173" bestFit="1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10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140</v>
      </c>
      <c r="H2" s="186"/>
      <c r="I2" s="186" t="s">
        <v>82</v>
      </c>
      <c r="J2" s="186" t="s">
        <v>37</v>
      </c>
      <c r="K2" s="200"/>
      <c r="L2" s="200"/>
      <c r="M2" s="187"/>
      <c r="N2" s="186" t="s">
        <v>136</v>
      </c>
      <c r="P2" s="186" t="s">
        <v>142</v>
      </c>
      <c r="W2" s="236" t="s">
        <v>118</v>
      </c>
      <c r="AA2" s="420" t="s">
        <v>117</v>
      </c>
      <c r="AB2" s="420"/>
      <c r="AC2" s="420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175" t="str">
        <f>$E$9&amp;"LastFixing"&amp;QuoteSuffix</f>
        <v>Euribor1MLastFixing_Quote</v>
      </c>
      <c r="E3" s="176">
        <f>_xll.qlCalendarAdvance(Calendar,_xll.qlLastFixingQuoteReferenceDate($D$3),_xll.qlInterestRateIndexFixingDays($E$9)&amp;"D","f",,LastFixingsTrigger)</f>
        <v>41953</v>
      </c>
      <c r="F3" s="176">
        <f>_xll.qlInterestRateIndexMaturity($E$9,E3)</f>
        <v>41983</v>
      </c>
      <c r="G3" s="175" t="str">
        <f>_xll.qlMakeDatedOIS(,E3,F3,OvernightIndex,0,,,,EvaluationDate)</f>
        <v>obj_00500#0004</v>
      </c>
      <c r="H3" s="176" t="b">
        <f>_xll.qlInstrumentSetPricingEngine(G3,OisEngine)</f>
        <v>1</v>
      </c>
      <c r="I3" s="177">
        <f>_xll.qlQuoteValue($D3,AllTriggers)</f>
        <v>8.9999999999999992E-5</v>
      </c>
      <c r="J3" s="178" t="e">
        <f>_xll.qlOvernightIndexedSwapFairRate(G3,_xll.ohTrigger(H3,InterestRatesTrigger))</f>
        <v>#NUM!</v>
      </c>
      <c r="K3" s="201">
        <f>I3*_xll.qlDayCounterYearFraction(DayCounter1M,E3,F3,,,Trigger)</f>
        <v>7.4999999999999993E-6</v>
      </c>
      <c r="L3" s="201" t="e">
        <f>J3*_xll.qlDayCounterYearFraction(DayCounterOIS,E3,F3,,,Trigger)</f>
        <v>#NUM!</v>
      </c>
      <c r="M3" s="212" t="e">
        <f>K3-L3</f>
        <v>#NUM!</v>
      </c>
      <c r="N3" s="212" t="e">
        <f>M3</f>
        <v>#NUM!</v>
      </c>
      <c r="P3" s="212" t="b">
        <f>IF(E14="FRA",FALSE,IF(E14="FIX+FRA",TRUE,FALSE))</f>
        <v>0</v>
      </c>
      <c r="R3" s="421" t="s">
        <v>111</v>
      </c>
      <c r="S3" s="192">
        <f t="array" ref="S3:S5">_xll.ohFilter(N10:N14,P10:P14)</f>
        <v>1.8508188588159383E-4</v>
      </c>
      <c r="T3" s="193">
        <f t="array" ref="T3:T5">_xll.ohFilter(M10:M14,P10:P14)</f>
        <v>3.3777444173390876E-3</v>
      </c>
      <c r="U3" s="194">
        <f t="array" ref="U3:U5">_xll.ohFilter(L10:L14,P10:P14)</f>
        <v>8.2191780821917804E-2</v>
      </c>
      <c r="V3" s="188"/>
      <c r="W3" s="196">
        <f t="array" ref="W3:W5">MMULT(AA3:AC5,Y3:Y5)</f>
        <v>1.9754869577367981E-3</v>
      </c>
      <c r="X3" s="197"/>
      <c r="Y3" s="177">
        <f t="array" ref="Y3:Y5">_xll.ohFilter(N3:N7,P3:P7)</f>
        <v>2.3279248902795041E-5</v>
      </c>
      <c r="AA3" s="192">
        <f t="array" ref="AA3:AC5">MINVERSE(S3:U5)</f>
        <v>843.34243843218803</v>
      </c>
      <c r="AB3" s="193">
        <v>-1568.7173333932067</v>
      </c>
      <c r="AC3" s="194">
        <v>803.18327469732196</v>
      </c>
      <c r="AF3" s="205">
        <f>SettlementDate</f>
        <v>41954</v>
      </c>
      <c r="AG3" s="219">
        <f>_xll.qlDayCounterYearFraction(DayCounterON,SettlementDate,AF3,,,Trigger)</f>
        <v>0</v>
      </c>
      <c r="AH3" s="206">
        <f t="shared" ref="AH3:AH24" si="0">$W$13</f>
        <v>2.8323086165067305E-4</v>
      </c>
      <c r="AI3" s="206">
        <f t="shared" ref="AI3:AI24" si="1">$W$10+$W$9*AG3</f>
        <v>2.5879281256192301E-4</v>
      </c>
      <c r="AJ3" s="207">
        <f t="shared" ref="AJ3:AJ24" si="2">($W$5+$W$4*AG3+$W$3*AG3^2)</f>
        <v>2.6798629662119734E-4</v>
      </c>
    </row>
    <row r="4" spans="1:36" x14ac:dyDescent="0.2">
      <c r="D4" s="233" t="s">
        <v>156</v>
      </c>
      <c r="E4" s="176">
        <f>SettlementDate</f>
        <v>41954</v>
      </c>
      <c r="F4" s="176">
        <f>_xll.qlInterestRateIndexMaturity($E$9,E4)</f>
        <v>41984</v>
      </c>
      <c r="G4" s="175" t="str">
        <f>_xll.qlMakeDatedOIS(,E4,F4,OvernightIndex,0,,,,EvaluationDate)</f>
        <v>obj_005a8#0001</v>
      </c>
      <c r="H4" s="176" t="b">
        <f>_xll.qlInstrumentSetPricingEngine(G4,OisEngine)</f>
        <v>1</v>
      </c>
      <c r="I4" s="177"/>
      <c r="J4" s="178"/>
      <c r="K4" s="201"/>
      <c r="L4" s="201"/>
      <c r="M4" s="212"/>
      <c r="N4" s="234">
        <f>_xll.qlInterpolationInterpolate($H$13,E4,TRUE,Trigger)</f>
        <v>2.3279248902795041E-5</v>
      </c>
      <c r="P4" s="212" t="b">
        <f>IF(E14="FRA",FALSE,IF(E14="FIX+FRA",FALSE,TRUE))</f>
        <v>1</v>
      </c>
      <c r="R4" s="421"/>
      <c r="S4" s="192">
        <v>1.4486290659105727E-3</v>
      </c>
      <c r="T4" s="193">
        <v>1.1048977294051417E-2</v>
      </c>
      <c r="U4" s="194">
        <v>8.7671232876712329E-2</v>
      </c>
      <c r="V4" s="189" t="s">
        <v>40</v>
      </c>
      <c r="W4" s="196">
        <v>2.6270522168600138E-4</v>
      </c>
      <c r="X4" s="189" t="s">
        <v>41</v>
      </c>
      <c r="Y4" s="177">
        <v>2.9259060874586851E-5</v>
      </c>
      <c r="AA4" s="192">
        <v>-284.96502485836498</v>
      </c>
      <c r="AB4" s="193">
        <v>397.90121191412135</v>
      </c>
      <c r="AC4" s="194">
        <v>-134.9641301774495</v>
      </c>
      <c r="AF4" s="208">
        <f>_xll.qlCalendarAdvance(Calendar,AF3,"1d","mf",,Trigger)</f>
        <v>41955</v>
      </c>
      <c r="AG4" s="219">
        <f>_xll.qlDayCounterYearFraction(DayCounterON,SettlementDate,AF4,,,Trigger)</f>
        <v>2.7397260273972603E-3</v>
      </c>
      <c r="AH4" s="209">
        <f t="shared" si="0"/>
        <v>2.8323086165067305E-4</v>
      </c>
      <c r="AI4" s="209">
        <f t="shared" si="1"/>
        <v>2.6042201583450635E-4</v>
      </c>
      <c r="AJ4" s="179">
        <f t="shared" si="2"/>
        <v>2.6872086515467925E-4</v>
      </c>
    </row>
    <row r="5" spans="1:36" x14ac:dyDescent="0.2">
      <c r="A5" s="191">
        <v>1</v>
      </c>
      <c r="B5" s="191" t="s">
        <v>40</v>
      </c>
      <c r="C5" s="232">
        <v>2</v>
      </c>
      <c r="D5" s="175" t="str">
        <f>Currency&amp;A5&amp;B5&amp;C5&amp;"F"&amp;QuoteSuffix</f>
        <v>EUR1x2F_Quote</v>
      </c>
      <c r="E5" s="176">
        <f>_xll.qlCalendarAdvance(Calendar,SettlementDate,A5&amp;"M","mf")</f>
        <v>41984</v>
      </c>
      <c r="F5" s="176">
        <f>_xll.qlInterestRateIndexMaturity($E$9,E5)</f>
        <v>42016</v>
      </c>
      <c r="G5" s="175" t="str">
        <f>_xll.qlMakeDatedOIS(,E5,F5,OvernightIndex,0,,,,EvaluationDate)</f>
        <v>obj_00578#0001</v>
      </c>
      <c r="H5" s="176" t="b">
        <f>_xll.qlInstrumentSetPricingEngine(G5,OisEngine)</f>
        <v>1</v>
      </c>
      <c r="I5" s="177">
        <f>'1M Curve'!S27</f>
        <v>3.1877229655918882E-5</v>
      </c>
      <c r="J5" s="178">
        <f>_xll.qlOvernightIndexedSwapFairRate(G5,_xll.ohTrigger(H5,InterestRatesTrigger))</f>
        <v>-2.9728720518318319E-4</v>
      </c>
      <c r="K5" s="201">
        <f>I5*_xll.qlDayCounterYearFraction(DayCounter1M,E5,F5,,,Trigger)</f>
        <v>2.8335315249705673E-6</v>
      </c>
      <c r="L5" s="201">
        <f>J5*_xll.qlDayCounterYearFraction(DayCounterOIS,E5,F5,,,Trigger)</f>
        <v>-2.6425529349616284E-5</v>
      </c>
      <c r="M5" s="212">
        <f>K5-L5</f>
        <v>2.9259060874586851E-5</v>
      </c>
      <c r="N5" s="212">
        <f>M5</f>
        <v>2.9259060874586851E-5</v>
      </c>
      <c r="P5" s="212" t="b">
        <v>1</v>
      </c>
      <c r="R5" s="421"/>
      <c r="S5" s="192">
        <v>3.8800635105063967E-3</v>
      </c>
      <c r="T5" s="193">
        <v>1.8033402139238132E-2</v>
      </c>
      <c r="U5" s="194">
        <v>8.493150684931508E-2</v>
      </c>
      <c r="V5" s="191"/>
      <c r="W5" s="196">
        <v>2.6798629662119734E-4</v>
      </c>
      <c r="X5" s="189"/>
      <c r="Y5" s="177">
        <v>3.5162963753943011E-5</v>
      </c>
      <c r="AA5" s="192">
        <v>21.978494623655909</v>
      </c>
      <c r="AB5" s="193">
        <v>-12.819620455709153</v>
      </c>
      <c r="AC5" s="194">
        <v>3.7378392217101837</v>
      </c>
      <c r="AF5" s="208">
        <f>_xll.qlCalendarAdvance(Calendar,AF4,"1d","mf",,Trigger)</f>
        <v>41956</v>
      </c>
      <c r="AG5" s="219">
        <f>_xll.qlDayCounterYearFraction(DayCounterON,SettlementDate,AF5,,,Trigger)</f>
        <v>5.4794520547945206E-3</v>
      </c>
      <c r="AH5" s="209">
        <f t="shared" si="0"/>
        <v>2.8323086165067305E-4</v>
      </c>
      <c r="AI5" s="209">
        <f t="shared" si="1"/>
        <v>2.6205121910708969E-4</v>
      </c>
      <c r="AJ5" s="179">
        <f t="shared" si="2"/>
        <v>2.6948509008835233E-4</v>
      </c>
    </row>
    <row r="6" spans="1:36" x14ac:dyDescent="0.2">
      <c r="A6" s="191">
        <v>2</v>
      </c>
      <c r="B6" s="191" t="s">
        <v>40</v>
      </c>
      <c r="C6" s="232">
        <v>3</v>
      </c>
      <c r="D6" s="175" t="str">
        <f>Currency&amp;A6&amp;B6&amp;C6&amp;"F"&amp;QuoteSuffix</f>
        <v>EUR2x3F_Quote</v>
      </c>
      <c r="E6" s="176">
        <f>_xll.qlCalendarAdvance(Calendar,SettlementDate,A6&amp;"M","mf")</f>
        <v>42016</v>
      </c>
      <c r="F6" s="176">
        <f>_xll.qlInterestRateIndexMaturity($E$9,E6)</f>
        <v>42047</v>
      </c>
      <c r="G6" s="175" t="str">
        <f>_xll.qlMakeDatedOIS(,E6,F6,OvernightIndex,0,,,,EvaluationDate)</f>
        <v>obj_00589#0001</v>
      </c>
      <c r="H6" s="176" t="b">
        <f>_xll.qlInstrumentSetPricingEngine(G6,OisEngine)</f>
        <v>1</v>
      </c>
      <c r="I6" s="177">
        <f>'1M Curve'!S28</f>
        <v>6.1385993839059263E-5</v>
      </c>
      <c r="J6" s="178">
        <f>_xll.qlOvernightIndexedSwapFairRate(G6,_xll.ohTrigger(H6,InterestRatesTrigger))</f>
        <v>-3.4695810136802088E-4</v>
      </c>
      <c r="K6" s="201">
        <f>I6*_xll.qlDayCounterYearFraction(DayCounter1M,E6,F6,,,Trigger)</f>
        <v>5.2860161361412139E-6</v>
      </c>
      <c r="L6" s="201">
        <f>J6*_xll.qlDayCounterYearFraction(DayCounterOIS,E6,F6,,,Trigger)</f>
        <v>-2.9876947617801797E-5</v>
      </c>
      <c r="M6" s="212">
        <f>K6-L6</f>
        <v>3.5162963753943011E-5</v>
      </c>
      <c r="N6" s="212">
        <f>M6</f>
        <v>3.5162963753943011E-5</v>
      </c>
      <c r="P6" s="212" t="b">
        <v>1</v>
      </c>
      <c r="W6" s="198"/>
      <c r="X6" s="237"/>
      <c r="Y6" s="199"/>
      <c r="AF6" s="208">
        <f>_xll.qlCalendarAdvance(Calendar,AF5,"1d","mf",,Trigger)</f>
        <v>41957</v>
      </c>
      <c r="AG6" s="219">
        <f>_xll.qlDayCounterYearFraction(DayCounterON,SettlementDate,AF6,,,Trigger)</f>
        <v>8.21917808219178E-3</v>
      </c>
      <c r="AH6" s="209">
        <f t="shared" si="0"/>
        <v>2.8323086165067305E-4</v>
      </c>
      <c r="AI6" s="209">
        <f t="shared" si="1"/>
        <v>2.6368042237967298E-4</v>
      </c>
      <c r="AJ6" s="179">
        <f t="shared" si="2"/>
        <v>2.7027897142221669E-4</v>
      </c>
    </row>
    <row r="7" spans="1:36" ht="12" thickBot="1" x14ac:dyDescent="0.25">
      <c r="A7" s="191">
        <v>3</v>
      </c>
      <c r="B7" s="191" t="s">
        <v>40</v>
      </c>
      <c r="C7" s="232">
        <v>4</v>
      </c>
      <c r="D7" s="180" t="str">
        <f>Currency&amp;A7&amp;B7&amp;C7&amp;"F"&amp;QuoteSuffix</f>
        <v>EUR3x4F_Quote</v>
      </c>
      <c r="E7" s="181">
        <f>_xll.qlCalendarAdvance(Calendar,SettlementDate,A7&amp;"M","mf")</f>
        <v>42046</v>
      </c>
      <c r="F7" s="181">
        <f>_xll.qlInterestRateIndexMaturity($E$9,E7)</f>
        <v>42074</v>
      </c>
      <c r="G7" s="180" t="str">
        <f>_xll.qlMakeDatedOIS(,E7,F7,OvernightIndex,0,,,,EvaluationDate)</f>
        <v>obj_0057c#0001</v>
      </c>
      <c r="H7" s="181" t="b">
        <f>_xll.qlInstrumentSetPricingEngine(G7,OisEngine)</f>
        <v>1</v>
      </c>
      <c r="I7" s="182">
        <f>'1M Curve'!S29</f>
        <v>1.0003165195314269E-4</v>
      </c>
      <c r="J7" s="183">
        <f>_xll.qlOvernightIndexedSwapFairRate(G7,_xll.ohTrigger(H7,InterestRatesTrigger))</f>
        <v>-2.4018089644710954E-4</v>
      </c>
      <c r="K7" s="202">
        <f>I7*_xll.qlDayCounterYearFraction(DayCounter1M,E7,F7,,,Trigger)</f>
        <v>7.7802395963555426E-6</v>
      </c>
      <c r="L7" s="202">
        <f>J7*_xll.qlDayCounterYearFraction(DayCounterOIS,E7,F7,,,Trigger)</f>
        <v>-1.8680736390330743E-5</v>
      </c>
      <c r="M7" s="213">
        <f>K7-L7</f>
        <v>2.6460975986686286E-5</v>
      </c>
      <c r="N7" s="213">
        <f>M7</f>
        <v>2.6460975986686286E-5</v>
      </c>
      <c r="P7" s="213" t="b">
        <f>IF(E14="FRA",TRUE,FALSE)</f>
        <v>0</v>
      </c>
      <c r="W7" s="198"/>
      <c r="X7" s="237"/>
      <c r="Y7" s="199"/>
      <c r="AF7" s="208">
        <f>_xll.qlCalendarAdvance(Calendar,AF6,"1d","mf",,Trigger)</f>
        <v>41960</v>
      </c>
      <c r="AG7" s="219">
        <f>_xll.qlDayCounterYearFraction(DayCounterON,SettlementDate,AF7,,,Trigger)</f>
        <v>1.643835616438356E-2</v>
      </c>
      <c r="AH7" s="209">
        <f t="shared" si="0"/>
        <v>2.8323086165067305E-4</v>
      </c>
      <c r="AI7" s="209">
        <f t="shared" si="1"/>
        <v>2.6856803219742301E-4</v>
      </c>
      <c r="AJ7" s="179">
        <f t="shared" si="2"/>
        <v>2.7283855382495689E-4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41961</v>
      </c>
      <c r="AG8" s="219">
        <f>_xll.qlDayCounterYearFraction(DayCounterON,SettlementDate,AF8,,,Trigger)</f>
        <v>1.9178082191780823E-2</v>
      </c>
      <c r="AH8" s="209">
        <f t="shared" si="0"/>
        <v>2.8323086165067305E-4</v>
      </c>
      <c r="AI8" s="209">
        <f t="shared" si="1"/>
        <v>2.7019723547000636E-4</v>
      </c>
      <c r="AJ8" s="179">
        <f t="shared" si="2"/>
        <v>2.7375106075958603E-4</v>
      </c>
    </row>
    <row r="9" spans="1:36" x14ac:dyDescent="0.2">
      <c r="D9" s="185" t="s">
        <v>137</v>
      </c>
      <c r="E9" s="230" t="s">
        <v>155</v>
      </c>
      <c r="J9" s="185"/>
      <c r="K9" s="186"/>
      <c r="L9" s="186" t="s">
        <v>120</v>
      </c>
      <c r="M9" s="200" t="s">
        <v>121</v>
      </c>
      <c r="N9" s="187" t="s">
        <v>122</v>
      </c>
      <c r="P9" s="187" t="s">
        <v>142</v>
      </c>
      <c r="R9" s="420" t="s">
        <v>112</v>
      </c>
      <c r="S9" s="239"/>
      <c r="T9" s="192">
        <f t="array" ref="T9:T10">_xll.ohFilter(M10:M14,P10:P14)</f>
        <v>3.3777444173390876E-3</v>
      </c>
      <c r="U9" s="194">
        <f t="array" ref="U9:U10">_xll.ohFilter(L10:L14,P10:P14)</f>
        <v>8.2191780821917804E-2</v>
      </c>
      <c r="V9" s="422" t="s">
        <v>40</v>
      </c>
      <c r="W9" s="196">
        <f t="array" ref="W9:W10">MMULT(AA9:AB10,Y9:Y10)</f>
        <v>5.9465919449291655E-4</v>
      </c>
      <c r="X9" s="422" t="s">
        <v>41</v>
      </c>
      <c r="Y9" s="177">
        <f t="array" ref="Y9:Y10">_xll.ohFilter(N3:N7,P3:P7)</f>
        <v>2.3279248902795041E-5</v>
      </c>
      <c r="AA9" s="192">
        <f t="array" ref="AA9:AB10">MINVERSE(T9:U10)</f>
        <v>-143.25268817204298</v>
      </c>
      <c r="AB9" s="194">
        <v>134.29939516129033</v>
      </c>
      <c r="AF9" s="208">
        <f>_xll.qlCalendarAdvance(Calendar,AF8,"1d","mf",,Trigger)</f>
        <v>41962</v>
      </c>
      <c r="AG9" s="219">
        <f>_xll.qlDayCounterYearFraction(DayCounterON,SettlementDate,AF9,,,Trigger)</f>
        <v>2.1917808219178082E-2</v>
      </c>
      <c r="AH9" s="209">
        <f t="shared" si="0"/>
        <v>2.8323086165067305E-4</v>
      </c>
      <c r="AI9" s="209">
        <f t="shared" si="1"/>
        <v>2.7182643874258965E-4</v>
      </c>
      <c r="AJ9" s="179">
        <f t="shared" si="2"/>
        <v>2.746932240944064E-4</v>
      </c>
    </row>
    <row r="10" spans="1:36" ht="11.25" customHeight="1" x14ac:dyDescent="0.2">
      <c r="D10" s="203" t="s">
        <v>157</v>
      </c>
      <c r="E10" s="231" t="s">
        <v>16</v>
      </c>
      <c r="J10" s="240">
        <f>_xll.qlDayCounterYearFraction(DayCounterON,SettlementDate,E3,,,Trigger)</f>
        <v>-2.7397260273972603E-3</v>
      </c>
      <c r="K10" s="241">
        <f>_xll.qlDayCounterYearFraction(DayCounterON,SettlementDate,F3,,,Trigger)</f>
        <v>7.9452054794520555E-2</v>
      </c>
      <c r="L10" s="241">
        <f>K10-J10</f>
        <v>8.2191780821917818E-2</v>
      </c>
      <c r="M10" s="241">
        <f>(K10^2-J10^2)/2</f>
        <v>3.1525614561831493E-3</v>
      </c>
      <c r="N10" s="242">
        <f>(K10^3-J10^3)/3</f>
        <v>1.6719063691303981E-4</v>
      </c>
      <c r="P10" s="242" t="b">
        <f>P3</f>
        <v>0</v>
      </c>
      <c r="R10" s="420"/>
      <c r="S10" s="239"/>
      <c r="T10" s="192">
        <v>1.1048977294051417E-2</v>
      </c>
      <c r="U10" s="194">
        <v>8.7671232876712329E-2</v>
      </c>
      <c r="V10" s="422"/>
      <c r="W10" s="196">
        <v>2.5879281256192301E-4</v>
      </c>
      <c r="X10" s="422"/>
      <c r="Y10" s="177">
        <v>2.9259060874586851E-5</v>
      </c>
      <c r="AA10" s="192">
        <v>18.053763440860212</v>
      </c>
      <c r="AB10" s="194">
        <v>-5.5191532258064502</v>
      </c>
      <c r="AF10" s="208">
        <f>_xll.qlCalendarAdvance(Calendar,AF9,"1d","mf",,Trigger)</f>
        <v>41963</v>
      </c>
      <c r="AG10" s="219">
        <f>_xll.qlDayCounterYearFraction(DayCounterON,SettlementDate,AF10,,,Trigger)</f>
        <v>2.4657534246575342E-2</v>
      </c>
      <c r="AH10" s="209">
        <f t="shared" si="0"/>
        <v>2.8323086165067305E-4</v>
      </c>
      <c r="AI10" s="209">
        <f t="shared" si="1"/>
        <v>2.7345564201517299E-4</v>
      </c>
      <c r="AJ10" s="179">
        <f t="shared" si="2"/>
        <v>2.7566504382941798E-4</v>
      </c>
    </row>
    <row r="11" spans="1:36" ht="11.25" customHeight="1" x14ac:dyDescent="0.2">
      <c r="D11" s="203" t="s">
        <v>114</v>
      </c>
      <c r="E11" s="231" t="s">
        <v>16</v>
      </c>
      <c r="J11" s="240">
        <f>_xll.qlDayCounterYearFraction(DayCounterON,SettlementDate,E4,,,Trigger)</f>
        <v>0</v>
      </c>
      <c r="K11" s="241">
        <f>_xll.qlDayCounterYearFraction(DayCounterON,SettlementDate,F4,,,Trigger)</f>
        <v>8.2191780821917804E-2</v>
      </c>
      <c r="L11" s="241">
        <f>K11-J11</f>
        <v>8.2191780821917804E-2</v>
      </c>
      <c r="M11" s="241">
        <f>(K11^2-J11^2)/2</f>
        <v>3.3777444173390876E-3</v>
      </c>
      <c r="N11" s="242">
        <f>(K11^3-J11^3)/3</f>
        <v>1.8508188588159383E-4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41964</v>
      </c>
      <c r="AG11" s="219">
        <f>_xll.qlDayCounterYearFraction(DayCounterON,SettlementDate,AF11,,,Trigger)</f>
        <v>2.7397260273972601E-2</v>
      </c>
      <c r="AH11" s="209">
        <f t="shared" si="0"/>
        <v>2.8323086165067305E-4</v>
      </c>
      <c r="AI11" s="209">
        <f t="shared" si="1"/>
        <v>2.7508484528775633E-4</v>
      </c>
      <c r="AJ11" s="179">
        <f t="shared" si="2"/>
        <v>2.766665199646208E-4</v>
      </c>
    </row>
    <row r="12" spans="1:36" ht="11.25" customHeight="1" thickBot="1" x14ac:dyDescent="0.25">
      <c r="D12" s="203" t="s">
        <v>115</v>
      </c>
      <c r="E12" s="231" t="s">
        <v>116</v>
      </c>
      <c r="J12" s="240">
        <f>_xll.qlDayCounterYearFraction(DayCounterON,SettlementDate,E5,,,Trigger)</f>
        <v>8.2191780821917804E-2</v>
      </c>
      <c r="K12" s="241">
        <f>_xll.qlDayCounterYearFraction(DayCounterON,SettlementDate,F5,,,Trigger)</f>
        <v>0.16986301369863013</v>
      </c>
      <c r="L12" s="241">
        <f>K12-J12</f>
        <v>8.7671232876712329E-2</v>
      </c>
      <c r="M12" s="241">
        <f>(K12^2-J12^2)/2</f>
        <v>1.1048977294051417E-2</v>
      </c>
      <c r="N12" s="242">
        <f>(K12^3-J12^3)/3</f>
        <v>1.4486290659105727E-3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41967</v>
      </c>
      <c r="AG12" s="219">
        <f>_xll.qlDayCounterYearFraction(DayCounterON,SettlementDate,AF12,,,Trigger)</f>
        <v>3.5616438356164383E-2</v>
      </c>
      <c r="AH12" s="209">
        <f t="shared" si="0"/>
        <v>2.8323086165067305E-4</v>
      </c>
      <c r="AI12" s="209">
        <f t="shared" si="1"/>
        <v>2.7997245510550631E-4</v>
      </c>
      <c r="AJ12" s="179">
        <f t="shared" si="2"/>
        <v>2.7984888677137629E-4</v>
      </c>
    </row>
    <row r="13" spans="1:36" ht="11.25" customHeight="1" thickBot="1" x14ac:dyDescent="0.25">
      <c r="D13" s="203" t="s">
        <v>144</v>
      </c>
      <c r="E13" s="231" t="s">
        <v>143</v>
      </c>
      <c r="G13" s="250" t="s">
        <v>141</v>
      </c>
      <c r="H13" s="235" t="str">
        <f>_xll.qlInterpolation(,E13,E5:E7,M5:M7)</f>
        <v>obj_005bd#0097</v>
      </c>
      <c r="J13" s="240">
        <f>_xll.qlDayCounterYearFraction(DayCounterON,SettlementDate,E6,,,Trigger)</f>
        <v>0.16986301369863013</v>
      </c>
      <c r="K13" s="241">
        <f>_xll.qlDayCounterYearFraction(DayCounterON,SettlementDate,F6,,,Trigger)</f>
        <v>0.25479452054794521</v>
      </c>
      <c r="L13" s="241">
        <f>K13-J13</f>
        <v>8.493150684931508E-2</v>
      </c>
      <c r="M13" s="241">
        <f>(K13^2-J13^2)/2</f>
        <v>1.8033402139238132E-2</v>
      </c>
      <c r="N13" s="242">
        <f>(K13^3-J13^3)/3</f>
        <v>3.8800635105063967E-3</v>
      </c>
      <c r="P13" s="242" t="b">
        <f>P6</f>
        <v>1</v>
      </c>
      <c r="R13" s="255" t="s">
        <v>113</v>
      </c>
      <c r="U13" s="195">
        <f t="array" ref="U13">_xll.ohFilter(L10:L14,P10:P14)</f>
        <v>8.2191780821917804E-2</v>
      </c>
      <c r="V13" s="255" t="s">
        <v>40</v>
      </c>
      <c r="W13" s="196">
        <f>MMULT(AA13,Y13)</f>
        <v>2.8323086165067305E-4</v>
      </c>
      <c r="X13" s="255" t="s">
        <v>41</v>
      </c>
      <c r="Y13" s="177">
        <f>_xll.ohFilter(N3:N7,P3:P7)</f>
        <v>2.3279248902795041E-5</v>
      </c>
      <c r="AA13" s="195">
        <f>MINVERSE(U13)</f>
        <v>12.166666666666668</v>
      </c>
      <c r="AF13" s="208">
        <f>_xll.qlCalendarAdvance(Calendar,AF12,"1d","mf",,Trigger)</f>
        <v>41968</v>
      </c>
      <c r="AG13" s="219">
        <f>_xll.qlDayCounterYearFraction(DayCounterON,SettlementDate,AF13,,,Trigger)</f>
        <v>3.8356164383561646E-2</v>
      </c>
      <c r="AH13" s="209">
        <f t="shared" si="0"/>
        <v>2.8323086165067305E-4</v>
      </c>
      <c r="AI13" s="209">
        <f t="shared" si="1"/>
        <v>2.8160165837808965E-4</v>
      </c>
      <c r="AJ13" s="179">
        <f t="shared" si="2"/>
        <v>2.8096898850734394E-4</v>
      </c>
    </row>
    <row r="14" spans="1:36" ht="11.25" customHeight="1" thickBot="1" x14ac:dyDescent="0.25">
      <c r="D14" s="204" t="s">
        <v>148</v>
      </c>
      <c r="E14" s="252" t="s">
        <v>147</v>
      </c>
      <c r="J14" s="243">
        <f>_xll.qlDayCounterYearFraction(DayCounterON,SettlementDate,E7,,,Trigger)</f>
        <v>0.25205479452054796</v>
      </c>
      <c r="K14" s="244">
        <f>_xll.qlDayCounterYearFraction(DayCounterON,SettlementDate,F7,,,Trigger)</f>
        <v>0.32876712328767121</v>
      </c>
      <c r="L14" s="244">
        <f>K14-J14</f>
        <v>7.671232876712325E-2</v>
      </c>
      <c r="M14" s="244">
        <f>(K14^2-J14^2)/2</f>
        <v>2.227810095702757E-2</v>
      </c>
      <c r="N14" s="245">
        <f>(K14^3-J14^3)/3</f>
        <v>6.5074242685195386E-3</v>
      </c>
      <c r="P14" s="245" t="b">
        <f>P7</f>
        <v>0</v>
      </c>
      <c r="AF14" s="208">
        <f>_xll.qlCalendarAdvance(Calendar,AF13,"1d","mf",,Trigger)</f>
        <v>41969</v>
      </c>
      <c r="AG14" s="219">
        <f>_xll.qlDayCounterYearFraction(DayCounterON,SettlementDate,AF14,,,Trigger)</f>
        <v>4.1095890410958902E-2</v>
      </c>
      <c r="AH14" s="209">
        <f t="shared" si="0"/>
        <v>2.8323086165067305E-4</v>
      </c>
      <c r="AI14" s="209">
        <f t="shared" si="1"/>
        <v>2.83230861650673E-4</v>
      </c>
      <c r="AJ14" s="179">
        <f t="shared" si="2"/>
        <v>2.8211874664350271E-4</v>
      </c>
    </row>
    <row r="15" spans="1:36" ht="11.25" customHeight="1" thickBot="1" x14ac:dyDescent="0.25">
      <c r="P15" s="190"/>
      <c r="AF15" s="208">
        <f>_xll.qlCalendarAdvance(Calendar,AF14,"1d","mf",,Trigger)</f>
        <v>41970</v>
      </c>
      <c r="AG15" s="219">
        <f>_xll.qlDayCounterYearFraction(DayCounterON,SettlementDate,AF15,,,Trigger)</f>
        <v>4.3835616438356165E-2</v>
      </c>
      <c r="AH15" s="209">
        <f t="shared" si="0"/>
        <v>2.8323086165067305E-4</v>
      </c>
      <c r="AI15" s="209">
        <f t="shared" si="1"/>
        <v>2.8486006492325634E-4</v>
      </c>
      <c r="AJ15" s="179">
        <f t="shared" si="2"/>
        <v>2.8329816117985275E-4</v>
      </c>
    </row>
    <row r="16" spans="1:36" ht="11.25" customHeight="1" thickBot="1" x14ac:dyDescent="0.25">
      <c r="M16" s="246" t="s">
        <v>158</v>
      </c>
      <c r="N16" s="247"/>
      <c r="O16" s="248"/>
      <c r="P16" s="190"/>
      <c r="AF16" s="208">
        <f>_xll.qlCalendarAdvance(Calendar,AF15,"1d","mf",,Trigger)</f>
        <v>41971</v>
      </c>
      <c r="AG16" s="219">
        <f>_xll.qlDayCounterYearFraction(DayCounterON,SettlementDate,AF16,,,Trigger)</f>
        <v>4.6575342465753428E-2</v>
      </c>
      <c r="AH16" s="209">
        <f t="shared" si="0"/>
        <v>2.8323086165067305E-4</v>
      </c>
      <c r="AI16" s="209">
        <f t="shared" si="1"/>
        <v>2.8648926819583968E-4</v>
      </c>
      <c r="AJ16" s="179">
        <f t="shared" si="2"/>
        <v>2.8450723211639401E-4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145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176</v>
      </c>
      <c r="P17" s="190"/>
      <c r="AF17" s="208">
        <f>_xll.qlCalendarAdvance(Calendar,AF16,"1d","mf",,Trigger)</f>
        <v>41974</v>
      </c>
      <c r="AG17" s="219">
        <f>_xll.qlDayCounterYearFraction(DayCounterON,SettlementDate,AF17,,,Trigger)</f>
        <v>5.4794520547945202E-2</v>
      </c>
      <c r="AH17" s="209">
        <f t="shared" si="0"/>
        <v>2.8323086165067305E-4</v>
      </c>
      <c r="AI17" s="209">
        <f t="shared" si="1"/>
        <v>2.9137687801358966E-4</v>
      </c>
      <c r="AJ17" s="179">
        <f t="shared" si="2"/>
        <v>2.8831238332716492E-4</v>
      </c>
    </row>
    <row r="18" spans="4:36" ht="11.25" customHeight="1" x14ac:dyDescent="0.2">
      <c r="D18" s="224" t="s">
        <v>46</v>
      </c>
      <c r="E18" s="215">
        <f t="shared" ref="E18:E22" si="3">SettlementDate</f>
        <v>41954</v>
      </c>
      <c r="F18" s="216">
        <f>_xll.qlCalendarAdvance(Calendar,SettlementDate,D18,"Following",,Trigger)</f>
        <v>41955</v>
      </c>
      <c r="G18" s="217" t="str">
        <f>_xll.qlMakeDatedOIS(,E18,F18,OvernightIndex,0,,,,EvaluationDate)</f>
        <v>obj_00568#0001</v>
      </c>
      <c r="H18" s="226" t="b">
        <f>_xll.qlInstrumentSetPricingEngine(G18,OisEngine)</f>
        <v>1</v>
      </c>
      <c r="I18" s="214">
        <f>_xll.qlOvernightIndexedSwapFairRate(G18,_xll.ohTrigger(InterestRatesTrigger))</f>
        <v>-2.8310668753306345E-4</v>
      </c>
      <c r="J18" s="241">
        <f>_xll.qlDayCounterYearFraction(DayCounterOIS,E18,F18,,,Trigger)</f>
        <v>2.7777777777777779E-3</v>
      </c>
      <c r="K18" s="241">
        <f>_xll.qlDayCounterYearFraction(DayCounter1M,E18,F18,,,Trigger)</f>
        <v>2.7777777777777779E-3</v>
      </c>
      <c r="L18" s="241">
        <f>_xll.qlDayCounterYearFraction(DayCounterON,E18,F18,,,Trigger)</f>
        <v>2.7397260273972603E-3</v>
      </c>
      <c r="M18" s="209">
        <f>($I18*$J18+$W$13*L18)/$K18</f>
        <v>-3.7557006995229077E-6</v>
      </c>
      <c r="N18" s="209">
        <f>($I18*$J18+($W$10*L18+$W$9*L18^2/2))/$K18</f>
        <v>-2.7055539282769558E-5</v>
      </c>
      <c r="O18" s="209">
        <f>($I18*$J18+($W$5*L18+$W$4*L18^2/2+$W$3*L18^3/3))/$K18</f>
        <v>-1.8431620607989346E-5</v>
      </c>
      <c r="P18" s="190"/>
      <c r="AF18" s="208">
        <f>_xll.qlCalendarAdvance(Calendar,AF17,"1d","mf",,Trigger)</f>
        <v>41975</v>
      </c>
      <c r="AG18" s="219">
        <f>_xll.qlDayCounterYearFraction(DayCounterON,SettlementDate,AF18,,,Trigger)</f>
        <v>5.7534246575342465E-2</v>
      </c>
      <c r="AH18" s="209">
        <f t="shared" si="0"/>
        <v>2.8323086165067305E-4</v>
      </c>
      <c r="AI18" s="209">
        <f t="shared" si="1"/>
        <v>2.93006081286173E-4</v>
      </c>
      <c r="AJ18" s="179">
        <f t="shared" si="2"/>
        <v>2.8964007986447096E-4</v>
      </c>
    </row>
    <row r="19" spans="4:36" ht="11.25" customHeight="1" x14ac:dyDescent="0.2">
      <c r="D19" s="222" t="s">
        <v>47</v>
      </c>
      <c r="E19" s="176">
        <f>SettlementDate</f>
        <v>41954</v>
      </c>
      <c r="F19" s="218">
        <f>_xll.qlCalendarAdvance(Calendar,SettlementDate,D19,"Following",,Trigger)</f>
        <v>41961</v>
      </c>
      <c r="G19" s="219" t="str">
        <f>_xll.qlMakeDatedOIS(,E19,F19,OvernightIndex,0,,,,EvaluationDate)</f>
        <v>obj_0056e#0001</v>
      </c>
      <c r="H19" s="227" t="b">
        <f>_xll.qlInstrumentSetPricingEngine(G19,OisEngine)</f>
        <v>1</v>
      </c>
      <c r="I19" s="178">
        <f>_xll.qlOvernightIndexedSwapFairRate(G19,_xll.ohTrigger(InterestRatesTrigger))</f>
        <v>-2.8999999997963196E-4</v>
      </c>
      <c r="J19" s="241">
        <f>_xll.qlDayCounterYearFraction(DayCounterOIS,E19,F19,,,Trigger)</f>
        <v>1.9444444444444445E-2</v>
      </c>
      <c r="K19" s="241">
        <f>_xll.qlDayCounterYearFraction(DayCounter1M,E19,F19,,,Trigger)</f>
        <v>1.9444444444444445E-2</v>
      </c>
      <c r="L19" s="241">
        <f>_xll.qlDayCounterYearFraction(DayCounterON,E19,F19,,,Trigger)</f>
        <v>1.9178082191780823E-2</v>
      </c>
      <c r="M19" s="209">
        <f>($I19*$J19+$W$13*L19)/$K19</f>
        <v>-1.0649013146091389E-5</v>
      </c>
      <c r="N19" s="209">
        <f t="shared" ref="N19:N22" si="4">($I19*$J19+($W$10*L19+$W$9*L19^2/2))/$K19</f>
        <v>-2.9128195470735304E-5</v>
      </c>
      <c r="O19" s="209">
        <f t="shared" ref="O19:O22" si="5">($I19*$J19+($W$5*L19+$W$4*L19^2/2+$W$3*L19^3/3))/$K19</f>
        <v>-2.2961289239193746E-5</v>
      </c>
      <c r="P19" s="190"/>
      <c r="AF19" s="208">
        <f>_xll.qlCalendarAdvance(Calendar,AF18,"1d","mf",,Trigger)</f>
        <v>41976</v>
      </c>
      <c r="AG19" s="219">
        <f>_xll.qlDayCounterYearFraction(DayCounterON,SettlementDate,AF19,,,Trigger)</f>
        <v>6.0273972602739728E-2</v>
      </c>
      <c r="AH19" s="209">
        <f t="shared" si="0"/>
        <v>2.8323086165067305E-4</v>
      </c>
      <c r="AI19" s="209">
        <f t="shared" si="1"/>
        <v>2.9463528455875635E-4</v>
      </c>
      <c r="AJ19" s="179">
        <f t="shared" si="2"/>
        <v>2.9099743280196818E-4</v>
      </c>
    </row>
    <row r="20" spans="4:36" ht="11.25" customHeight="1" x14ac:dyDescent="0.2">
      <c r="D20" s="222" t="s">
        <v>48</v>
      </c>
      <c r="E20" s="176">
        <f t="shared" si="3"/>
        <v>41954</v>
      </c>
      <c r="F20" s="218">
        <f>_xll.qlCalendarAdvance(Calendar,SettlementDate,D20,"Following",,Trigger)</f>
        <v>41968</v>
      </c>
      <c r="G20" s="219" t="str">
        <f>_xll.qlMakeDatedOIS(,E20,F20,OvernightIndex,0,,,,EvaluationDate)</f>
        <v>obj_00573#0001</v>
      </c>
      <c r="H20" s="227" t="b">
        <f>_xll.qlInstrumentSetPricingEngine(G20,OisEngine)</f>
        <v>1</v>
      </c>
      <c r="I20" s="178">
        <f>_xll.qlOvernightIndexedSwapFairRate(G20,_xll.ohTrigger(InterestRatesTrigger))</f>
        <v>-3.0733469311198082E-4</v>
      </c>
      <c r="J20" s="241">
        <f>_xll.qlDayCounterYearFraction(DayCounterOIS,E20,F20,,,Trigger)</f>
        <v>3.888888888888889E-2</v>
      </c>
      <c r="K20" s="241">
        <f>_xll.qlDayCounterYearFraction(DayCounter1M,E20,F20,,,Trigger)</f>
        <v>3.888888888888889E-2</v>
      </c>
      <c r="L20" s="241">
        <f>_xll.qlDayCounterYearFraction(DayCounterON,E20,F20,,,Trigger)</f>
        <v>3.8356164383561646E-2</v>
      </c>
      <c r="M20" s="209">
        <f t="shared" ref="M20:M22" si="6">($I20*$J20+$W$13*L20)/$K20</f>
        <v>-2.7983706278440283E-5</v>
      </c>
      <c r="N20" s="209">
        <f t="shared" si="4"/>
        <v>-4.0838789634714309E-5</v>
      </c>
      <c r="O20" s="209">
        <f t="shared" si="5"/>
        <v>-3.7094770673588674E-5</v>
      </c>
      <c r="P20" s="190"/>
      <c r="AF20" s="208">
        <f>_xll.qlCalendarAdvance(Calendar,AF19,"1d","mf",,Trigger)</f>
        <v>41977</v>
      </c>
      <c r="AG20" s="219">
        <f>_xll.qlDayCounterYearFraction(DayCounterON,SettlementDate,AF20,,,Trigger)</f>
        <v>6.3013698630136991E-2</v>
      </c>
      <c r="AH20" s="209">
        <f t="shared" si="0"/>
        <v>2.8323086165067305E-4</v>
      </c>
      <c r="AI20" s="209">
        <f t="shared" si="1"/>
        <v>2.9626448783133969E-4</v>
      </c>
      <c r="AJ20" s="179">
        <f t="shared" si="2"/>
        <v>2.9238444213965673E-4</v>
      </c>
    </row>
    <row r="21" spans="4:36" ht="11.25" customHeight="1" x14ac:dyDescent="0.2">
      <c r="D21" s="222" t="s">
        <v>49</v>
      </c>
      <c r="E21" s="176">
        <f t="shared" si="3"/>
        <v>41954</v>
      </c>
      <c r="F21" s="218">
        <f>_xll.qlCalendarAdvance(Calendar,SettlementDate,D21,"Following",,Trigger)</f>
        <v>41975</v>
      </c>
      <c r="G21" s="219" t="str">
        <f>_xll.qlMakeDatedOIS(,E21,F21,OvernightIndex,0,,,,EvaluationDate)</f>
        <v>obj_00584#0001</v>
      </c>
      <c r="H21" s="227" t="b">
        <f>_xll.qlInstrumentSetPricingEngine(G21,OisEngine)</f>
        <v>1</v>
      </c>
      <c r="I21" s="178">
        <f>_xll.qlOvernightIndexedSwapFairRate(G21,_xll.ohTrigger(InterestRatesTrigger))</f>
        <v>6.4178602051815195E-6</v>
      </c>
      <c r="J21" s="241">
        <f>_xll.qlDayCounterYearFraction(DayCounterOIS,E21,F21,,,Trigger)</f>
        <v>5.8333333333333334E-2</v>
      </c>
      <c r="K21" s="241">
        <f>_xll.qlDayCounterYearFraction(DayCounter1M,E21,F21,,,Trigger)</f>
        <v>5.8333333333333334E-2</v>
      </c>
      <c r="L21" s="241">
        <f>_xll.qlDayCounterYearFraction(DayCounterON,E21,F21,,,Trigger)</f>
        <v>5.7534246575342465E-2</v>
      </c>
      <c r="M21" s="209">
        <f t="shared" si="6"/>
        <v>2.8576884703872209E-4</v>
      </c>
      <c r="N21" s="209">
        <f t="shared" si="4"/>
        <v>2.7853786265081795E-4</v>
      </c>
      <c r="O21" s="209">
        <f t="shared" si="5"/>
        <v>2.8033674676104624E-4</v>
      </c>
      <c r="P21" s="190"/>
      <c r="AF21" s="208">
        <f>_xll.qlCalendarAdvance(Calendar,AF20,"1d","mf",,Trigger)</f>
        <v>41978</v>
      </c>
      <c r="AG21" s="219">
        <f>_xll.qlDayCounterYearFraction(DayCounterON,SettlementDate,AF21,,,Trigger)</f>
        <v>6.575342465753424E-2</v>
      </c>
      <c r="AH21" s="209">
        <f t="shared" si="0"/>
        <v>2.8323086165067305E-4</v>
      </c>
      <c r="AI21" s="209">
        <f t="shared" si="1"/>
        <v>2.9789369110392298E-4</v>
      </c>
      <c r="AJ21" s="179">
        <f t="shared" si="2"/>
        <v>2.9380110787753633E-4</v>
      </c>
    </row>
    <row r="22" spans="4:36" ht="11.25" customHeight="1" thickBot="1" x14ac:dyDescent="0.25">
      <c r="D22" s="223" t="s">
        <v>43</v>
      </c>
      <c r="E22" s="181">
        <f t="shared" si="3"/>
        <v>41954</v>
      </c>
      <c r="F22" s="220">
        <f>_xll.qlCalendarAdvance(Calendar,SettlementDate,D22,"mf",TRUE,Trigger)</f>
        <v>41984</v>
      </c>
      <c r="G22" s="221" t="str">
        <f>_xll.qlMakeDatedOIS(,E22,F22,OvernightIndex,0,,,,EvaluationDate)</f>
        <v>obj_00575#0001</v>
      </c>
      <c r="H22" s="228" t="b">
        <f>_xll.qlInstrumentSetPricingEngine(G22,OisEngine)</f>
        <v>1</v>
      </c>
      <c r="I22" s="183">
        <f>_xll.qlOvernightIndexedSwapFairRate(G22,_xll.ohTrigger(InterestRatesTrigger))</f>
        <v>-1.1689673686099412E-4</v>
      </c>
      <c r="J22" s="244">
        <f>_xll.qlDayCounterYearFraction(DayCounterOIS,E22,F22,,,Trigger)</f>
        <v>8.3333333333333329E-2</v>
      </c>
      <c r="K22" s="244">
        <f>_xll.qlDayCounterYearFraction(DayCounter1M,E22,F22,,,Trigger)</f>
        <v>8.3333333333333329E-2</v>
      </c>
      <c r="L22" s="244">
        <f>_xll.qlDayCounterYearFraction(DayCounterON,E22,F22,,,Trigger)</f>
        <v>8.2191780821917804E-2</v>
      </c>
      <c r="M22" s="211">
        <f t="shared" si="6"/>
        <v>1.6245424997254643E-4</v>
      </c>
      <c r="N22" s="211">
        <f t="shared" si="4"/>
        <v>1.6245424997254638E-4</v>
      </c>
      <c r="O22" s="211">
        <f t="shared" si="5"/>
        <v>1.6245424997254635E-4</v>
      </c>
      <c r="P22" s="190"/>
      <c r="AF22" s="208">
        <f>_xll.qlCalendarAdvance(Calendar,AF21,"1d","mf",,Trigger)</f>
        <v>41981</v>
      </c>
      <c r="AG22" s="219">
        <f>_xll.qlDayCounterYearFraction(DayCounterON,SettlementDate,AF22,,,Trigger)</f>
        <v>7.3972602739726029E-2</v>
      </c>
      <c r="AH22" s="209">
        <f t="shared" si="0"/>
        <v>2.8323086165067305E-4</v>
      </c>
      <c r="AI22" s="209">
        <f t="shared" si="1"/>
        <v>3.0278130092167301E-4</v>
      </c>
      <c r="AJ22" s="179">
        <f t="shared" si="2"/>
        <v>2.9822904349232265E-4</v>
      </c>
    </row>
    <row r="23" spans="4:36" ht="11.25" customHeight="1" thickBot="1" x14ac:dyDescent="0.25">
      <c r="P23" s="190"/>
      <c r="AF23" s="208">
        <f>_xll.qlCalendarAdvance(Calendar,AF22,"1d","mf",,Trigger)</f>
        <v>41982</v>
      </c>
      <c r="AG23" s="219">
        <f>_xll.qlDayCounterYearFraction(DayCounterON,SettlementDate,AF23,,,Trigger)</f>
        <v>7.6712328767123292E-2</v>
      </c>
      <c r="AH23" s="209">
        <f t="shared" si="0"/>
        <v>2.8323086165067305E-4</v>
      </c>
      <c r="AI23" s="209">
        <f t="shared" si="1"/>
        <v>3.0441050419425635E-4</v>
      </c>
      <c r="AJ23" s="179">
        <f t="shared" si="2"/>
        <v>2.9976433483096715E-4</v>
      </c>
    </row>
    <row r="24" spans="4:36" ht="11.25" customHeight="1" thickBot="1" x14ac:dyDescent="0.25">
      <c r="D24" s="249" t="s">
        <v>149</v>
      </c>
      <c r="P24" s="190"/>
      <c r="AF24" s="210">
        <f>_xll.qlCalendarAdvance(Calendar,AF23,"1d","mf",,Trigger)</f>
        <v>41983</v>
      </c>
      <c r="AG24" s="221">
        <f>_xll.qlDayCounterYearFraction(DayCounterON,SettlementDate,AF24,,,Trigger)</f>
        <v>7.9452054794520555E-2</v>
      </c>
      <c r="AH24" s="211">
        <f t="shared" si="0"/>
        <v>2.8323086165067305E-4</v>
      </c>
      <c r="AI24" s="211">
        <f t="shared" si="1"/>
        <v>3.0603970746683964E-4</v>
      </c>
      <c r="AJ24" s="184">
        <f t="shared" si="2"/>
        <v>3.0132928256980287E-4</v>
      </c>
    </row>
    <row r="25" spans="4:36" x14ac:dyDescent="0.2">
      <c r="D25" s="253" t="s">
        <v>111</v>
      </c>
      <c r="P25" s="190"/>
    </row>
    <row r="26" spans="4:36" x14ac:dyDescent="0.2">
      <c r="D26" s="209">
        <f>IF($D$25="FLAT",M18,IF($D$25="linear",N18,O18))</f>
        <v>-1.8431620607989346E-5</v>
      </c>
      <c r="P26" s="190"/>
    </row>
    <row r="27" spans="4:36" x14ac:dyDescent="0.2">
      <c r="D27" s="209">
        <f>IF($D$25="FLAT",M19,IF($D$25="linear",N19,O19))</f>
        <v>-2.2961289239193746E-5</v>
      </c>
      <c r="P27" s="190"/>
    </row>
    <row r="28" spans="4:36" x14ac:dyDescent="0.2">
      <c r="D28" s="209">
        <f>IF($D$25="FLAT",M20,IF($D$25="linear",N20,O20))</f>
        <v>-3.7094770673588674E-5</v>
      </c>
    </row>
    <row r="29" spans="4:36" x14ac:dyDescent="0.2">
      <c r="D29" s="209">
        <f>IF($D$25="FLAT",M21,IF($D$25="linear",N21,O21))</f>
        <v>2.8033674676104624E-4</v>
      </c>
    </row>
    <row r="30" spans="4:36" ht="12.75" customHeight="1" x14ac:dyDescent="0.2">
      <c r="D30" s="254">
        <f>IF($D$25="FLAT",M22,IF($D$25="linear",N22,O22))</f>
        <v>1.6245424997254635E-4</v>
      </c>
    </row>
    <row r="38" spans="10:14" x14ac:dyDescent="0.2">
      <c r="N38" s="251"/>
    </row>
    <row r="39" spans="10:14" x14ac:dyDescent="0.2">
      <c r="J39" s="190"/>
      <c r="K39" s="190"/>
      <c r="N39" s="251"/>
    </row>
    <row r="40" spans="10:14" x14ac:dyDescent="0.2">
      <c r="N40" s="251"/>
    </row>
    <row r="41" spans="10:14" x14ac:dyDescent="0.2">
      <c r="N41" s="251"/>
    </row>
    <row r="42" spans="10:14" x14ac:dyDescent="0.2">
      <c r="N42" s="251"/>
    </row>
    <row r="43" spans="10:14" ht="11.25" customHeight="1" x14ac:dyDescent="0.2"/>
    <row r="58" spans="10:11" x14ac:dyDescent="0.2">
      <c r="J58" s="190"/>
    </row>
    <row r="59" spans="10:11" x14ac:dyDescent="0.2">
      <c r="J59" s="190"/>
    </row>
    <row r="60" spans="10:11" x14ac:dyDescent="0.2">
      <c r="J60" s="190"/>
    </row>
    <row r="61" spans="10:11" x14ac:dyDescent="0.2">
      <c r="J61" s="190"/>
    </row>
    <row r="62" spans="10:11" x14ac:dyDescent="0.2">
      <c r="J62" s="190"/>
    </row>
    <row r="63" spans="10:11" x14ac:dyDescent="0.2">
      <c r="J63" s="190"/>
    </row>
    <row r="64" spans="10:11" x14ac:dyDescent="0.2">
      <c r="J64" s="190"/>
      <c r="K64" s="190"/>
    </row>
    <row r="65" spans="10:11" x14ac:dyDescent="0.2">
      <c r="J65" s="190"/>
      <c r="K65" s="190"/>
    </row>
    <row r="66" spans="10:11" x14ac:dyDescent="0.2">
      <c r="J66" s="190"/>
      <c r="K66" s="190"/>
    </row>
    <row r="67" spans="10:11" x14ac:dyDescent="0.2">
      <c r="J67" s="190"/>
      <c r="K67" s="190"/>
    </row>
    <row r="68" spans="10:11" x14ac:dyDescent="0.2">
      <c r="J68" s="190"/>
      <c r="K68" s="190"/>
    </row>
    <row r="69" spans="10:11" x14ac:dyDescent="0.2">
      <c r="J69" s="190"/>
      <c r="K69" s="190"/>
    </row>
    <row r="70" spans="10:11" x14ac:dyDescent="0.2">
      <c r="J70" s="190"/>
      <c r="K70" s="190"/>
    </row>
    <row r="71" spans="10:11" x14ac:dyDescent="0.2">
      <c r="J71" s="190"/>
      <c r="K71" s="190"/>
    </row>
    <row r="72" spans="10:11" x14ac:dyDescent="0.2">
      <c r="J72" s="190"/>
      <c r="K72" s="190"/>
    </row>
    <row r="73" spans="10:11" x14ac:dyDescent="0.2">
      <c r="J73" s="190"/>
      <c r="K73" s="190"/>
    </row>
    <row r="74" spans="10:11" x14ac:dyDescent="0.2">
      <c r="J74" s="190"/>
      <c r="K74" s="190"/>
    </row>
    <row r="75" spans="10:11" x14ac:dyDescent="0.2">
      <c r="J75" s="190"/>
      <c r="K75" s="190"/>
    </row>
    <row r="76" spans="10:11" x14ac:dyDescent="0.2">
      <c r="J76" s="190"/>
      <c r="K76" s="190"/>
    </row>
    <row r="77" spans="10:11" x14ac:dyDescent="0.2">
      <c r="J77" s="190"/>
      <c r="K77" s="190"/>
    </row>
    <row r="78" spans="10:11" x14ac:dyDescent="0.2">
      <c r="J78" s="190"/>
      <c r="K78" s="190"/>
    </row>
    <row r="79" spans="10:11" x14ac:dyDescent="0.2">
      <c r="J79" s="190"/>
      <c r="K79" s="190"/>
    </row>
    <row r="80" spans="10:11" x14ac:dyDescent="0.2">
      <c r="J80" s="190"/>
      <c r="K80" s="190"/>
    </row>
    <row r="81" spans="10:11" x14ac:dyDescent="0.2">
      <c r="J81" s="190"/>
      <c r="K81" s="190"/>
    </row>
    <row r="82" spans="10:11" x14ac:dyDescent="0.2">
      <c r="J82" s="190"/>
      <c r="K82" s="190"/>
    </row>
    <row r="83" spans="10:11" x14ac:dyDescent="0.2">
      <c r="J83" s="190"/>
      <c r="K83" s="190"/>
    </row>
    <row r="84" spans="10:11" x14ac:dyDescent="0.2">
      <c r="J84" s="190"/>
      <c r="K84" s="190"/>
    </row>
    <row r="85" spans="10:11" x14ac:dyDescent="0.2">
      <c r="J85" s="190"/>
      <c r="K85" s="190"/>
    </row>
    <row r="86" spans="10:11" x14ac:dyDescent="0.2">
      <c r="J86" s="190"/>
      <c r="K86" s="190"/>
    </row>
    <row r="87" spans="10:11" x14ac:dyDescent="0.2">
      <c r="J87" s="190"/>
      <c r="K87" s="190"/>
    </row>
    <row r="88" spans="10:11" x14ac:dyDescent="0.2">
      <c r="J88" s="190"/>
      <c r="K88" s="190"/>
    </row>
    <row r="89" spans="10:11" x14ac:dyDescent="0.2">
      <c r="J89" s="190"/>
      <c r="K89" s="190"/>
    </row>
    <row r="90" spans="10:11" x14ac:dyDescent="0.2">
      <c r="J90" s="190"/>
      <c r="K90" s="190"/>
    </row>
    <row r="91" spans="10:11" x14ac:dyDescent="0.2">
      <c r="J91" s="190"/>
      <c r="K91" s="190"/>
    </row>
    <row r="92" spans="10:11" x14ac:dyDescent="0.2">
      <c r="J92" s="190"/>
      <c r="K92" s="190"/>
    </row>
    <row r="93" spans="10:11" x14ac:dyDescent="0.2">
      <c r="J93" s="190"/>
      <c r="K93" s="190"/>
    </row>
    <row r="94" spans="10:11" x14ac:dyDescent="0.2">
      <c r="J94" s="190"/>
      <c r="K94" s="190"/>
    </row>
    <row r="95" spans="10:11" x14ac:dyDescent="0.2">
      <c r="J95" s="190"/>
      <c r="K95" s="190"/>
    </row>
    <row r="96" spans="10:11" x14ac:dyDescent="0.2">
      <c r="J96" s="190"/>
      <c r="K96" s="190"/>
    </row>
    <row r="97" spans="10:11" x14ac:dyDescent="0.2">
      <c r="J97" s="190"/>
      <c r="K97" s="190"/>
    </row>
    <row r="98" spans="10:11" x14ac:dyDescent="0.2">
      <c r="J98" s="190"/>
      <c r="K98" s="190"/>
    </row>
    <row r="99" spans="10:11" x14ac:dyDescent="0.2">
      <c r="J99" s="190"/>
      <c r="K99" s="190"/>
    </row>
    <row r="100" spans="10:11" x14ac:dyDescent="0.2">
      <c r="J100" s="190"/>
      <c r="K100" s="190"/>
    </row>
    <row r="101" spans="10:11" x14ac:dyDescent="0.2">
      <c r="J101" s="190"/>
      <c r="K101" s="190"/>
    </row>
    <row r="102" spans="10:11" x14ac:dyDescent="0.2">
      <c r="J102" s="190"/>
      <c r="K102" s="190"/>
    </row>
    <row r="103" spans="10:11" x14ac:dyDescent="0.2">
      <c r="J103" s="190"/>
      <c r="K103" s="190"/>
    </row>
    <row r="104" spans="10:11" x14ac:dyDescent="0.2">
      <c r="J104" s="190"/>
      <c r="K104" s="190"/>
    </row>
    <row r="105" spans="10:11" x14ac:dyDescent="0.2">
      <c r="J105" s="190"/>
      <c r="K105" s="190"/>
    </row>
    <row r="106" spans="10:11" x14ac:dyDescent="0.2">
      <c r="J106" s="190"/>
      <c r="K106" s="190"/>
    </row>
    <row r="107" spans="10:11" x14ac:dyDescent="0.2">
      <c r="J107" s="190"/>
      <c r="K107" s="190"/>
    </row>
    <row r="108" spans="10:11" x14ac:dyDescent="0.2">
      <c r="J108" s="190"/>
      <c r="K108" s="190"/>
    </row>
    <row r="109" spans="10:11" x14ac:dyDescent="0.2">
      <c r="J109" s="190"/>
      <c r="K109" s="190"/>
    </row>
    <row r="110" spans="10:11" x14ac:dyDescent="0.2">
      <c r="J110" s="190"/>
      <c r="K110" s="190"/>
    </row>
    <row r="111" spans="10:11" x14ac:dyDescent="0.2">
      <c r="J111" s="174"/>
      <c r="K111" s="190"/>
    </row>
    <row r="112" spans="10:11" x14ac:dyDescent="0.2">
      <c r="J112" s="174"/>
      <c r="K112" s="190"/>
    </row>
    <row r="113" spans="10:11" x14ac:dyDescent="0.2">
      <c r="J113" s="174"/>
      <c r="K113" s="190"/>
    </row>
    <row r="114" spans="10:11" x14ac:dyDescent="0.2">
      <c r="J114" s="174"/>
      <c r="K114" s="190"/>
    </row>
    <row r="115" spans="10:11" x14ac:dyDescent="0.2">
      <c r="J115" s="174"/>
      <c r="K115" s="190"/>
    </row>
    <row r="116" spans="10:11" x14ac:dyDescent="0.2">
      <c r="J116" s="174"/>
      <c r="K116" s="190"/>
    </row>
    <row r="117" spans="10:11" x14ac:dyDescent="0.2">
      <c r="J117" s="174"/>
      <c r="K117" s="174"/>
    </row>
    <row r="118" spans="10:11" x14ac:dyDescent="0.2">
      <c r="J118" s="174"/>
      <c r="K118" s="174"/>
    </row>
    <row r="119" spans="10:11" x14ac:dyDescent="0.2">
      <c r="J119" s="174"/>
      <c r="K119" s="174"/>
    </row>
    <row r="120" spans="10:11" x14ac:dyDescent="0.2">
      <c r="J120" s="174"/>
      <c r="K120" s="174"/>
    </row>
    <row r="121" spans="10:11" x14ac:dyDescent="0.2">
      <c r="J121" s="174"/>
      <c r="K121" s="174"/>
    </row>
    <row r="122" spans="10:11" x14ac:dyDescent="0.2">
      <c r="J122" s="174"/>
      <c r="K122" s="174"/>
    </row>
    <row r="123" spans="10:11" x14ac:dyDescent="0.2">
      <c r="J123" s="174"/>
      <c r="K123" s="174"/>
    </row>
    <row r="124" spans="10:11" x14ac:dyDescent="0.2">
      <c r="J124" s="174"/>
      <c r="K124" s="174"/>
    </row>
    <row r="125" spans="10:11" x14ac:dyDescent="0.2">
      <c r="J125" s="174"/>
      <c r="K125" s="174"/>
    </row>
    <row r="126" spans="10:11" x14ac:dyDescent="0.2">
      <c r="J126" s="174"/>
      <c r="K126" s="174"/>
    </row>
    <row r="127" spans="10:11" x14ac:dyDescent="0.2">
      <c r="K127" s="174"/>
    </row>
    <row r="128" spans="10:11" x14ac:dyDescent="0.2">
      <c r="K128" s="174"/>
    </row>
    <row r="129" spans="11:11" x14ac:dyDescent="0.2">
      <c r="K129" s="174"/>
    </row>
    <row r="130" spans="11:11" x14ac:dyDescent="0.2">
      <c r="K130" s="174"/>
    </row>
    <row r="131" spans="11:11" x14ac:dyDescent="0.2">
      <c r="K131" s="174"/>
    </row>
    <row r="132" spans="11:11" x14ac:dyDescent="0.2">
      <c r="K132" s="174"/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48" priority="5">
      <formula>$P$3</formula>
    </cfRule>
  </conditionalFormatting>
  <conditionalFormatting sqref="N4">
    <cfRule type="expression" dxfId="47" priority="4">
      <formula>$P$4</formula>
    </cfRule>
  </conditionalFormatting>
  <conditionalFormatting sqref="N5">
    <cfRule type="expression" dxfId="46" priority="3">
      <formula>$P$5</formula>
    </cfRule>
  </conditionalFormatting>
  <conditionalFormatting sqref="N6">
    <cfRule type="expression" dxfId="45" priority="2">
      <formula>$P$6</formula>
    </cfRule>
  </conditionalFormatting>
  <conditionalFormatting sqref="N7">
    <cfRule type="expression" dxfId="44" priority="1">
      <formula>$P$7</formula>
    </cfRule>
  </conditionalFormatting>
  <dataValidations count="4">
    <dataValidation type="list" allowBlank="1" showInputMessage="1" showErrorMessage="1" sqref="D25">
      <formula1>"flat,linear,quadratic"</formula1>
    </dataValidation>
    <dataValidation type="list" allowBlank="1" showInputMessage="1" showErrorMessage="1" sqref="E14">
      <formula1>"FRA,FIX+FRA,INTERP+FRA"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tabSelected="1" workbookViewId="0"/>
  </sheetViews>
  <sheetFormatPr defaultColWidth="9.5" defaultRowHeight="11.25" outlineLevelCol="1" x14ac:dyDescent="0.2"/>
  <cols>
    <col min="1" max="1" width="3.5" style="173" customWidth="1"/>
    <col min="2" max="2" width="2.33203125" style="173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2.33203125" style="173" bestFit="1" customWidth="1"/>
    <col min="23" max="23" width="10.83203125" style="173" customWidth="1"/>
    <col min="24" max="24" width="2.33203125" style="173" bestFit="1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9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140</v>
      </c>
      <c r="H2" s="186"/>
      <c r="I2" s="186" t="s">
        <v>82</v>
      </c>
      <c r="J2" s="186" t="s">
        <v>37</v>
      </c>
      <c r="K2" s="200"/>
      <c r="L2" s="200"/>
      <c r="M2" s="187"/>
      <c r="P2" s="186" t="s">
        <v>142</v>
      </c>
      <c r="W2" s="236" t="s">
        <v>118</v>
      </c>
      <c r="AA2" s="420" t="s">
        <v>117</v>
      </c>
      <c r="AB2" s="420"/>
      <c r="AC2" s="420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410" t="str">
        <f>$E$9&amp;"LastFixing"&amp;QuoteSuffix</f>
        <v>Euribor3MLastFixing_Quote</v>
      </c>
      <c r="E3" s="411">
        <f>_xll.qlCalendarAdvance(Calendar,_xll.qlLastFixingQuoteReferenceDate($D$3),_xll.qlInterestRateIndexFixingDays($E$9)&amp;"D","f",,LastFixingsTrigger)</f>
        <v>41953</v>
      </c>
      <c r="F3" s="411">
        <f>_xll.qlInterestRateIndexMaturity($E$9,E3)</f>
        <v>42045</v>
      </c>
      <c r="G3" s="410" t="str">
        <f>_xll.qlMakeDatedOIS(,E3,F3,OvernightIndex,0,,,,EvaluationDate)</f>
        <v>obj_00501#0004</v>
      </c>
      <c r="H3" s="411" t="b">
        <f>_xll.qlInstrumentSetPricingEngine(G3,OisEngine)</f>
        <v>1</v>
      </c>
      <c r="I3" s="412">
        <f>_xll.qlQuoteValue($D3,AllTriggers)</f>
        <v>8.0999999999999985E-4</v>
      </c>
      <c r="J3" s="413" t="e">
        <f>_xll.qlOvernightIndexedSwapFairRate(G3,_xll.ohTrigger(H3,InterestRatesTrigger))</f>
        <v>#NUM!</v>
      </c>
      <c r="K3" s="414">
        <f>I3*_xll.qlDayCounterYearFraction(DayCounter3M,E3,F3,,,)</f>
        <v>2.0699999999999994E-4</v>
      </c>
      <c r="L3" s="414" t="e">
        <f>J3*_xll.qlDayCounterYearFraction(DayCounterOIS,E3,F3,,,)</f>
        <v>#NUM!</v>
      </c>
      <c r="M3" s="415" t="e">
        <f>K3-L3</f>
        <v>#NUM!</v>
      </c>
      <c r="P3" s="212" t="b">
        <f>IF(E14="FUT",FALSE,IF(E14="FIX+FUT",TRUE,FALSE))</f>
        <v>0</v>
      </c>
      <c r="R3" s="421" t="s">
        <v>111</v>
      </c>
      <c r="S3" s="192">
        <f t="array" ref="S3:S5">_xll.ohFilter(N10:N14,P10:P14)</f>
        <v>5.3378164279024665E-3</v>
      </c>
      <c r="T3" s="193">
        <f t="array" ref="T3:T5">_xll.ohFilter(M10:M14,P10:P14)</f>
        <v>3.1765809720397831E-2</v>
      </c>
      <c r="U3" s="194">
        <f t="array" ref="U3:U5">_xll.ohFilter(L10:L14,P10:P14)</f>
        <v>0.25205479452054796</v>
      </c>
      <c r="V3" s="188"/>
      <c r="W3" s="196">
        <f t="array" ref="W3:W5">MMULT(AA3:AC5,Y3:Y5)</f>
        <v>-1.4978392783601691E-4</v>
      </c>
      <c r="X3" s="197"/>
      <c r="Y3" s="177">
        <f t="array" ref="Y3:Y5">_xll.ohFilter(M3:M7,P3:P7)</f>
        <v>2.6828362910007132E-4</v>
      </c>
      <c r="AA3" s="192">
        <f t="array" ref="AA3:AC5">MINVERSE(S3:U5)</f>
        <v>1950.3012130220768</v>
      </c>
      <c r="AB3" s="193">
        <v>-2528.1682391026925</v>
      </c>
      <c r="AC3" s="194">
        <v>590.70851554907335</v>
      </c>
      <c r="AF3" s="205">
        <f>SettlementDate</f>
        <v>41954</v>
      </c>
      <c r="AG3" s="219">
        <f>_xll.qlDayCounterYearFraction(DayCounterON,SettlementDate,AF3,,,Trigger)</f>
        <v>0</v>
      </c>
      <c r="AH3" s="206">
        <f t="shared" ref="AH3:AH65" si="0">$W$13</f>
        <v>1.0643861371905003E-3</v>
      </c>
      <c r="AI3" s="206">
        <f t="shared" ref="AI3:AI65" si="1">$W$10+$W$9*AG3</f>
        <v>8.9686271618956426E-4</v>
      </c>
      <c r="AJ3" s="207">
        <f t="shared" ref="AJ3:AJ65" si="2">($W$5+$W$4*AG3+$W$3*AG3^2)</f>
        <v>8.9486297380154088E-4</v>
      </c>
    </row>
    <row r="4" spans="1:36" x14ac:dyDescent="0.2">
      <c r="D4" s="233" t="s">
        <v>153</v>
      </c>
      <c r="E4" s="176">
        <f>SettlementDate</f>
        <v>41954</v>
      </c>
      <c r="F4" s="176">
        <f>_xll.qlInterestRateIndexMaturity($E$9,E4)</f>
        <v>42046</v>
      </c>
      <c r="G4" s="175" t="str">
        <f>_xll.qlMakeDatedOIS(,E4,F4,OvernightIndex,0,,,,EvaluationDate)</f>
        <v>obj_0058a#0001</v>
      </c>
      <c r="H4" s="176" t="b">
        <f>_xll.qlInstrumentSetPricingEngine(G4,OisEngine)</f>
        <v>1</v>
      </c>
      <c r="I4" s="177">
        <f>J4+interpolatedbasis3M</f>
        <v>7.984175569114493E-4</v>
      </c>
      <c r="J4" s="178">
        <f>_xll.qlOvernightIndexedSwapFairRate(G4,_xll.ohTrigger(H4,InterestRatesTrigger))</f>
        <v>-2.5138794826274274E-4</v>
      </c>
      <c r="K4" s="201">
        <f>I4*_xll.qlDayCounterYearFraction(DayCounter3M,E4,F4,,,)</f>
        <v>2.0404004232181481E-4</v>
      </c>
      <c r="L4" s="201">
        <f>J4*_xll.qlDayCounterYearFraction(DayCounterOIS,E4,F4,,,)</f>
        <v>-6.4243586778256478E-5</v>
      </c>
      <c r="M4" s="212">
        <f>K4-L4</f>
        <v>2.6828362910007132E-4</v>
      </c>
      <c r="P4" s="212" t="b">
        <f>IF(E14="FUT",FALSE,IF(E14="FIX+FUT",FALSE,TRUE))</f>
        <v>1</v>
      </c>
      <c r="R4" s="421"/>
      <c r="S4" s="192">
        <v>6.8513749613341645E-3</v>
      </c>
      <c r="T4" s="193">
        <v>3.7290298367423529E-2</v>
      </c>
      <c r="U4" s="194">
        <v>0.25205479452054791</v>
      </c>
      <c r="V4" s="189" t="s">
        <v>40</v>
      </c>
      <c r="W4" s="196">
        <v>1.3702986200652759E-3</v>
      </c>
      <c r="X4" s="189" t="s">
        <v>41</v>
      </c>
      <c r="Y4" s="177">
        <v>2.7562712152750954E-4</v>
      </c>
      <c r="AA4" s="192">
        <v>-715.34132771897225</v>
      </c>
      <c r="AB4" s="193">
        <v>873.66106089174366</v>
      </c>
      <c r="AC4" s="194">
        <v>-161.83794946549935</v>
      </c>
      <c r="AF4" s="208">
        <f>_xll.qlCalendarAdvance(Calendar,AF3,"1d","mf",,Trigger)</f>
        <v>41955</v>
      </c>
      <c r="AG4" s="219">
        <f>_xll.qlDayCounterYearFraction(DayCounterON,SettlementDate,AF4,,,Trigger)</f>
        <v>2.7397260273972603E-3</v>
      </c>
      <c r="AH4" s="209">
        <f t="shared" si="0"/>
        <v>1.0643861371905003E-3</v>
      </c>
      <c r="AI4" s="209">
        <f t="shared" si="1"/>
        <v>9.0050452968958462E-4</v>
      </c>
      <c r="AJ4" s="179">
        <f t="shared" si="2"/>
        <v>8.9861609230329346E-4</v>
      </c>
    </row>
    <row r="5" spans="1:36" x14ac:dyDescent="0.2">
      <c r="A5" s="191"/>
      <c r="B5" s="191"/>
      <c r="C5" s="173" t="str">
        <f>_xll.qlIMMNextCode(SettlementDate-1,NOT(E15))</f>
        <v>X4</v>
      </c>
      <c r="D5" s="175" t="str">
        <f>Currency&amp;"FUT3M"&amp;C5&amp;QuoteSuffix</f>
        <v>EURFUT3MX4_Quote</v>
      </c>
      <c r="E5" s="176">
        <f>_xll.qlIMMdate(C5)</f>
        <v>41962</v>
      </c>
      <c r="F5" s="176">
        <f>_xll.qlInterestRateIndexMaturity($E$9,E5)</f>
        <v>42054</v>
      </c>
      <c r="G5" s="175" t="str">
        <f>_xll.qlMakeDatedOIS(,E5,F5,OvernightIndex,0,,,,EvaluationDate)</f>
        <v>obj_0059b#0001</v>
      </c>
      <c r="H5" s="176" t="b">
        <f>_xll.qlInstrumentSetPricingEngine(G5,OisEngine)</f>
        <v>1</v>
      </c>
      <c r="I5" s="177">
        <f>1-_xll.qlQuoteValue($D5,AllTriggers)/100</f>
        <v>8.0000000000002292E-4</v>
      </c>
      <c r="J5" s="178">
        <f>_xll.qlOvernightIndexedSwapFairRate(G5,_xll.ohTrigger(H5,InterestRatesTrigger))</f>
        <v>-2.7854091032501451E-4</v>
      </c>
      <c r="K5" s="201">
        <f>I5*_xll.qlDayCounterYearFraction(DayCounter3M,E5,F5,,,)</f>
        <v>2.0444444444445029E-4</v>
      </c>
      <c r="L5" s="201">
        <f>J5*_xll.qlDayCounterYearFraction(DayCounterOIS,E5,F5,,,)</f>
        <v>-7.1182677083059254E-5</v>
      </c>
      <c r="M5" s="212">
        <f>K5-L5</f>
        <v>2.7562712152750954E-4</v>
      </c>
      <c r="P5" s="212" t="b">
        <v>1</v>
      </c>
      <c r="R5" s="421"/>
      <c r="S5" s="192">
        <v>1.3392525262392136E-2</v>
      </c>
      <c r="T5" s="193">
        <v>5.4719459560893233E-2</v>
      </c>
      <c r="U5" s="194">
        <v>0.24657534246575347</v>
      </c>
      <c r="V5" s="191"/>
      <c r="W5" s="196">
        <v>8.9486297380154088E-4</v>
      </c>
      <c r="X5" s="189"/>
      <c r="Y5" s="177">
        <v>2.9362715911460113E-4</v>
      </c>
      <c r="AA5" s="192">
        <v>52.818065502598351</v>
      </c>
      <c r="AB5" s="193">
        <v>-56.565688775509948</v>
      </c>
      <c r="AC5" s="194">
        <v>7.8864593456429501</v>
      </c>
      <c r="AF5" s="208">
        <f>_xll.qlCalendarAdvance(Calendar,AF4,"1d","mf",,Trigger)</f>
        <v>41956</v>
      </c>
      <c r="AG5" s="219">
        <f>_xll.qlDayCounterYearFraction(DayCounterON,SettlementDate,AF5,,,Trigger)</f>
        <v>5.4794520547945206E-3</v>
      </c>
      <c r="AH5" s="209">
        <f t="shared" si="0"/>
        <v>1.0643861371905003E-3</v>
      </c>
      <c r="AI5" s="209">
        <f t="shared" si="1"/>
        <v>9.0414634318960498E-4</v>
      </c>
      <c r="AJ5" s="179">
        <f t="shared" si="2"/>
        <v>9.0236696221915249E-4</v>
      </c>
    </row>
    <row r="6" spans="1:36" x14ac:dyDescent="0.2">
      <c r="A6" s="191"/>
      <c r="B6" s="191"/>
      <c r="C6" s="232" t="str">
        <f>_xll.qlIMMNextCode(E5,TRUE)</f>
        <v>Z4</v>
      </c>
      <c r="D6" s="175" t="str">
        <f>Currency&amp;"FUT3M"&amp;C6&amp;QuoteSuffix</f>
        <v>EURFUT3MZ4_Quote</v>
      </c>
      <c r="E6" s="176">
        <f>_xll.qlIMMdate(C6)</f>
        <v>41990</v>
      </c>
      <c r="F6" s="176">
        <f>_xll.qlInterestRateIndexMaturity($E$9,E6)</f>
        <v>42080</v>
      </c>
      <c r="G6" s="175" t="str">
        <f>_xll.qlMakeDatedOIS(,E6,F6,OvernightIndex,0,,,,EvaluationDate)</f>
        <v>obj_005b2#0001</v>
      </c>
      <c r="H6" s="176" t="b">
        <f>_xll.qlInstrumentSetPricingEngine(G6,OisEngine)</f>
        <v>1</v>
      </c>
      <c r="I6" s="177">
        <f>1-_xll.qlQuoteValue($D6,AllTriggers)/100</f>
        <v>8.7500000000007017E-4</v>
      </c>
      <c r="J6" s="178">
        <f>_xll.qlOvernightIndexedSwapFairRate(G6,_xll.ohTrigger(H6,InterestRatesTrigger))</f>
        <v>-2.9950863645833437E-4</v>
      </c>
      <c r="K6" s="201">
        <f>I6*_xll.qlDayCounterYearFraction(DayCounter3M,E6,F6,,,)</f>
        <v>2.1875000000001754E-4</v>
      </c>
      <c r="L6" s="201">
        <f>J6*_xll.qlDayCounterYearFraction(DayCounterOIS,E6,F6,,,)</f>
        <v>-7.4877159114583591E-5</v>
      </c>
      <c r="M6" s="212">
        <f>K6-L6</f>
        <v>2.9362715911460113E-4</v>
      </c>
      <c r="P6" s="212" t="b">
        <v>1</v>
      </c>
      <c r="W6" s="198"/>
      <c r="X6" s="237"/>
      <c r="Y6" s="199"/>
      <c r="AF6" s="208">
        <f>_xll.qlCalendarAdvance(Calendar,AF5,"1d","mf",,Trigger)</f>
        <v>41957</v>
      </c>
      <c r="AG6" s="219">
        <f>_xll.qlDayCounterYearFraction(DayCounterON,SettlementDate,AF6,,,Trigger)</f>
        <v>8.21917808219178E-3</v>
      </c>
      <c r="AH6" s="209">
        <f t="shared" si="0"/>
        <v>1.0643861371905003E-3</v>
      </c>
      <c r="AI6" s="209">
        <f t="shared" si="1"/>
        <v>9.0778815668962533E-4</v>
      </c>
      <c r="AJ6" s="179">
        <f t="shared" si="2"/>
        <v>9.0611558354911797E-4</v>
      </c>
    </row>
    <row r="7" spans="1:36" ht="12" thickBot="1" x14ac:dyDescent="0.25">
      <c r="A7" s="191"/>
      <c r="B7" s="191"/>
      <c r="C7" s="232" t="str">
        <f>_xll.qlIMMNextCode(E6,TRUE)</f>
        <v>H5</v>
      </c>
      <c r="D7" s="180" t="str">
        <f>Currency&amp;"FUT3M"&amp;C7&amp;QuoteSuffix</f>
        <v>EURFUT3MH5_Quote</v>
      </c>
      <c r="E7" s="181">
        <f>_xll.qlIMMdate(C7)</f>
        <v>42081</v>
      </c>
      <c r="F7" s="181">
        <f>_xll.qlInterestRateIndexMaturity($E$9,E7)</f>
        <v>42173</v>
      </c>
      <c r="G7" s="180" t="str">
        <f>_xll.qlMakeDatedOIS(,E7,F7,OvernightIndex,0,,,,EvaluationDate)</f>
        <v>obj_005b4#0001</v>
      </c>
      <c r="H7" s="181" t="b">
        <f>_xll.qlInstrumentSetPricingEngine(G7,OisEngine)</f>
        <v>1</v>
      </c>
      <c r="I7" s="183">
        <f>1-_xll.qlQuoteValue($D7,AllTriggers)/100</f>
        <v>8.2499999999996465E-4</v>
      </c>
      <c r="J7" s="183">
        <f>_xll.qlOvernightIndexedSwapFairRate(G7,_xll.ohTrigger(H7,InterestRatesTrigger))</f>
        <v>-5.1317353141986679E-4</v>
      </c>
      <c r="K7" s="202">
        <f>I7*_xll.qlDayCounterYearFraction(DayCounter3M,E7,F7,,,)</f>
        <v>2.1083333333332427E-4</v>
      </c>
      <c r="L7" s="202">
        <f>J7*_xll.qlDayCounterYearFraction(DayCounterOIS,E7,F7,,,)</f>
        <v>-1.311443469184104E-4</v>
      </c>
      <c r="M7" s="213">
        <f>K7-L7</f>
        <v>3.4197768025173464E-4</v>
      </c>
      <c r="P7" s="213" t="b">
        <f>IF(E14="FUT",TRUE,FALSE)</f>
        <v>0</v>
      </c>
      <c r="W7" s="198"/>
      <c r="X7" s="237"/>
      <c r="Y7" s="199"/>
      <c r="AF7" s="208">
        <f>_xll.qlCalendarAdvance(Calendar,AF6,"1d","mf",,Trigger)</f>
        <v>41960</v>
      </c>
      <c r="AG7" s="219">
        <f>_xll.qlDayCounterYearFraction(DayCounterON,SettlementDate,AF7,,,Trigger)</f>
        <v>1.643835616438356E-2</v>
      </c>
      <c r="AH7" s="209">
        <f t="shared" si="0"/>
        <v>1.0643861371905003E-3</v>
      </c>
      <c r="AI7" s="209">
        <f t="shared" si="1"/>
        <v>9.1871359718968641E-4</v>
      </c>
      <c r="AJ7" s="179">
        <f t="shared" si="2"/>
        <v>9.1734795602365282E-4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41961</v>
      </c>
      <c r="AG8" s="219">
        <f>_xll.qlDayCounterYearFraction(DayCounterON,SettlementDate,AF8,,,Trigger)</f>
        <v>1.9178082191780823E-2</v>
      </c>
      <c r="AH8" s="209">
        <f t="shared" si="0"/>
        <v>1.0643861371905003E-3</v>
      </c>
      <c r="AI8" s="209">
        <f t="shared" si="1"/>
        <v>9.2235541068970677E-4</v>
      </c>
      <c r="AJ8" s="179">
        <f t="shared" si="2"/>
        <v>9.210875830100439E-4</v>
      </c>
    </row>
    <row r="9" spans="1:36" x14ac:dyDescent="0.2">
      <c r="D9" s="185" t="s">
        <v>137</v>
      </c>
      <c r="E9" s="230" t="s">
        <v>150</v>
      </c>
      <c r="J9" s="185"/>
      <c r="K9" s="186"/>
      <c r="L9" s="186" t="s">
        <v>120</v>
      </c>
      <c r="M9" s="200" t="s">
        <v>121</v>
      </c>
      <c r="N9" s="187" t="s">
        <v>122</v>
      </c>
      <c r="P9" s="187" t="s">
        <v>142</v>
      </c>
      <c r="R9" s="420" t="s">
        <v>112</v>
      </c>
      <c r="S9" s="239"/>
      <c r="T9" s="192">
        <f t="array" ref="T9:T10">_xll.ohFilter(M10:M14,P10:P14)</f>
        <v>3.1765809720397831E-2</v>
      </c>
      <c r="U9" s="194">
        <f t="array" ref="U9:U10">_xll.ohFilter(L10:L14,P10:P14)</f>
        <v>0.25205479452054796</v>
      </c>
      <c r="V9" s="422" t="s">
        <v>40</v>
      </c>
      <c r="W9" s="196">
        <f t="array" ref="W9:W10">MMULT(AA9:AB10,Y9:Y10)</f>
        <v>1.3292619275074302E-3</v>
      </c>
      <c r="X9" s="422" t="s">
        <v>41</v>
      </c>
      <c r="Y9" s="177">
        <f t="array" ref="Y9:Y10">_xll.ohFilter(M3:M7,P3:P7)</f>
        <v>2.6828362910007132E-4</v>
      </c>
      <c r="AA9" s="192">
        <f t="array" ref="AA9:AB10">MINVERSE(T9:U10)</f>
        <v>-181.01222826086962</v>
      </c>
      <c r="AB9" s="194">
        <v>181.01222826086968</v>
      </c>
      <c r="AF9" s="208">
        <f>_xll.qlCalendarAdvance(Calendar,AF8,"1d","mf",,Trigger)</f>
        <v>41962</v>
      </c>
      <c r="AG9" s="219">
        <f>_xll.qlDayCounterYearFraction(DayCounterON,SettlementDate,AF9,,,Trigger)</f>
        <v>2.1917808219178082E-2</v>
      </c>
      <c r="AH9" s="209">
        <f t="shared" si="0"/>
        <v>1.0643861371905003E-3</v>
      </c>
      <c r="AI9" s="209">
        <f t="shared" si="1"/>
        <v>9.2599722418972713E-4</v>
      </c>
      <c r="AJ9" s="179">
        <f t="shared" si="2"/>
        <v>9.2482496141054144E-4</v>
      </c>
    </row>
    <row r="10" spans="1:36" ht="11.25" customHeight="1" x14ac:dyDescent="0.2">
      <c r="D10" s="203" t="s">
        <v>135</v>
      </c>
      <c r="E10" s="231" t="s">
        <v>16</v>
      </c>
      <c r="J10" s="240">
        <f>_xll.qlDayCounterYearFraction(DayCounterON,SettlementDate,E3,,,Trigger)</f>
        <v>-2.7397260273972603E-3</v>
      </c>
      <c r="K10" s="241">
        <f>_xll.qlDayCounterYearFraction(DayCounterON,SettlementDate,F3,,,Trigger)</f>
        <v>0.24931506849315069</v>
      </c>
      <c r="L10" s="241">
        <f>K10-J10</f>
        <v>0.25205479452054796</v>
      </c>
      <c r="M10" s="241">
        <f>(K10^2-J10^2)/2</f>
        <v>3.1075248639519607E-2</v>
      </c>
      <c r="N10" s="242">
        <f>(K10^3-J10^3)/3</f>
        <v>5.1656491447246095E-3</v>
      </c>
      <c r="P10" s="242" t="b">
        <f>P3</f>
        <v>0</v>
      </c>
      <c r="R10" s="420"/>
      <c r="S10" s="239"/>
      <c r="T10" s="192">
        <v>3.7290298367423529E-2</v>
      </c>
      <c r="U10" s="194">
        <v>0.25205479452054791</v>
      </c>
      <c r="V10" s="422"/>
      <c r="W10" s="196">
        <v>8.9686271618956426E-4</v>
      </c>
      <c r="X10" s="422"/>
      <c r="Y10" s="177">
        <v>2.7562712152750954E-4</v>
      </c>
      <c r="AA10" s="192">
        <v>26.779891304347839</v>
      </c>
      <c r="AB10" s="194">
        <v>-22.812500000000018</v>
      </c>
      <c r="AF10" s="208">
        <f>_xll.qlCalendarAdvance(Calendar,AF9,"1d","mf",,Trigger)</f>
        <v>41963</v>
      </c>
      <c r="AG10" s="219">
        <f>_xll.qlDayCounterYearFraction(DayCounterON,SettlementDate,AF10,,,Trigger)</f>
        <v>2.4657534246575342E-2</v>
      </c>
      <c r="AH10" s="209">
        <f t="shared" si="0"/>
        <v>1.0643861371905003E-3</v>
      </c>
      <c r="AI10" s="209">
        <f t="shared" si="1"/>
        <v>9.2963903768974749E-4</v>
      </c>
      <c r="AJ10" s="179">
        <f t="shared" si="2"/>
        <v>9.2856009122514543E-4</v>
      </c>
    </row>
    <row r="11" spans="1:36" ht="11.25" customHeight="1" x14ac:dyDescent="0.2">
      <c r="D11" s="203" t="s">
        <v>114</v>
      </c>
      <c r="E11" s="231" t="s">
        <v>16</v>
      </c>
      <c r="J11" s="240">
        <f>_xll.qlDayCounterYearFraction(DayCounterON,SettlementDate,E4,,,Trigger)</f>
        <v>0</v>
      </c>
      <c r="K11" s="241">
        <f>_xll.qlDayCounterYearFraction(DayCounterON,SettlementDate,F4,,,Trigger)</f>
        <v>0.25205479452054796</v>
      </c>
      <c r="L11" s="241">
        <f>K11-J11</f>
        <v>0.25205479452054796</v>
      </c>
      <c r="M11" s="241">
        <f>(K11^2-J11^2)/2</f>
        <v>3.1765809720397831E-2</v>
      </c>
      <c r="N11" s="242">
        <f>(K11^3-J11^3)/3</f>
        <v>5.3378164279024665E-3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41964</v>
      </c>
      <c r="AG11" s="219">
        <f>_xll.qlDayCounterYearFraction(DayCounterON,SettlementDate,AF11,,,Trigger)</f>
        <v>2.7397260273972601E-2</v>
      </c>
      <c r="AH11" s="209">
        <f t="shared" si="0"/>
        <v>1.0643861371905003E-3</v>
      </c>
      <c r="AI11" s="209">
        <f t="shared" si="1"/>
        <v>9.3328085118976785E-4</v>
      </c>
      <c r="AJ11" s="179">
        <f t="shared" si="2"/>
        <v>9.3229297245385576E-4</v>
      </c>
    </row>
    <row r="12" spans="1:36" ht="11.25" customHeight="1" thickBot="1" x14ac:dyDescent="0.25">
      <c r="D12" s="203" t="s">
        <v>115</v>
      </c>
      <c r="E12" s="231" t="s">
        <v>116</v>
      </c>
      <c r="J12" s="240">
        <f>_xll.qlDayCounterYearFraction(DayCounterON,SettlementDate,E5,,,Trigger)</f>
        <v>2.1917808219178082E-2</v>
      </c>
      <c r="K12" s="241">
        <f>_xll.qlDayCounterYearFraction(DayCounterON,SettlementDate,F5,,,Trigger)</f>
        <v>0.27397260273972601</v>
      </c>
      <c r="L12" s="241">
        <f>K12-J12</f>
        <v>0.25205479452054791</v>
      </c>
      <c r="M12" s="241">
        <f>(K12^2-J12^2)/2</f>
        <v>3.7290298367423529E-2</v>
      </c>
      <c r="N12" s="242">
        <f>(K12^3-J12^3)/3</f>
        <v>6.8513749613341645E-3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41967</v>
      </c>
      <c r="AG12" s="219">
        <f>_xll.qlDayCounterYearFraction(DayCounterON,SettlementDate,AF12,,,Trigger)</f>
        <v>3.5616438356164383E-2</v>
      </c>
      <c r="AH12" s="209">
        <f t="shared" si="0"/>
        <v>1.0643861371905003E-3</v>
      </c>
      <c r="AI12" s="209">
        <f t="shared" si="1"/>
        <v>9.4420629168982893E-4</v>
      </c>
      <c r="AJ12" s="179">
        <f t="shared" si="2"/>
        <v>9.4347812462462549E-4</v>
      </c>
    </row>
    <row r="13" spans="1:36" ht="11.25" customHeight="1" thickBot="1" x14ac:dyDescent="0.25">
      <c r="D13" s="203" t="s">
        <v>144</v>
      </c>
      <c r="E13" s="409" t="s">
        <v>104</v>
      </c>
      <c r="G13" s="250" t="s">
        <v>141</v>
      </c>
      <c r="H13" s="235" t="str">
        <f>_xll.qlInterpolation(,E13,E5:E7,M5:M7)</f>
        <v>obj_005be#0097</v>
      </c>
      <c r="J13" s="240">
        <f>_xll.qlDayCounterYearFraction(DayCounterON,SettlementDate,E6,,,Trigger)</f>
        <v>9.8630136986301367E-2</v>
      </c>
      <c r="K13" s="241">
        <f>_xll.qlDayCounterYearFraction(DayCounterON,SettlementDate,F6,,,Trigger)</f>
        <v>0.34520547945205482</v>
      </c>
      <c r="L13" s="241">
        <f>K13-J13</f>
        <v>0.24657534246575347</v>
      </c>
      <c r="M13" s="241">
        <f>(K13^2-J13^2)/2</f>
        <v>5.4719459560893233E-2</v>
      </c>
      <c r="N13" s="242">
        <f>(K13^3-J13^3)/3</f>
        <v>1.3392525262392136E-2</v>
      </c>
      <c r="P13" s="242" t="b">
        <f>P6</f>
        <v>1</v>
      </c>
      <c r="R13" s="229" t="s">
        <v>113</v>
      </c>
      <c r="U13" s="195">
        <f t="array" ref="U13">_xll.ohFilter(L10:L14,P10:P14)</f>
        <v>0.25205479452054796</v>
      </c>
      <c r="V13" s="229" t="s">
        <v>40</v>
      </c>
      <c r="W13" s="196">
        <f>MMULT(AA13,Y13)</f>
        <v>1.0643861371905003E-3</v>
      </c>
      <c r="X13" s="229" t="s">
        <v>41</v>
      </c>
      <c r="Y13" s="177">
        <f t="array" ref="Y13">_xll.ohFilter(M3:M7,P3:P7)</f>
        <v>2.6828362910007132E-4</v>
      </c>
      <c r="AA13" s="195">
        <f>MINVERSE(U13)</f>
        <v>3.9673913043478257</v>
      </c>
      <c r="AF13" s="208">
        <f>_xll.qlCalendarAdvance(Calendar,AF12,"1d","mf",,Trigger)</f>
        <v>41968</v>
      </c>
      <c r="AG13" s="219">
        <f>_xll.qlDayCounterYearFraction(DayCounterON,SettlementDate,AF13,,,Trigger)</f>
        <v>3.8356164383561646E-2</v>
      </c>
      <c r="AH13" s="209">
        <f t="shared" si="0"/>
        <v>1.0643861371905003E-3</v>
      </c>
      <c r="AI13" s="209">
        <f t="shared" si="1"/>
        <v>9.4784810518984929E-4</v>
      </c>
      <c r="AJ13" s="179">
        <f t="shared" si="2"/>
        <v>9.4720201150976164E-4</v>
      </c>
    </row>
    <row r="14" spans="1:36" ht="11.25" customHeight="1" thickBot="1" x14ac:dyDescent="0.25">
      <c r="D14" s="203" t="s">
        <v>148</v>
      </c>
      <c r="E14" s="435" t="s">
        <v>151</v>
      </c>
      <c r="J14" s="243">
        <f>_xll.qlDayCounterYearFraction(DayCounterON,SettlementDate,E7,,,Trigger)</f>
        <v>0.34794520547945207</v>
      </c>
      <c r="K14" s="244">
        <f>_xll.qlDayCounterYearFraction(DayCounterON,SettlementDate,F7,,,Trigger)</f>
        <v>0.6</v>
      </c>
      <c r="L14" s="244">
        <f>K14-J14</f>
        <v>0.25205479452054791</v>
      </c>
      <c r="M14" s="244">
        <f>(K14^2-J14^2)/2</f>
        <v>0.11946706699193094</v>
      </c>
      <c r="N14" s="245">
        <f>(K14^3-J14^3)/3</f>
        <v>5.7958570790822339E-2</v>
      </c>
      <c r="P14" s="245" t="b">
        <f>P7</f>
        <v>0</v>
      </c>
      <c r="AF14" s="208">
        <f>_xll.qlCalendarAdvance(Calendar,AF13,"1d","mf",,Trigger)</f>
        <v>41969</v>
      </c>
      <c r="AG14" s="219">
        <f>_xll.qlDayCounterYearFraction(DayCounterON,SettlementDate,AF14,,,Trigger)</f>
        <v>4.1095890410958902E-2</v>
      </c>
      <c r="AH14" s="209">
        <f t="shared" si="0"/>
        <v>1.0643861371905003E-3</v>
      </c>
      <c r="AI14" s="209">
        <f t="shared" si="1"/>
        <v>9.5148991868986964E-4</v>
      </c>
      <c r="AJ14" s="179">
        <f t="shared" si="2"/>
        <v>9.5092364980900413E-4</v>
      </c>
    </row>
    <row r="15" spans="1:36" ht="11.25" customHeight="1" thickBot="1" x14ac:dyDescent="0.25">
      <c r="D15" s="204" t="s">
        <v>154</v>
      </c>
      <c r="E15" s="256" t="b">
        <v>1</v>
      </c>
      <c r="P15" s="190"/>
      <c r="AF15" s="208">
        <f>_xll.qlCalendarAdvance(Calendar,AF14,"1d","mf",,Trigger)</f>
        <v>41970</v>
      </c>
      <c r="AG15" s="219">
        <f>_xll.qlDayCounterYearFraction(DayCounterON,SettlementDate,AF15,,,Trigger)</f>
        <v>4.3835616438356165E-2</v>
      </c>
      <c r="AH15" s="209">
        <f t="shared" si="0"/>
        <v>1.0643861371905003E-3</v>
      </c>
      <c r="AI15" s="209">
        <f t="shared" si="1"/>
        <v>9.5513173218989E-4</v>
      </c>
      <c r="AJ15" s="179">
        <f t="shared" si="2"/>
        <v>9.5464303952235297E-4</v>
      </c>
    </row>
    <row r="16" spans="1:36" ht="11.25" customHeight="1" thickBot="1" x14ac:dyDescent="0.25">
      <c r="M16" s="246" t="s">
        <v>152</v>
      </c>
      <c r="N16" s="247"/>
      <c r="O16" s="248"/>
      <c r="P16" s="190"/>
      <c r="AF16" s="208">
        <f>_xll.qlCalendarAdvance(Calendar,AF15,"1d","mf",,Trigger)</f>
        <v>41971</v>
      </c>
      <c r="AG16" s="219">
        <f>_xll.qlDayCounterYearFraction(DayCounterON,SettlementDate,AF16,,,Trigger)</f>
        <v>4.6575342465753428E-2</v>
      </c>
      <c r="AH16" s="209">
        <f t="shared" si="0"/>
        <v>1.0643861371905003E-3</v>
      </c>
      <c r="AI16" s="209">
        <f t="shared" si="1"/>
        <v>9.5877354568991036E-4</v>
      </c>
      <c r="AJ16" s="179">
        <f t="shared" si="2"/>
        <v>9.5836018064980827E-4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145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176</v>
      </c>
      <c r="P17" s="190"/>
      <c r="AF17" s="208">
        <f>_xll.qlCalendarAdvance(Calendar,AF16,"1d","mf",,Trigger)</f>
        <v>41974</v>
      </c>
      <c r="AG17" s="219">
        <f>_xll.qlDayCounterYearFraction(DayCounterON,SettlementDate,AF17,,,Trigger)</f>
        <v>5.4794520547945202E-2</v>
      </c>
      <c r="AH17" s="209">
        <f t="shared" si="0"/>
        <v>1.0643861371905003E-3</v>
      </c>
      <c r="AI17" s="209">
        <f t="shared" si="1"/>
        <v>9.6969898618997144E-4</v>
      </c>
      <c r="AJ17" s="179">
        <f t="shared" si="2"/>
        <v>9.6949811251681288E-4</v>
      </c>
    </row>
    <row r="18" spans="4:36" ht="11.25" customHeight="1" x14ac:dyDescent="0.2">
      <c r="D18" s="224" t="s">
        <v>46</v>
      </c>
      <c r="E18" s="215">
        <f t="shared" ref="E18:E24" si="3">SettlementDate</f>
        <v>41954</v>
      </c>
      <c r="F18" s="216">
        <f>_xll.qlCalendarAdvance(Calendar,SettlementDate,D18,"Following",,Trigger)</f>
        <v>41955</v>
      </c>
      <c r="G18" s="217" t="str">
        <f>_xll.qlMakeDatedOIS(,E18,F18,OvernightIndex,0,,,,EvaluationDate)</f>
        <v>obj_00585#0001</v>
      </c>
      <c r="H18" s="226" t="b">
        <f>_xll.qlInstrumentSetPricingEngine(G18,OisEngine)</f>
        <v>1</v>
      </c>
      <c r="I18" s="214">
        <f>_xll.qlOvernightIndexedSwapFairRate(G18,_xll.ohTrigger(InterestRatesTrigger))</f>
        <v>-2.8310668753306345E-4</v>
      </c>
      <c r="J18" s="241">
        <f>_xll.qlDayCounterYearFraction(DayCounterOIS,E18,F18,,,Trigger)</f>
        <v>2.7777777777777779E-3</v>
      </c>
      <c r="K18" s="241">
        <f>_xll.qlDayCounterYearFraction(DayCounter3M,E18,F18,,,Trigger)</f>
        <v>2.7777777777777779E-3</v>
      </c>
      <c r="L18" s="241">
        <f>_xll.qlDayCounterYearFraction(DayCounterON,E18,F18,,,Trigger)</f>
        <v>2.7397260273972603E-3</v>
      </c>
      <c r="M18" s="209">
        <f>($I18*$J18+$W$13*L18)/$K18</f>
        <v>7.6669881764112864E-4</v>
      </c>
      <c r="N18" s="209">
        <f>($I18*$J18+($W$10*L18+$W$9*L18^2/2))/$K18</f>
        <v>6.0326620084569487E-4</v>
      </c>
      <c r="O18" s="207">
        <f>($I18*$J18+($W$5*L18+$W$4*L18^2/2+$W$3*L18^3/3))/$K18</f>
        <v>6.0134892714213382E-4</v>
      </c>
      <c r="P18" s="190"/>
      <c r="AF18" s="208">
        <f>_xll.qlCalendarAdvance(Calendar,AF17,"1d","mf",,Trigger)</f>
        <v>41975</v>
      </c>
      <c r="AG18" s="219">
        <f>_xll.qlDayCounterYearFraction(DayCounterON,SettlementDate,AF18,,,Trigger)</f>
        <v>5.7534246575342465E-2</v>
      </c>
      <c r="AH18" s="209">
        <f t="shared" si="0"/>
        <v>1.0643861371905003E-3</v>
      </c>
      <c r="AI18" s="209">
        <f t="shared" si="1"/>
        <v>9.733407996899918E-4</v>
      </c>
      <c r="AJ18" s="179">
        <f t="shared" si="2"/>
        <v>9.7320625930069388E-4</v>
      </c>
    </row>
    <row r="19" spans="4:36" ht="11.25" customHeight="1" x14ac:dyDescent="0.2">
      <c r="D19" s="222" t="s">
        <v>47</v>
      </c>
      <c r="E19" s="176">
        <f>SettlementDate</f>
        <v>41954</v>
      </c>
      <c r="F19" s="218">
        <f>_xll.qlCalendarAdvance(Calendar,SettlementDate,D19,"Following",,Trigger)</f>
        <v>41961</v>
      </c>
      <c r="G19" s="219" t="str">
        <f>_xll.qlMakeDatedOIS(,E19,F19,OvernightIndex,0,,,,EvaluationDate)</f>
        <v>obj_00576#0001</v>
      </c>
      <c r="H19" s="227" t="b">
        <f>_xll.qlInstrumentSetPricingEngine(G19,OisEngine)</f>
        <v>1</v>
      </c>
      <c r="I19" s="178">
        <f>_xll.qlOvernightIndexedSwapFairRate(G19,_xll.ohTrigger(InterestRatesTrigger))</f>
        <v>-2.8999999997963196E-4</v>
      </c>
      <c r="J19" s="241">
        <f>_xll.qlDayCounterYearFraction(DayCounterOIS,E19,F19,,,Trigger)</f>
        <v>1.9444444444444445E-2</v>
      </c>
      <c r="K19" s="241">
        <f>_xll.qlDayCounterYearFraction(DayCounter3M,E19,F19,,,Trigger)</f>
        <v>1.9444444444444445E-2</v>
      </c>
      <c r="L19" s="241">
        <f>_xll.qlDayCounterYearFraction(DayCounterON,E19,F19,,,Trigger)</f>
        <v>1.9178082191780823E-2</v>
      </c>
      <c r="M19" s="209">
        <f>($I19*$J19+$W$13*L19)/$K19</f>
        <v>7.5980550519456013E-4</v>
      </c>
      <c r="N19" s="209">
        <f t="shared" ref="N19:N24" si="4">($I19*$J19+($W$10*L19+$W$9*L19^2/2))/$K19</f>
        <v>6.0714866533069349E-4</v>
      </c>
      <c r="O19" s="179">
        <f t="shared" ref="O19:O24" si="5">($I19*$J19+($W$5*L19+$W$4*L19^2/2+$W$3*L19^3/3))/$K19</f>
        <v>6.0554631686241965E-4</v>
      </c>
      <c r="P19" s="190"/>
      <c r="AF19" s="208">
        <f>_xll.qlCalendarAdvance(Calendar,AF18,"1d","mf",,Trigger)</f>
        <v>41976</v>
      </c>
      <c r="AG19" s="219">
        <f>_xll.qlDayCounterYearFraction(DayCounterON,SettlementDate,AF19,,,Trigger)</f>
        <v>6.0273972602739728E-2</v>
      </c>
      <c r="AH19" s="209">
        <f t="shared" si="0"/>
        <v>1.0643861371905003E-3</v>
      </c>
      <c r="AI19" s="209">
        <f t="shared" si="1"/>
        <v>9.7698261319001216E-4</v>
      </c>
      <c r="AJ19" s="179">
        <f t="shared" si="2"/>
        <v>9.7691215749868133E-4</v>
      </c>
    </row>
    <row r="20" spans="4:36" ht="11.25" customHeight="1" x14ac:dyDescent="0.2">
      <c r="D20" s="222" t="s">
        <v>48</v>
      </c>
      <c r="E20" s="176">
        <f t="shared" si="3"/>
        <v>41954</v>
      </c>
      <c r="F20" s="218">
        <f>_xll.qlCalendarAdvance(Calendar,SettlementDate,D20,"Following",,Trigger)</f>
        <v>41968</v>
      </c>
      <c r="G20" s="219" t="str">
        <f>_xll.qlMakeDatedOIS(,E20,F20,OvernightIndex,0,,,,EvaluationDate)</f>
        <v>obj_0056d#0001</v>
      </c>
      <c r="H20" s="227" t="b">
        <f>_xll.qlInstrumentSetPricingEngine(G20,OisEngine)</f>
        <v>1</v>
      </c>
      <c r="I20" s="178">
        <f>_xll.qlOvernightIndexedSwapFairRate(G20,_xll.ohTrigger(InterestRatesTrigger))</f>
        <v>-3.0733469311198082E-4</v>
      </c>
      <c r="J20" s="241">
        <f>_xll.qlDayCounterYearFraction(DayCounterOIS,E20,F20,,,Trigger)</f>
        <v>3.888888888888889E-2</v>
      </c>
      <c r="K20" s="241">
        <f>_xll.qlDayCounterYearFraction(DayCounter3M,E20,F20,,,Trigger)</f>
        <v>3.888888888888889E-2</v>
      </c>
      <c r="L20" s="241">
        <f>_xll.qlDayCounterYearFraction(DayCounterON,E20,F20,,,Trigger)</f>
        <v>3.8356164383561646E-2</v>
      </c>
      <c r="M20" s="209">
        <f t="shared" ref="M20:M24" si="6">($I20*$J20+$W$13*L20)/$K20</f>
        <v>7.4247081206221127E-4</v>
      </c>
      <c r="N20" s="209">
        <f t="shared" si="4"/>
        <v>6.0238571195183948E-4</v>
      </c>
      <c r="O20" s="179">
        <f t="shared" si="5"/>
        <v>6.0111713987730329E-4</v>
      </c>
      <c r="P20" s="190"/>
      <c r="AF20" s="208">
        <f>_xll.qlCalendarAdvance(Calendar,AF19,"1d","mf",,Trigger)</f>
        <v>41977</v>
      </c>
      <c r="AG20" s="219">
        <f>_xll.qlDayCounterYearFraction(DayCounterON,SettlementDate,AF20,,,Trigger)</f>
        <v>6.3013698630136991E-2</v>
      </c>
      <c r="AH20" s="209">
        <f t="shared" si="0"/>
        <v>1.0643861371905003E-3</v>
      </c>
      <c r="AI20" s="209">
        <f t="shared" si="1"/>
        <v>9.8062442669003252E-4</v>
      </c>
      <c r="AJ20" s="179">
        <f t="shared" si="2"/>
        <v>9.8061580711077513E-4</v>
      </c>
    </row>
    <row r="21" spans="4:36" ht="11.25" customHeight="1" x14ac:dyDescent="0.2">
      <c r="D21" s="222" t="s">
        <v>49</v>
      </c>
      <c r="E21" s="176">
        <f t="shared" si="3"/>
        <v>41954</v>
      </c>
      <c r="F21" s="218">
        <f>_xll.qlCalendarAdvance(Calendar,SettlementDate,D21,"Following",,Trigger)</f>
        <v>41975</v>
      </c>
      <c r="G21" s="219" t="str">
        <f>_xll.qlMakeDatedOIS(,E21,F21,OvernightIndex,0,,,,EvaluationDate)</f>
        <v>obj_0056a#0001</v>
      </c>
      <c r="H21" s="227" t="b">
        <f>_xll.qlInstrumentSetPricingEngine(G21,OisEngine)</f>
        <v>1</v>
      </c>
      <c r="I21" s="178">
        <f>_xll.qlOvernightIndexedSwapFairRate(G21,_xll.ohTrigger(InterestRatesTrigger))</f>
        <v>6.4178602051815195E-6</v>
      </c>
      <c r="J21" s="241">
        <f>_xll.qlDayCounterYearFraction(DayCounterOIS,E21,F21,,,Trigger)</f>
        <v>5.8333333333333334E-2</v>
      </c>
      <c r="K21" s="241">
        <f>_xll.qlDayCounterYearFraction(DayCounter3M,E21,F21,,,Trigger)</f>
        <v>5.8333333333333334E-2</v>
      </c>
      <c r="L21" s="241">
        <f>_xll.qlDayCounterYearFraction(DayCounterON,E21,F21,,,Trigger)</f>
        <v>5.7534246575342465E-2</v>
      </c>
      <c r="M21" s="209">
        <f t="shared" si="6"/>
        <v>1.0562233653793735E-3</v>
      </c>
      <c r="N21" s="209">
        <f t="shared" si="4"/>
        <v>9.2871000502249676E-4</v>
      </c>
      <c r="O21" s="179">
        <f t="shared" si="5"/>
        <v>9.2773898554702897E-4</v>
      </c>
      <c r="P21" s="190"/>
      <c r="AF21" s="208">
        <f>_xll.qlCalendarAdvance(Calendar,AF20,"1d","mf",,Trigger)</f>
        <v>41978</v>
      </c>
      <c r="AG21" s="219">
        <f>_xll.qlDayCounterYearFraction(DayCounterON,SettlementDate,AF21,,,Trigger)</f>
        <v>6.575342465753424E-2</v>
      </c>
      <c r="AH21" s="209">
        <f t="shared" si="0"/>
        <v>1.0643861371905003E-3</v>
      </c>
      <c r="AI21" s="209">
        <f t="shared" si="1"/>
        <v>9.8426624019005288E-4</v>
      </c>
      <c r="AJ21" s="179">
        <f t="shared" si="2"/>
        <v>9.843172081369755E-4</v>
      </c>
    </row>
    <row r="22" spans="4:36" ht="11.25" customHeight="1" x14ac:dyDescent="0.2">
      <c r="D22" s="222" t="s">
        <v>43</v>
      </c>
      <c r="E22" s="176">
        <f t="shared" si="3"/>
        <v>41954</v>
      </c>
      <c r="F22" s="218">
        <f>_xll.qlCalendarAdvance(Calendar,SettlementDate,D22,"mf",TRUE,Trigger)</f>
        <v>41984</v>
      </c>
      <c r="G22" s="219" t="str">
        <f>_xll.qlMakeDatedOIS(,E22,F22,OvernightIndex,0,,,,EvaluationDate)</f>
        <v>obj_00570#0001</v>
      </c>
      <c r="H22" s="227" t="b">
        <f>_xll.qlInstrumentSetPricingEngine(G22,OisEngine)</f>
        <v>1</v>
      </c>
      <c r="I22" s="178">
        <f>_xll.qlOvernightIndexedSwapFairRate(G22,_xll.ohTrigger(InterestRatesTrigger))</f>
        <v>-1.1689673686099412E-4</v>
      </c>
      <c r="J22" s="241">
        <f>_xll.qlDayCounterYearFraction(DayCounterOIS,E22,F22,,,Trigger)</f>
        <v>8.3333333333333329E-2</v>
      </c>
      <c r="K22" s="241">
        <f>_xll.qlDayCounterYearFraction(DayCounter3M,E22,F22,,,Trigger)</f>
        <v>8.3333333333333329E-2</v>
      </c>
      <c r="L22" s="241">
        <f>_xll.qlDayCounterYearFraction(DayCounterON,E22,F22,,,Trigger)</f>
        <v>8.2191780821917804E-2</v>
      </c>
      <c r="M22" s="209">
        <f t="shared" si="6"/>
        <v>9.3290876831319798E-4</v>
      </c>
      <c r="N22" s="209">
        <f t="shared" si="4"/>
        <v>8.215590733536718E-4</v>
      </c>
      <c r="O22" s="179">
        <f t="shared" si="5"/>
        <v>8.2091739470524733E-4</v>
      </c>
      <c r="P22" s="190"/>
      <c r="AF22" s="208">
        <f>_xll.qlCalendarAdvance(Calendar,AF21,"1d","mf",,Trigger)</f>
        <v>41981</v>
      </c>
      <c r="AG22" s="219">
        <f>_xll.qlDayCounterYearFraction(DayCounterON,SettlementDate,AF22,,,Trigger)</f>
        <v>7.3972602739726029E-2</v>
      </c>
      <c r="AH22" s="209">
        <f t="shared" si="0"/>
        <v>1.0643861371905003E-3</v>
      </c>
      <c r="AI22" s="209">
        <f t="shared" si="1"/>
        <v>9.9519168069011395E-4</v>
      </c>
      <c r="AJ22" s="179">
        <f t="shared" si="2"/>
        <v>9.9540791970021488E-4</v>
      </c>
    </row>
    <row r="23" spans="4:36" ht="11.25" customHeight="1" x14ac:dyDescent="0.2">
      <c r="D23" s="222" t="s">
        <v>50</v>
      </c>
      <c r="E23" s="176">
        <f t="shared" si="3"/>
        <v>41954</v>
      </c>
      <c r="F23" s="218">
        <f>_xll.qlCalendarAdvance(Calendar,SettlementDate,D23,"mf",TRUE,Trigger)</f>
        <v>42016</v>
      </c>
      <c r="G23" s="219" t="str">
        <f>_xll.qlMakeDatedOIS(,E23,F23,OvernightIndex,0,,,,EvaluationDate)</f>
        <v>obj_0057e#0001</v>
      </c>
      <c r="H23" s="227" t="b">
        <f>_xll.qlInstrumentSetPricingEngine(G23,OisEngine)</f>
        <v>1</v>
      </c>
      <c r="I23" s="178">
        <f>_xll.qlOvernightIndexedSwapFairRate(G23,_xll.ohTrigger(InterestRatesTrigger))</f>
        <v>-2.0999999999905502E-4</v>
      </c>
      <c r="J23" s="241">
        <f>_xll.qlDayCounterYearFraction(DayCounterOIS,E23,F23,,,Trigger)</f>
        <v>0.17222222222222222</v>
      </c>
      <c r="K23" s="241">
        <f>_xll.qlDayCounterYearFraction(DayCounter3M,E23,F23,,,Trigger)</f>
        <v>0.17222222222222222</v>
      </c>
      <c r="L23" s="241">
        <f>_xll.qlDayCounterYearFraction(DayCounterON,E23,F23,,,Trigger)</f>
        <v>0.16986301369863013</v>
      </c>
      <c r="M23" s="209">
        <f t="shared" si="6"/>
        <v>8.3980550517513707E-4</v>
      </c>
      <c r="N23" s="209">
        <f t="shared" si="4"/>
        <v>7.8592662051730187E-4</v>
      </c>
      <c r="O23" s="179">
        <f t="shared" si="5"/>
        <v>7.8597097618424605E-4</v>
      </c>
      <c r="P23" s="190"/>
      <c r="AF23" s="208">
        <f>_xll.qlCalendarAdvance(Calendar,AF22,"1d","mf",,Trigger)</f>
        <v>41982</v>
      </c>
      <c r="AG23" s="219">
        <f>_xll.qlDayCounterYearFraction(DayCounterON,SettlementDate,AF23,,,Trigger)</f>
        <v>7.6712328767123292E-2</v>
      </c>
      <c r="AH23" s="209">
        <f t="shared" si="0"/>
        <v>1.0643861371905003E-3</v>
      </c>
      <c r="AI23" s="209">
        <f t="shared" si="1"/>
        <v>9.9883349419013431E-4</v>
      </c>
      <c r="AJ23" s="179">
        <f t="shared" si="2"/>
        <v>9.9910032638284084E-4</v>
      </c>
    </row>
    <row r="24" spans="4:36" ht="11.25" customHeight="1" thickBot="1" x14ac:dyDescent="0.25">
      <c r="D24" s="223" t="s">
        <v>44</v>
      </c>
      <c r="E24" s="181">
        <f t="shared" si="3"/>
        <v>41954</v>
      </c>
      <c r="F24" s="220">
        <f>_xll.qlCalendarAdvance(Calendar,SettlementDate,D24,"mf",TRUE,Trigger)</f>
        <v>42046</v>
      </c>
      <c r="G24" s="221" t="str">
        <f>_xll.qlMakeDatedOIS(,E24,F24,OvernightIndex,0,,,,EvaluationDate)</f>
        <v>obj_00571#0001</v>
      </c>
      <c r="H24" s="228" t="b">
        <f>_xll.qlInstrumentSetPricingEngine(G24,OisEngine)</f>
        <v>1</v>
      </c>
      <c r="I24" s="183">
        <f>_xll.qlOvernightIndexedSwapFairRate(G24,_xll.ohTrigger(InterestRatesTrigger))</f>
        <v>-2.5182464861340647E-4</v>
      </c>
      <c r="J24" s="244">
        <f>_xll.qlDayCounterYearFraction(DayCounterOIS,E24,F24,,,Trigger)</f>
        <v>0.25555555555555554</v>
      </c>
      <c r="K24" s="244">
        <f>_xll.qlDayCounterYearFraction(DayCounter3M,E24,F24,,,Trigger)</f>
        <v>0.25555555555555554</v>
      </c>
      <c r="L24" s="244">
        <f>_xll.qlDayCounterYearFraction(DayCounterON,E24,F24,,,Trigger)</f>
        <v>0.25205479452054796</v>
      </c>
      <c r="M24" s="211">
        <f t="shared" si="6"/>
        <v>7.9798085656078573E-4</v>
      </c>
      <c r="N24" s="211">
        <f t="shared" si="4"/>
        <v>7.9798085656078617E-4</v>
      </c>
      <c r="O24" s="184">
        <f t="shared" si="5"/>
        <v>7.9798085656078953E-4</v>
      </c>
      <c r="P24" s="190"/>
      <c r="AF24" s="208">
        <f>_xll.qlCalendarAdvance(Calendar,AF23,"1d","mf",,Trigger)</f>
        <v>41983</v>
      </c>
      <c r="AG24" s="219">
        <f>_xll.qlDayCounterYearFraction(DayCounterON,SettlementDate,AF24,,,Trigger)</f>
        <v>7.9452054794520555E-2</v>
      </c>
      <c r="AH24" s="209">
        <f t="shared" si="0"/>
        <v>1.0643861371905003E-3</v>
      </c>
      <c r="AI24" s="209">
        <f t="shared" si="1"/>
        <v>1.0024753076901547E-3</v>
      </c>
      <c r="AJ24" s="179">
        <f t="shared" si="2"/>
        <v>1.0027904844795734E-3</v>
      </c>
    </row>
    <row r="25" spans="4:36" ht="12" thickBot="1" x14ac:dyDescent="0.25">
      <c r="P25" s="190"/>
      <c r="AF25" s="208">
        <f>_xll.qlCalendarAdvance(Calendar,AF24,"1d","mf",,Trigger)</f>
        <v>41984</v>
      </c>
      <c r="AG25" s="219">
        <f>_xll.qlDayCounterYearFraction(DayCounterON,SettlementDate,AF25,,,Trigger)</f>
        <v>8.2191780821917804E-2</v>
      </c>
      <c r="AH25" s="209">
        <f t="shared" si="0"/>
        <v>1.0643861371905003E-3</v>
      </c>
      <c r="AI25" s="209">
        <f t="shared" si="1"/>
        <v>1.006117121190175E-3</v>
      </c>
      <c r="AJ25" s="179">
        <f t="shared" si="2"/>
        <v>1.006478393990412E-3</v>
      </c>
    </row>
    <row r="26" spans="4:36" x14ac:dyDescent="0.2">
      <c r="D26" s="249" t="s">
        <v>149</v>
      </c>
      <c r="P26" s="190"/>
      <c r="AF26" s="208">
        <f>_xll.qlCalendarAdvance(Calendar,AF25,"1d","mf",,Trigger)</f>
        <v>41985</v>
      </c>
      <c r="AG26" s="219">
        <f>_xll.qlDayCounterYearFraction(DayCounterON,SettlementDate,AF26,,,Trigger)</f>
        <v>8.4931506849315067E-2</v>
      </c>
      <c r="AH26" s="209">
        <f t="shared" si="0"/>
        <v>1.0643861371905003E-3</v>
      </c>
      <c r="AI26" s="209">
        <f t="shared" si="1"/>
        <v>1.0097589346901954E-3</v>
      </c>
      <c r="AJ26" s="179">
        <f t="shared" si="2"/>
        <v>1.0101640549153572E-3</v>
      </c>
    </row>
    <row r="27" spans="4:36" x14ac:dyDescent="0.2">
      <c r="D27" s="253" t="s">
        <v>111</v>
      </c>
      <c r="P27" s="190"/>
      <c r="AF27" s="208">
        <f>_xll.qlCalendarAdvance(Calendar,AF26,"1d","mf",,Trigger)</f>
        <v>41988</v>
      </c>
      <c r="AG27" s="219">
        <f>_xll.qlDayCounterYearFraction(DayCounterON,SettlementDate,AF27,,,Trigger)</f>
        <v>9.3150684931506855E-2</v>
      </c>
      <c r="AH27" s="209">
        <f t="shared" si="0"/>
        <v>1.0643861371905003E-3</v>
      </c>
      <c r="AI27" s="209">
        <f t="shared" si="1"/>
        <v>1.0206843751902565E-3</v>
      </c>
      <c r="AJ27" s="179">
        <f t="shared" si="2"/>
        <v>1.0212075461748314E-3</v>
      </c>
    </row>
    <row r="28" spans="4:36" x14ac:dyDescent="0.2">
      <c r="D28" s="209">
        <f t="shared" ref="D28:D34" si="7">IF($D$27="FLAT",M18,IF($D$27="linear",N18,O18))</f>
        <v>6.0134892714213382E-4</v>
      </c>
      <c r="AF28" s="208">
        <f>_xll.qlCalendarAdvance(Calendar,AF27,"1d","mf",,Trigger)</f>
        <v>41989</v>
      </c>
      <c r="AG28" s="219">
        <f>_xll.qlDayCounterYearFraction(DayCounterON,SettlementDate,AF28,,,Trigger)</f>
        <v>9.5890410958904104E-2</v>
      </c>
      <c r="AH28" s="209">
        <f t="shared" si="0"/>
        <v>1.0643861371905003E-3</v>
      </c>
      <c r="AI28" s="209">
        <f t="shared" si="1"/>
        <v>1.0243261886902768E-3</v>
      </c>
      <c r="AJ28" s="179">
        <f t="shared" si="2"/>
        <v>1.0248842127562024E-3</v>
      </c>
    </row>
    <row r="29" spans="4:36" x14ac:dyDescent="0.2">
      <c r="D29" s="209">
        <f t="shared" si="7"/>
        <v>6.0554631686241965E-4</v>
      </c>
      <c r="AF29" s="208">
        <f>_xll.qlCalendarAdvance(Calendar,AF28,"1d","mf",,Trigger)</f>
        <v>41990</v>
      </c>
      <c r="AG29" s="219">
        <f>_xll.qlDayCounterYearFraction(DayCounterON,SettlementDate,AF29,,,Trigger)</f>
        <v>9.8630136986301367E-2</v>
      </c>
      <c r="AH29" s="209">
        <f t="shared" si="0"/>
        <v>1.0643861371905003E-3</v>
      </c>
      <c r="AI29" s="209">
        <f t="shared" si="1"/>
        <v>1.0279680021902972E-3</v>
      </c>
      <c r="AJ29" s="179">
        <f t="shared" si="2"/>
        <v>1.0285586307516798E-3</v>
      </c>
    </row>
    <row r="30" spans="4:36" ht="12.75" customHeight="1" x14ac:dyDescent="0.2">
      <c r="D30" s="209">
        <f t="shared" si="7"/>
        <v>6.0111713987730329E-4</v>
      </c>
      <c r="AF30" s="208">
        <f>_xll.qlCalendarAdvance(Calendar,AF29,"1d","mf",,Trigger)</f>
        <v>41991</v>
      </c>
      <c r="AG30" s="219">
        <f>_xll.qlDayCounterYearFraction(DayCounterON,SettlementDate,AF30,,,Trigger)</f>
        <v>0.10136986301369863</v>
      </c>
      <c r="AH30" s="209">
        <f t="shared" si="0"/>
        <v>1.0643861371905003E-3</v>
      </c>
      <c r="AI30" s="209">
        <f t="shared" si="1"/>
        <v>1.0316098156903175E-3</v>
      </c>
      <c r="AJ30" s="179">
        <f t="shared" si="2"/>
        <v>1.0322308001612635E-3</v>
      </c>
    </row>
    <row r="31" spans="4:36" x14ac:dyDescent="0.2">
      <c r="D31" s="209">
        <f t="shared" si="7"/>
        <v>9.2773898554702897E-4</v>
      </c>
      <c r="AF31" s="208">
        <f>_xll.qlCalendarAdvance(Calendar,AF30,"1d","mf",,Trigger)</f>
        <v>41992</v>
      </c>
      <c r="AG31" s="219">
        <f>_xll.qlDayCounterYearFraction(DayCounterON,SettlementDate,AF31,,,Trigger)</f>
        <v>0.10410958904109589</v>
      </c>
      <c r="AH31" s="209">
        <f t="shared" si="0"/>
        <v>1.0643861371905003E-3</v>
      </c>
      <c r="AI31" s="209">
        <f t="shared" si="1"/>
        <v>1.0352516291903379E-3</v>
      </c>
      <c r="AJ31" s="179">
        <f t="shared" si="2"/>
        <v>1.0359007209849536E-3</v>
      </c>
    </row>
    <row r="32" spans="4:36" x14ac:dyDescent="0.2">
      <c r="D32" s="209">
        <f t="shared" si="7"/>
        <v>8.2091739470524733E-4</v>
      </c>
      <c r="AF32" s="208">
        <f>_xll.qlCalendarAdvance(Calendar,AF31,"1d","mf",,Trigger)</f>
        <v>41995</v>
      </c>
      <c r="AG32" s="219">
        <f>_xll.qlDayCounterYearFraction(DayCounterON,SettlementDate,AF32,,,Trigger)</f>
        <v>0.11232876712328767</v>
      </c>
      <c r="AH32" s="209">
        <f t="shared" si="0"/>
        <v>1.0643861371905003E-3</v>
      </c>
      <c r="AI32" s="209">
        <f t="shared" si="1"/>
        <v>1.046177069690399E-3</v>
      </c>
      <c r="AJ32" s="179">
        <f t="shared" si="2"/>
        <v>1.0468969919406627E-3</v>
      </c>
    </row>
    <row r="33" spans="4:36" x14ac:dyDescent="0.2">
      <c r="D33" s="209">
        <f t="shared" si="7"/>
        <v>7.8597097618424605E-4</v>
      </c>
      <c r="AF33" s="208">
        <f>_xll.qlCalendarAdvance(Calendar,AF32,"1d","mf",,Trigger)</f>
        <v>41996</v>
      </c>
      <c r="AG33" s="219">
        <f>_xll.qlDayCounterYearFraction(DayCounterON,SettlementDate,AF33,,,Trigger)</f>
        <v>0.11506849315068493</v>
      </c>
      <c r="AH33" s="209">
        <f t="shared" si="0"/>
        <v>1.0643861371905003E-3</v>
      </c>
      <c r="AI33" s="209">
        <f t="shared" si="1"/>
        <v>1.0498188831904193E-3</v>
      </c>
      <c r="AJ33" s="179">
        <f t="shared" si="2"/>
        <v>1.0505579184207786E-3</v>
      </c>
    </row>
    <row r="34" spans="4:36" x14ac:dyDescent="0.2">
      <c r="D34" s="254">
        <f t="shared" si="7"/>
        <v>7.9798085656078953E-4</v>
      </c>
      <c r="AF34" s="208">
        <f>_xll.qlCalendarAdvance(Calendar,AF33,"1d","mf",,Trigger)</f>
        <v>41997</v>
      </c>
      <c r="AG34" s="219">
        <f>_xll.qlDayCounterYearFraction(DayCounterON,SettlementDate,AF34,,,Trigger)</f>
        <v>0.11780821917808219</v>
      </c>
      <c r="AH34" s="209">
        <f t="shared" si="0"/>
        <v>1.0643861371905003E-3</v>
      </c>
      <c r="AI34" s="209">
        <f t="shared" si="1"/>
        <v>1.0534606966904397E-3</v>
      </c>
      <c r="AJ34" s="179">
        <f t="shared" si="2"/>
        <v>1.054216596315001E-3</v>
      </c>
    </row>
    <row r="35" spans="4:36" x14ac:dyDescent="0.2">
      <c r="AF35" s="208">
        <f>_xll.qlCalendarAdvance(Calendar,AF34,"1d","mf",,Trigger)</f>
        <v>42002</v>
      </c>
      <c r="AG35" s="219">
        <f>_xll.qlDayCounterYearFraction(DayCounterON,SettlementDate,AF35,,,Trigger)</f>
        <v>0.13150684931506848</v>
      </c>
      <c r="AH35" s="209">
        <f t="shared" si="0"/>
        <v>1.0643861371905003E-3</v>
      </c>
      <c r="AI35" s="209">
        <f t="shared" si="1"/>
        <v>1.0716697641905413E-3</v>
      </c>
      <c r="AJ35" s="179">
        <f t="shared" si="2"/>
        <v>1.0724762569977086E-3</v>
      </c>
    </row>
    <row r="36" spans="4:36" x14ac:dyDescent="0.2">
      <c r="AF36" s="208">
        <f>_xll.qlCalendarAdvance(Calendar,AF35,"1d","mf",,Trigger)</f>
        <v>42003</v>
      </c>
      <c r="AG36" s="219">
        <f>_xll.qlDayCounterYearFraction(DayCounterON,SettlementDate,AF36,,,Trigger)</f>
        <v>0.13424657534246576</v>
      </c>
      <c r="AH36" s="209">
        <f t="shared" si="0"/>
        <v>1.0643861371905003E-3</v>
      </c>
      <c r="AI36" s="209">
        <f t="shared" si="1"/>
        <v>1.0753115776905619E-3</v>
      </c>
      <c r="AJ36" s="179">
        <f t="shared" si="2"/>
        <v>1.0761214433765694E-3</v>
      </c>
    </row>
    <row r="37" spans="4:36" x14ac:dyDescent="0.2">
      <c r="AF37" s="208">
        <f>_xll.qlCalendarAdvance(Calendar,AF36,"1d","mf",,Trigger)</f>
        <v>42004</v>
      </c>
      <c r="AG37" s="219">
        <f>_xll.qlDayCounterYearFraction(DayCounterON,SettlementDate,AF37,,,Trigger)</f>
        <v>0.13698630136986301</v>
      </c>
      <c r="AH37" s="209">
        <f t="shared" si="0"/>
        <v>1.0643861371905003E-3</v>
      </c>
      <c r="AI37" s="209">
        <f t="shared" si="1"/>
        <v>1.078953391190582E-3</v>
      </c>
      <c r="AJ37" s="179">
        <f t="shared" si="2"/>
        <v>1.0797643811695367E-3</v>
      </c>
    </row>
    <row r="38" spans="4:36" x14ac:dyDescent="0.2">
      <c r="AF38" s="208">
        <f>_xll.qlCalendarAdvance(Calendar,AF37,"1d","mf",,Trigger)</f>
        <v>42006</v>
      </c>
      <c r="AG38" s="219">
        <f>_xll.qlDayCounterYearFraction(DayCounterON,SettlementDate,AF38,,,Trigger)</f>
        <v>0.14246575342465753</v>
      </c>
      <c r="AH38" s="209">
        <f t="shared" si="0"/>
        <v>1.0643861371905003E-3</v>
      </c>
      <c r="AI38" s="209">
        <f t="shared" si="1"/>
        <v>1.0862370181906227E-3</v>
      </c>
      <c r="AJ38" s="179">
        <f t="shared" si="2"/>
        <v>1.0870435109977905E-3</v>
      </c>
    </row>
    <row r="39" spans="4:36" x14ac:dyDescent="0.2">
      <c r="AF39" s="208">
        <f>_xll.qlCalendarAdvance(Calendar,AF38,"1d","mf",,Trigger)</f>
        <v>42009</v>
      </c>
      <c r="AG39" s="219">
        <f>_xll.qlDayCounterYearFraction(DayCounterON,SettlementDate,AF39,,,Trigger)</f>
        <v>0.15068493150684931</v>
      </c>
      <c r="AH39" s="209">
        <f t="shared" si="0"/>
        <v>1.0643861371905003E-3</v>
      </c>
      <c r="AI39" s="209">
        <f t="shared" si="1"/>
        <v>1.0971624586906838E-3</v>
      </c>
      <c r="AJ39" s="179">
        <f t="shared" si="2"/>
        <v>1.0979453413459692E-3</v>
      </c>
    </row>
    <row r="40" spans="4:36" x14ac:dyDescent="0.2">
      <c r="AF40" s="208">
        <f>_xll.qlCalendarAdvance(Calendar,AF39,"1d","mf",,Trigger)</f>
        <v>42010</v>
      </c>
      <c r="AG40" s="219">
        <f>_xll.qlDayCounterYearFraction(DayCounterON,SettlementDate,AF40,,,Trigger)</f>
        <v>0.15342465753424658</v>
      </c>
      <c r="AH40" s="209">
        <f t="shared" si="0"/>
        <v>1.0643861371905003E-3</v>
      </c>
      <c r="AI40" s="209">
        <f t="shared" si="1"/>
        <v>1.1008042721907042E-3</v>
      </c>
      <c r="AJ40" s="179">
        <f t="shared" si="2"/>
        <v>1.101574787623575E-3</v>
      </c>
    </row>
    <row r="41" spans="4:36" x14ac:dyDescent="0.2">
      <c r="AF41" s="208">
        <f>_xll.qlCalendarAdvance(Calendar,AF40,"1d","mf",,Trigger)</f>
        <v>42011</v>
      </c>
      <c r="AG41" s="219">
        <f>_xll.qlDayCounterYearFraction(DayCounterON,SettlementDate,AF41,,,Trigger)</f>
        <v>0.15616438356164383</v>
      </c>
      <c r="AH41" s="209">
        <f t="shared" si="0"/>
        <v>1.0643861371905003E-3</v>
      </c>
      <c r="AI41" s="209">
        <f t="shared" si="1"/>
        <v>1.1044460856907245E-3</v>
      </c>
      <c r="AJ41" s="179">
        <f t="shared" si="2"/>
        <v>1.1052019853152871E-3</v>
      </c>
    </row>
    <row r="42" spans="4:36" x14ac:dyDescent="0.2">
      <c r="AF42" s="208">
        <f>_xll.qlCalendarAdvance(Calendar,AF41,"1d","mf",,Trigger)</f>
        <v>42012</v>
      </c>
      <c r="AG42" s="219">
        <f>_xll.qlDayCounterYearFraction(DayCounterON,SettlementDate,AF42,,,Trigger)</f>
        <v>0.15890410958904111</v>
      </c>
      <c r="AH42" s="209">
        <f t="shared" si="0"/>
        <v>1.0643861371905003E-3</v>
      </c>
      <c r="AI42" s="209">
        <f t="shared" si="1"/>
        <v>1.1080878991907451E-3</v>
      </c>
      <c r="AJ42" s="179">
        <f t="shared" si="2"/>
        <v>1.1088269344211059E-3</v>
      </c>
    </row>
    <row r="43" spans="4:36" ht="11.25" customHeight="1" x14ac:dyDescent="0.2">
      <c r="N43" s="251"/>
      <c r="AF43" s="208">
        <f>_xll.qlCalendarAdvance(Calendar,AF42,"1d","mf",,Trigger)</f>
        <v>42013</v>
      </c>
      <c r="AG43" s="219">
        <f>_xll.qlDayCounterYearFraction(DayCounterON,SettlementDate,AF43,,,Trigger)</f>
        <v>0.16164383561643836</v>
      </c>
      <c r="AH43" s="209">
        <f t="shared" si="0"/>
        <v>1.0643861371905003E-3</v>
      </c>
      <c r="AI43" s="209">
        <f t="shared" si="1"/>
        <v>1.1117297126907652E-3</v>
      </c>
      <c r="AJ43" s="179">
        <f t="shared" si="2"/>
        <v>1.1124496349410307E-3</v>
      </c>
    </row>
    <row r="44" spans="4:36" x14ac:dyDescent="0.2">
      <c r="J44" s="190"/>
      <c r="K44" s="190"/>
      <c r="N44" s="251"/>
      <c r="AF44" s="208">
        <f>_xll.qlCalendarAdvance(Calendar,AF43,"1d","mf",,Trigger)</f>
        <v>42016</v>
      </c>
      <c r="AG44" s="219">
        <f>_xll.qlDayCounterYearFraction(DayCounterON,SettlementDate,AF44,,,Trigger)</f>
        <v>0.16986301369863013</v>
      </c>
      <c r="AH44" s="209">
        <f t="shared" si="0"/>
        <v>1.0643861371905003E-3</v>
      </c>
      <c r="AI44" s="209">
        <f t="shared" si="1"/>
        <v>1.1226551531908263E-3</v>
      </c>
      <c r="AJ44" s="179">
        <f t="shared" si="2"/>
        <v>1.1233042449854444E-3</v>
      </c>
    </row>
    <row r="45" spans="4:36" x14ac:dyDescent="0.2">
      <c r="N45" s="251"/>
      <c r="AF45" s="208">
        <f>_xll.qlCalendarAdvance(Calendar,AF44,"1d","mf",,Trigger)</f>
        <v>42017</v>
      </c>
      <c r="AG45" s="219">
        <f>_xll.qlDayCounterYearFraction(DayCounterON,SettlementDate,AF45,,,Trigger)</f>
        <v>0.17260273972602741</v>
      </c>
      <c r="AH45" s="209">
        <f t="shared" si="0"/>
        <v>1.0643861371905003E-3</v>
      </c>
      <c r="AI45" s="209">
        <f t="shared" si="1"/>
        <v>1.1262969666908467E-3</v>
      </c>
      <c r="AJ45" s="179">
        <f t="shared" si="2"/>
        <v>1.126917951161795E-3</v>
      </c>
    </row>
    <row r="46" spans="4:36" x14ac:dyDescent="0.2">
      <c r="N46" s="251"/>
      <c r="AF46" s="208">
        <f>_xll.qlCalendarAdvance(Calendar,AF45,"1d","mf",,Trigger)</f>
        <v>42018</v>
      </c>
      <c r="AG46" s="219">
        <f>_xll.qlDayCounterYearFraction(DayCounterON,SettlementDate,AF46,,,Trigger)</f>
        <v>0.17534246575342466</v>
      </c>
      <c r="AH46" s="209">
        <f t="shared" si="0"/>
        <v>1.0643861371905003E-3</v>
      </c>
      <c r="AI46" s="209">
        <f t="shared" si="1"/>
        <v>1.129938780190867E-3</v>
      </c>
      <c r="AJ46" s="179">
        <f t="shared" si="2"/>
        <v>1.1305294087522522E-3</v>
      </c>
    </row>
    <row r="47" spans="4:36" x14ac:dyDescent="0.2">
      <c r="N47" s="251"/>
      <c r="AF47" s="208">
        <f>_xll.qlCalendarAdvance(Calendar,AF46,"1d","mf",,Trigger)</f>
        <v>42019</v>
      </c>
      <c r="AG47" s="219">
        <f>_xll.qlDayCounterYearFraction(DayCounterON,SettlementDate,AF47,,,Trigger)</f>
        <v>0.17808219178082191</v>
      </c>
      <c r="AH47" s="209">
        <f t="shared" si="0"/>
        <v>1.0643861371905003E-3</v>
      </c>
      <c r="AI47" s="209">
        <f t="shared" si="1"/>
        <v>1.1335805936908874E-3</v>
      </c>
      <c r="AJ47" s="179">
        <f t="shared" si="2"/>
        <v>1.1341386177568158E-3</v>
      </c>
    </row>
    <row r="48" spans="4:36" x14ac:dyDescent="0.2">
      <c r="AF48" s="208">
        <f>_xll.qlCalendarAdvance(Calendar,AF47,"1d","mf",,Trigger)</f>
        <v>42020</v>
      </c>
      <c r="AG48" s="219">
        <f>_xll.qlDayCounterYearFraction(DayCounterON,SettlementDate,AF48,,,Trigger)</f>
        <v>0.18082191780821918</v>
      </c>
      <c r="AH48" s="209">
        <f t="shared" si="0"/>
        <v>1.0643861371905003E-3</v>
      </c>
      <c r="AI48" s="209">
        <f t="shared" si="1"/>
        <v>1.1372224071909077E-3</v>
      </c>
      <c r="AJ48" s="179">
        <f t="shared" si="2"/>
        <v>1.1377455781754859E-3</v>
      </c>
    </row>
    <row r="49" spans="10:36" x14ac:dyDescent="0.2">
      <c r="AF49" s="208">
        <f>_xll.qlCalendarAdvance(Calendar,AF48,"1d","mf",,Trigger)</f>
        <v>42023</v>
      </c>
      <c r="AG49" s="219">
        <f>_xll.qlDayCounterYearFraction(DayCounterON,SettlementDate,AF49,,,Trigger)</f>
        <v>0.18904109589041096</v>
      </c>
      <c r="AH49" s="209">
        <f t="shared" si="0"/>
        <v>1.0643861371905003E-3</v>
      </c>
      <c r="AI49" s="209">
        <f t="shared" si="1"/>
        <v>1.1481478476909688E-3</v>
      </c>
      <c r="AJ49" s="179">
        <f t="shared" si="2"/>
        <v>1.1485529679161343E-3</v>
      </c>
    </row>
    <row r="50" spans="10:36" x14ac:dyDescent="0.2">
      <c r="AF50" s="208">
        <f>_xll.qlCalendarAdvance(Calendar,AF49,"1d","mf",,Trigger)</f>
        <v>42024</v>
      </c>
      <c r="AG50" s="219">
        <f>_xll.qlDayCounterYearFraction(DayCounterON,SettlementDate,AF50,,,Trigger)</f>
        <v>0.19178082191780821</v>
      </c>
      <c r="AH50" s="209">
        <f t="shared" si="0"/>
        <v>1.0643861371905003E-3</v>
      </c>
      <c r="AI50" s="209">
        <f t="shared" si="1"/>
        <v>1.1517896611909892E-3</v>
      </c>
      <c r="AJ50" s="179">
        <f t="shared" si="2"/>
        <v>1.1521509339912298E-3</v>
      </c>
    </row>
    <row r="51" spans="10:36" x14ac:dyDescent="0.2">
      <c r="AF51" s="208">
        <f>_xll.qlCalendarAdvance(Calendar,AF50,"1d","mf",,Trigger)</f>
        <v>42025</v>
      </c>
      <c r="AG51" s="219">
        <f>_xll.qlDayCounterYearFraction(DayCounterON,SettlementDate,AF51,,,Trigger)</f>
        <v>0.19452054794520549</v>
      </c>
      <c r="AH51" s="209">
        <f t="shared" si="0"/>
        <v>1.0643861371905003E-3</v>
      </c>
      <c r="AI51" s="209">
        <f t="shared" si="1"/>
        <v>1.1554314746910095E-3</v>
      </c>
      <c r="AJ51" s="179">
        <f t="shared" si="2"/>
        <v>1.1557466514804321E-3</v>
      </c>
    </row>
    <row r="52" spans="10:36" x14ac:dyDescent="0.2">
      <c r="AF52" s="208">
        <f>_xll.qlCalendarAdvance(Calendar,AF51,"1d","mf",,Trigger)</f>
        <v>42026</v>
      </c>
      <c r="AG52" s="219">
        <f>_xll.qlDayCounterYearFraction(DayCounterON,SettlementDate,AF52,,,Trigger)</f>
        <v>0.19726027397260273</v>
      </c>
      <c r="AH52" s="209">
        <f t="shared" si="0"/>
        <v>1.0643861371905003E-3</v>
      </c>
      <c r="AI52" s="209">
        <f t="shared" si="1"/>
        <v>1.1590732881910299E-3</v>
      </c>
      <c r="AJ52" s="179">
        <f t="shared" si="2"/>
        <v>1.1593401203837403E-3</v>
      </c>
    </row>
    <row r="53" spans="10:36" x14ac:dyDescent="0.2">
      <c r="AF53" s="208">
        <f>_xll.qlCalendarAdvance(Calendar,AF52,"1d","mf",,Trigger)</f>
        <v>42027</v>
      </c>
      <c r="AG53" s="219">
        <f>_xll.qlDayCounterYearFraction(DayCounterON,SettlementDate,AF53,,,Trigger)</f>
        <v>0.2</v>
      </c>
      <c r="AH53" s="209">
        <f t="shared" si="0"/>
        <v>1.0643861371905003E-3</v>
      </c>
      <c r="AI53" s="209">
        <f t="shared" si="1"/>
        <v>1.1627151016910503E-3</v>
      </c>
      <c r="AJ53" s="179">
        <f t="shared" si="2"/>
        <v>1.1629313407011553E-3</v>
      </c>
    </row>
    <row r="54" spans="10:36" x14ac:dyDescent="0.2">
      <c r="AF54" s="208">
        <f>_xll.qlCalendarAdvance(Calendar,AF53,"1d","mf",,Trigger)</f>
        <v>42030</v>
      </c>
      <c r="AG54" s="219">
        <f>_xll.qlDayCounterYearFraction(DayCounterON,SettlementDate,AF54,,,Trigger)</f>
        <v>0.20821917808219179</v>
      </c>
      <c r="AH54" s="209">
        <f t="shared" si="0"/>
        <v>1.0643861371905003E-3</v>
      </c>
      <c r="AI54" s="209">
        <f t="shared" si="1"/>
        <v>1.1736405421911113E-3</v>
      </c>
      <c r="AJ54" s="179">
        <f t="shared" si="2"/>
        <v>1.1736915101380387E-3</v>
      </c>
    </row>
    <row r="55" spans="10:36" x14ac:dyDescent="0.2">
      <c r="AF55" s="208">
        <f>_xll.qlCalendarAdvance(Calendar,AF54,"1d","mf",,Trigger)</f>
        <v>42031</v>
      </c>
      <c r="AG55" s="219">
        <f>_xll.qlDayCounterYearFraction(DayCounterON,SettlementDate,AF55,,,Trigger)</f>
        <v>0.21095890410958903</v>
      </c>
      <c r="AH55" s="209">
        <f t="shared" si="0"/>
        <v>1.0643861371905003E-3</v>
      </c>
      <c r="AI55" s="209">
        <f t="shared" si="1"/>
        <v>1.1772823556911317E-3</v>
      </c>
      <c r="AJ55" s="179">
        <f t="shared" si="2"/>
        <v>1.1772737361118793E-3</v>
      </c>
    </row>
    <row r="56" spans="10:36" x14ac:dyDescent="0.2">
      <c r="AF56" s="208">
        <f>_xll.qlCalendarAdvance(Calendar,AF55,"1d","mf",,Trigger)</f>
        <v>42032</v>
      </c>
      <c r="AG56" s="219">
        <f>_xll.qlDayCounterYearFraction(DayCounterON,SettlementDate,AF56,,,Trigger)</f>
        <v>0.21369863013698631</v>
      </c>
      <c r="AH56" s="209">
        <f t="shared" si="0"/>
        <v>1.0643861371905003E-3</v>
      </c>
      <c r="AI56" s="209">
        <f t="shared" si="1"/>
        <v>1.1809241691911521E-3</v>
      </c>
      <c r="AJ56" s="179">
        <f t="shared" si="2"/>
        <v>1.1808537134998264E-3</v>
      </c>
    </row>
    <row r="57" spans="10:36" x14ac:dyDescent="0.2">
      <c r="AF57" s="208">
        <f>_xll.qlCalendarAdvance(Calendar,AF56,"1d","mf",,Trigger)</f>
        <v>42033</v>
      </c>
      <c r="AG57" s="219">
        <f>_xll.qlDayCounterYearFraction(DayCounterON,SettlementDate,AF57,,,Trigger)</f>
        <v>0.21643835616438356</v>
      </c>
      <c r="AH57" s="209">
        <f t="shared" si="0"/>
        <v>1.0643861371905003E-3</v>
      </c>
      <c r="AI57" s="209">
        <f t="shared" si="1"/>
        <v>1.1845659826911724E-3</v>
      </c>
      <c r="AJ57" s="179">
        <f t="shared" si="2"/>
        <v>1.1844314423018799E-3</v>
      </c>
    </row>
    <row r="58" spans="10:36" x14ac:dyDescent="0.2">
      <c r="AF58" s="208">
        <f>_xll.qlCalendarAdvance(Calendar,AF57,"1d","mf",,Trigger)</f>
        <v>42034</v>
      </c>
      <c r="AG58" s="219">
        <f>_xll.qlDayCounterYearFraction(DayCounterON,SettlementDate,AF58,,,Trigger)</f>
        <v>0.21917808219178081</v>
      </c>
      <c r="AH58" s="209">
        <f t="shared" si="0"/>
        <v>1.0643861371905003E-3</v>
      </c>
      <c r="AI58" s="209">
        <f t="shared" si="1"/>
        <v>1.1882077961911928E-3</v>
      </c>
      <c r="AJ58" s="179">
        <f t="shared" si="2"/>
        <v>1.1880069225180397E-3</v>
      </c>
    </row>
    <row r="59" spans="10:36" x14ac:dyDescent="0.2">
      <c r="AF59" s="208">
        <f>_xll.qlCalendarAdvance(Calendar,AF58,"1d","mf",,Trigger)</f>
        <v>42037</v>
      </c>
      <c r="AG59" s="219">
        <f>_xll.qlDayCounterYearFraction(DayCounterON,SettlementDate,AF59,,,Trigger)</f>
        <v>0.22739726027397261</v>
      </c>
      <c r="AH59" s="209">
        <f t="shared" si="0"/>
        <v>1.0643861371905003E-3</v>
      </c>
      <c r="AI59" s="209">
        <f t="shared" si="1"/>
        <v>1.1991332366912538E-3</v>
      </c>
      <c r="AJ59" s="179">
        <f t="shared" si="2"/>
        <v>1.1987198716511577E-3</v>
      </c>
    </row>
    <row r="60" spans="10:36" x14ac:dyDescent="0.2">
      <c r="AF60" s="208">
        <f>_xll.qlCalendarAdvance(Calendar,AF59,"1d","mf",,Trigger)</f>
        <v>42038</v>
      </c>
      <c r="AG60" s="219">
        <f>_xll.qlDayCounterYearFraction(DayCounterON,SettlementDate,AF60,,,Trigger)</f>
        <v>0.23013698630136986</v>
      </c>
      <c r="AH60" s="209">
        <f t="shared" si="0"/>
        <v>1.0643861371905003E-3</v>
      </c>
      <c r="AI60" s="209">
        <f t="shared" si="1"/>
        <v>1.2027750501912742E-3</v>
      </c>
      <c r="AJ60" s="179">
        <f t="shared" si="2"/>
        <v>1.2022863575237434E-3</v>
      </c>
    </row>
    <row r="61" spans="10:36" x14ac:dyDescent="0.2">
      <c r="AF61" s="208">
        <f>_xll.qlCalendarAdvance(Calendar,AF60,"1d","mf",,Trigger)</f>
        <v>42039</v>
      </c>
      <c r="AG61" s="219">
        <f>_xll.qlDayCounterYearFraction(DayCounterON,SettlementDate,AF61,,,Trigger)</f>
        <v>0.23287671232876711</v>
      </c>
      <c r="AH61" s="209">
        <f t="shared" si="0"/>
        <v>1.0643861371905003E-3</v>
      </c>
      <c r="AI61" s="209">
        <f t="shared" si="1"/>
        <v>1.2064168636912946E-3</v>
      </c>
      <c r="AJ61" s="179">
        <f t="shared" si="2"/>
        <v>1.2058505948104353E-3</v>
      </c>
    </row>
    <row r="62" spans="10:36" x14ac:dyDescent="0.2">
      <c r="AF62" s="208">
        <f>_xll.qlCalendarAdvance(Calendar,AF61,"1d","mf",,Trigger)</f>
        <v>42040</v>
      </c>
      <c r="AG62" s="219">
        <f>_xll.qlDayCounterYearFraction(DayCounterON,SettlementDate,AF62,,,Trigger)</f>
        <v>0.23561643835616439</v>
      </c>
      <c r="AH62" s="209">
        <f t="shared" si="0"/>
        <v>1.0643861371905003E-3</v>
      </c>
      <c r="AI62" s="209">
        <f t="shared" si="1"/>
        <v>1.2100586771913149E-3</v>
      </c>
      <c r="AJ62" s="179">
        <f t="shared" si="2"/>
        <v>1.2094125835112337E-3</v>
      </c>
    </row>
    <row r="63" spans="10:36" x14ac:dyDescent="0.2">
      <c r="J63" s="190"/>
      <c r="AF63" s="208">
        <f>_xll.qlCalendarAdvance(Calendar,AF62,"1d","mf",,Trigger)</f>
        <v>42041</v>
      </c>
      <c r="AG63" s="219">
        <f>_xll.qlDayCounterYearFraction(DayCounterON,SettlementDate,AF63,,,Trigger)</f>
        <v>0.23835616438356164</v>
      </c>
      <c r="AH63" s="209">
        <f t="shared" si="0"/>
        <v>1.0643861371905003E-3</v>
      </c>
      <c r="AI63" s="209">
        <f t="shared" si="1"/>
        <v>1.2137004906913353E-3</v>
      </c>
      <c r="AJ63" s="179">
        <f t="shared" si="2"/>
        <v>1.2129723236261386E-3</v>
      </c>
    </row>
    <row r="64" spans="10:36" x14ac:dyDescent="0.2">
      <c r="J64" s="190"/>
      <c r="AF64" s="208">
        <f>_xll.qlCalendarAdvance(Calendar,AF63,"1d","mf",,Trigger)</f>
        <v>42044</v>
      </c>
      <c r="AG64" s="219">
        <f>_xll.qlDayCounterYearFraction(DayCounterON,SettlementDate,AF64,,,Trigger)</f>
        <v>0.24657534246575341</v>
      </c>
      <c r="AH64" s="209">
        <f t="shared" si="0"/>
        <v>1.0643861371905003E-3</v>
      </c>
      <c r="AI64" s="209">
        <f t="shared" si="1"/>
        <v>1.2246259311913964E-3</v>
      </c>
      <c r="AJ64" s="179">
        <f t="shared" si="2"/>
        <v>1.2236380524554915E-3</v>
      </c>
    </row>
    <row r="65" spans="10:36" ht="12" thickBot="1" x14ac:dyDescent="0.25">
      <c r="J65" s="190"/>
      <c r="AF65" s="210">
        <f>_xll.qlCalendarAdvance(Calendar,AF64,"1d","mf",,Trigger)</f>
        <v>42045</v>
      </c>
      <c r="AG65" s="221">
        <f>_xll.qlDayCounterYearFraction(DayCounterON,SettlementDate,AF65,,,Trigger)</f>
        <v>0.24931506849315069</v>
      </c>
      <c r="AH65" s="211">
        <f t="shared" si="0"/>
        <v>1.0643861371905003E-3</v>
      </c>
      <c r="AI65" s="211">
        <f t="shared" si="1"/>
        <v>1.2282677446914167E-3</v>
      </c>
      <c r="AJ65" s="184">
        <f t="shared" si="2"/>
        <v>1.227188798226822E-3</v>
      </c>
    </row>
    <row r="66" spans="10:36" x14ac:dyDescent="0.2">
      <c r="J66" s="190"/>
    </row>
    <row r="67" spans="10:36" x14ac:dyDescent="0.2">
      <c r="J67" s="190"/>
    </row>
    <row r="68" spans="10:36" x14ac:dyDescent="0.2">
      <c r="J68" s="190"/>
    </row>
    <row r="69" spans="10:36" x14ac:dyDescent="0.2">
      <c r="J69" s="190"/>
      <c r="K69" s="190"/>
    </row>
    <row r="70" spans="10:36" x14ac:dyDescent="0.2">
      <c r="J70" s="190"/>
      <c r="K70" s="190"/>
    </row>
    <row r="71" spans="10:36" x14ac:dyDescent="0.2">
      <c r="J71" s="190"/>
      <c r="K71" s="190"/>
    </row>
    <row r="72" spans="10:36" x14ac:dyDescent="0.2">
      <c r="J72" s="190"/>
      <c r="K72" s="190"/>
    </row>
    <row r="73" spans="10:36" x14ac:dyDescent="0.2">
      <c r="J73" s="190"/>
      <c r="K73" s="190"/>
    </row>
    <row r="74" spans="10:36" x14ac:dyDescent="0.2">
      <c r="J74" s="190"/>
      <c r="K74" s="190"/>
    </row>
    <row r="75" spans="10:36" x14ac:dyDescent="0.2">
      <c r="J75" s="190"/>
      <c r="K75" s="190"/>
    </row>
    <row r="76" spans="10:36" x14ac:dyDescent="0.2">
      <c r="J76" s="190"/>
      <c r="K76" s="190"/>
    </row>
    <row r="77" spans="10:36" x14ac:dyDescent="0.2">
      <c r="J77" s="190"/>
      <c r="K77" s="190"/>
    </row>
    <row r="78" spans="10:36" x14ac:dyDescent="0.2">
      <c r="J78" s="190"/>
      <c r="K78" s="190"/>
    </row>
    <row r="79" spans="10:36" x14ac:dyDescent="0.2">
      <c r="J79" s="190"/>
      <c r="K79" s="190"/>
    </row>
    <row r="80" spans="10:36" x14ac:dyDescent="0.2">
      <c r="J80" s="190"/>
      <c r="K80" s="190"/>
    </row>
    <row r="81" spans="10:11" x14ac:dyDescent="0.2">
      <c r="J81" s="190"/>
      <c r="K81" s="190"/>
    </row>
    <row r="82" spans="10:11" x14ac:dyDescent="0.2">
      <c r="J82" s="190"/>
      <c r="K82" s="190"/>
    </row>
    <row r="83" spans="10:11" x14ac:dyDescent="0.2">
      <c r="J83" s="190"/>
      <c r="K83" s="190"/>
    </row>
    <row r="84" spans="10:11" x14ac:dyDescent="0.2">
      <c r="J84" s="190"/>
      <c r="K84" s="190"/>
    </row>
    <row r="85" spans="10:11" x14ac:dyDescent="0.2">
      <c r="J85" s="190"/>
      <c r="K85" s="190"/>
    </row>
    <row r="86" spans="10:11" x14ac:dyDescent="0.2">
      <c r="J86" s="190"/>
      <c r="K86" s="190"/>
    </row>
    <row r="87" spans="10:11" x14ac:dyDescent="0.2">
      <c r="J87" s="190"/>
      <c r="K87" s="190"/>
    </row>
    <row r="88" spans="10:11" x14ac:dyDescent="0.2">
      <c r="J88" s="190"/>
      <c r="K88" s="190"/>
    </row>
    <row r="89" spans="10:11" x14ac:dyDescent="0.2">
      <c r="J89" s="190"/>
      <c r="K89" s="190"/>
    </row>
    <row r="90" spans="10:11" x14ac:dyDescent="0.2">
      <c r="J90" s="190"/>
      <c r="K90" s="190"/>
    </row>
    <row r="91" spans="10:11" x14ac:dyDescent="0.2">
      <c r="J91" s="190"/>
      <c r="K91" s="190"/>
    </row>
    <row r="92" spans="10:11" x14ac:dyDescent="0.2">
      <c r="J92" s="190"/>
      <c r="K92" s="190"/>
    </row>
    <row r="93" spans="10:11" x14ac:dyDescent="0.2">
      <c r="J93" s="190"/>
      <c r="K93" s="190"/>
    </row>
    <row r="94" spans="10:11" x14ac:dyDescent="0.2">
      <c r="J94" s="190"/>
      <c r="K94" s="190"/>
    </row>
    <row r="95" spans="10:11" x14ac:dyDescent="0.2">
      <c r="J95" s="190"/>
      <c r="K95" s="190"/>
    </row>
    <row r="96" spans="10:11" x14ac:dyDescent="0.2">
      <c r="J96" s="190"/>
      <c r="K96" s="190"/>
    </row>
    <row r="97" spans="10:11" x14ac:dyDescent="0.2">
      <c r="J97" s="190"/>
      <c r="K97" s="190"/>
    </row>
    <row r="98" spans="10:11" x14ac:dyDescent="0.2">
      <c r="J98" s="190"/>
      <c r="K98" s="190"/>
    </row>
    <row r="99" spans="10:11" x14ac:dyDescent="0.2">
      <c r="J99" s="190"/>
      <c r="K99" s="190"/>
    </row>
    <row r="100" spans="10:11" x14ac:dyDescent="0.2">
      <c r="J100" s="190"/>
      <c r="K100" s="190"/>
    </row>
    <row r="101" spans="10:11" x14ac:dyDescent="0.2">
      <c r="J101" s="190"/>
      <c r="K101" s="190"/>
    </row>
    <row r="102" spans="10:11" x14ac:dyDescent="0.2">
      <c r="J102" s="190"/>
      <c r="K102" s="190"/>
    </row>
    <row r="103" spans="10:11" x14ac:dyDescent="0.2">
      <c r="J103" s="190"/>
      <c r="K103" s="190"/>
    </row>
    <row r="104" spans="10:11" x14ac:dyDescent="0.2">
      <c r="J104" s="190"/>
      <c r="K104" s="190"/>
    </row>
    <row r="105" spans="10:11" x14ac:dyDescent="0.2">
      <c r="J105" s="190"/>
      <c r="K105" s="190"/>
    </row>
    <row r="106" spans="10:11" x14ac:dyDescent="0.2">
      <c r="J106" s="190"/>
      <c r="K106" s="190"/>
    </row>
    <row r="107" spans="10:11" x14ac:dyDescent="0.2">
      <c r="J107" s="190"/>
      <c r="K107" s="190"/>
    </row>
    <row r="108" spans="10:11" x14ac:dyDescent="0.2">
      <c r="J108" s="190"/>
      <c r="K108" s="190"/>
    </row>
    <row r="109" spans="10:11" x14ac:dyDescent="0.2">
      <c r="J109" s="190"/>
      <c r="K109" s="190"/>
    </row>
    <row r="110" spans="10:11" x14ac:dyDescent="0.2">
      <c r="J110" s="190"/>
      <c r="K110" s="190"/>
    </row>
    <row r="111" spans="10:11" x14ac:dyDescent="0.2">
      <c r="J111" s="190"/>
      <c r="K111" s="190"/>
    </row>
    <row r="112" spans="10:11" x14ac:dyDescent="0.2">
      <c r="J112" s="190"/>
      <c r="K112" s="190"/>
    </row>
    <row r="113" spans="10:11" x14ac:dyDescent="0.2">
      <c r="J113" s="190"/>
      <c r="K113" s="190"/>
    </row>
    <row r="114" spans="10:11" x14ac:dyDescent="0.2">
      <c r="J114" s="190"/>
      <c r="K114" s="190"/>
    </row>
    <row r="115" spans="10:11" x14ac:dyDescent="0.2">
      <c r="J115" s="190"/>
      <c r="K115" s="190"/>
    </row>
    <row r="116" spans="10:11" x14ac:dyDescent="0.2">
      <c r="J116" s="174"/>
      <c r="K116" s="190"/>
    </row>
    <row r="117" spans="10:11" x14ac:dyDescent="0.2">
      <c r="J117" s="174"/>
      <c r="K117" s="190"/>
    </row>
    <row r="118" spans="10:11" x14ac:dyDescent="0.2">
      <c r="J118" s="174"/>
      <c r="K118" s="190"/>
    </row>
    <row r="119" spans="10:11" x14ac:dyDescent="0.2">
      <c r="J119" s="174"/>
      <c r="K119" s="190"/>
    </row>
    <row r="120" spans="10:11" x14ac:dyDescent="0.2">
      <c r="J120" s="174"/>
      <c r="K120" s="190"/>
    </row>
    <row r="121" spans="10:11" x14ac:dyDescent="0.2">
      <c r="J121" s="174"/>
      <c r="K121" s="190"/>
    </row>
    <row r="122" spans="10:11" x14ac:dyDescent="0.2">
      <c r="J122" s="174"/>
      <c r="K122" s="174"/>
    </row>
    <row r="123" spans="10:11" x14ac:dyDescent="0.2">
      <c r="J123" s="174"/>
      <c r="K123" s="174"/>
    </row>
    <row r="124" spans="10:11" x14ac:dyDescent="0.2">
      <c r="J124" s="174"/>
      <c r="K124" s="174"/>
    </row>
    <row r="125" spans="10:11" x14ac:dyDescent="0.2">
      <c r="J125" s="174"/>
      <c r="K125" s="174"/>
    </row>
    <row r="126" spans="10:11" x14ac:dyDescent="0.2">
      <c r="J126" s="174"/>
      <c r="K126" s="174"/>
    </row>
    <row r="127" spans="10:11" x14ac:dyDescent="0.2">
      <c r="J127" s="174"/>
      <c r="K127" s="174"/>
    </row>
    <row r="128" spans="10:11" x14ac:dyDescent="0.2">
      <c r="J128" s="174"/>
      <c r="K128" s="174"/>
    </row>
    <row r="129" spans="10:11" x14ac:dyDescent="0.2">
      <c r="J129" s="174"/>
      <c r="K129" s="174"/>
    </row>
    <row r="130" spans="10:11" x14ac:dyDescent="0.2">
      <c r="J130" s="174"/>
      <c r="K130" s="174"/>
    </row>
    <row r="131" spans="10:11" x14ac:dyDescent="0.2">
      <c r="J131" s="174"/>
      <c r="K131" s="174"/>
    </row>
    <row r="132" spans="10:11" x14ac:dyDescent="0.2">
      <c r="K132" s="174"/>
    </row>
    <row r="133" spans="10:11" x14ac:dyDescent="0.2">
      <c r="K133" s="174"/>
    </row>
    <row r="134" spans="10:11" x14ac:dyDescent="0.2">
      <c r="K134" s="174"/>
    </row>
    <row r="135" spans="10:11" x14ac:dyDescent="0.2">
      <c r="K135" s="174"/>
    </row>
    <row r="136" spans="10:11" x14ac:dyDescent="0.2">
      <c r="K136" s="174"/>
    </row>
    <row r="137" spans="10:11" x14ac:dyDescent="0.2">
      <c r="K137" s="174"/>
    </row>
  </sheetData>
  <mergeCells count="5">
    <mergeCell ref="AA2:AC2"/>
    <mergeCell ref="R3:R5"/>
    <mergeCell ref="R9:R10"/>
    <mergeCell ref="V9:V10"/>
    <mergeCell ref="X9:X10"/>
  </mergeCells>
  <conditionalFormatting sqref="M3">
    <cfRule type="expression" dxfId="9" priority="5">
      <formula>$P$3</formula>
    </cfRule>
  </conditionalFormatting>
  <conditionalFormatting sqref="M4">
    <cfRule type="expression" dxfId="7" priority="4">
      <formula>$P$4</formula>
    </cfRule>
  </conditionalFormatting>
  <conditionalFormatting sqref="M5">
    <cfRule type="expression" dxfId="5" priority="3">
      <formula>$P$5</formula>
    </cfRule>
  </conditionalFormatting>
  <conditionalFormatting sqref="M6">
    <cfRule type="expression" dxfId="3" priority="2">
      <formula>$P$6</formula>
    </cfRule>
  </conditionalFormatting>
  <conditionalFormatting sqref="M7">
    <cfRule type="expression" dxfId="1" priority="1">
      <formula>$P$7</formula>
    </cfRule>
  </conditionalFormatting>
  <dataValidations count="5">
    <dataValidation type="list" allowBlank="1" showInputMessage="1" showErrorMessage="1" sqref="D27">
      <formula1>"flat,linear,quadratic"</formula1>
    </dataValidation>
    <dataValidation type="list" allowBlank="1" showInputMessage="1" showErrorMessage="1" sqref="E14">
      <formula1>"FIX+FUT,INTERP+FUT,FUT"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5">
      <formula1>"TRUE,FALSE"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>
      <selection activeCell="E35" sqref="E35"/>
    </sheetView>
  </sheetViews>
  <sheetFormatPr defaultColWidth="9.5" defaultRowHeight="11.25" outlineLevelCol="1" x14ac:dyDescent="0.2"/>
  <cols>
    <col min="1" max="1" width="3.5" style="173" customWidth="1"/>
    <col min="2" max="2" width="2.33203125" style="173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2.33203125" style="173" bestFit="1" customWidth="1"/>
    <col min="23" max="23" width="10.83203125" style="173" customWidth="1"/>
    <col min="24" max="24" width="2.33203125" style="173" bestFit="1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9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140</v>
      </c>
      <c r="H2" s="186"/>
      <c r="I2" s="186" t="s">
        <v>82</v>
      </c>
      <c r="J2" s="186" t="s">
        <v>37</v>
      </c>
      <c r="K2" s="200"/>
      <c r="L2" s="200"/>
      <c r="M2" s="187"/>
      <c r="P2" s="186" t="s">
        <v>142</v>
      </c>
      <c r="W2" s="236" t="s">
        <v>118</v>
      </c>
      <c r="AA2" s="420" t="s">
        <v>117</v>
      </c>
      <c r="AB2" s="420"/>
      <c r="AC2" s="420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410" t="str">
        <f>$E$9&amp;"LastFixing"&amp;QuoteSuffix</f>
        <v>Euribor6MLastFixing_Quote</v>
      </c>
      <c r="E3" s="411">
        <f>_xll.qlCalendarAdvance(Calendar,_xll.qlLastFixingQuoteReferenceDate($D$3),_xll.qlInterestRateIndexFixingDays($E$9)&amp;"D","f",,LastFixingsTrigger)</f>
        <v>41953</v>
      </c>
      <c r="F3" s="411">
        <f>_xll.qlInterestRateIndexMaturity($E$9,E3)</f>
        <v>42135</v>
      </c>
      <c r="G3" s="410" t="str">
        <f>_xll.qlMakeDatedOIS(,E3,F3,OvernightIndex,0,,,,EvaluationDate)</f>
        <v>obj_004ff#0004</v>
      </c>
      <c r="H3" s="411" t="b">
        <f>_xll.qlInstrumentSetPricingEngine(G3,OisEngine)</f>
        <v>1</v>
      </c>
      <c r="I3" s="412">
        <f>_xll.qlQuoteValue($D3,AllTriggers)</f>
        <v>1.82E-3</v>
      </c>
      <c r="J3" s="413" t="e">
        <f>_xll.qlOvernightIndexedSwapFairRate(G3,_xll.ohTrigger(H3,InterestRatesTrigger))</f>
        <v>#NUM!</v>
      </c>
      <c r="K3" s="414">
        <f>I3*_xll.qlDayCounterYearFraction(DayCounter6M,E3,F3,,,Trigger)</f>
        <v>9.2011111111111113E-4</v>
      </c>
      <c r="L3" s="414" t="e">
        <f>J3*_xll.qlDayCounterYearFraction(DayCounterOIS,E3,F3,,,Trigger)</f>
        <v>#NUM!</v>
      </c>
      <c r="M3" s="415" t="e">
        <f>K3-L3</f>
        <v>#NUM!</v>
      </c>
      <c r="P3" s="212" t="b">
        <f>IF(E14="FRA",FALSE,IF(E14="FIX+FRA",TRUE,FALSE))</f>
        <v>0</v>
      </c>
      <c r="R3" s="421" t="s">
        <v>111</v>
      </c>
      <c r="S3" s="192">
        <f t="array" ref="S3:S5">_xll.ohFilter(M10:M14,P10:P14)</f>
        <v>4.0647690632200313E-2</v>
      </c>
      <c r="T3" s="193">
        <f t="array" ref="T3:T5">_xll.ohFilter(L10:L14,P10:P14)</f>
        <v>0.12295364984049541</v>
      </c>
      <c r="U3" s="194">
        <f t="array" ref="U3:U5">_xll.ohFilter(K10:K14,P10:P14)</f>
        <v>0.49589041095890413</v>
      </c>
      <c r="V3" s="188"/>
      <c r="W3" s="196">
        <f t="array" ref="W3:W5">MMULT(AA3:AC5,Y3:Y5)</f>
        <v>-1.1042516741890662E-3</v>
      </c>
      <c r="X3" s="197"/>
      <c r="Y3" s="177">
        <f t="array" ref="Y3:Y5">_xll.ohFilter(M3:M7,P3:P7)</f>
        <v>1.109218508927313E-3</v>
      </c>
      <c r="AA3" s="192">
        <f t="array" ref="AA3:AC5">MINVERSE(S3:U5)</f>
        <v>143.2079686414026</v>
      </c>
      <c r="AB3" s="193">
        <v>-278.16623373211991</v>
      </c>
      <c r="AC3" s="194">
        <v>135.7451220612744</v>
      </c>
      <c r="AF3" s="205">
        <f>SettlementDate</f>
        <v>41954</v>
      </c>
      <c r="AG3" s="219">
        <f>_xll.qlDayCounterYearFraction(DayCounterON,SettlementDate,AF3,,,Trigger)</f>
        <v>0</v>
      </c>
      <c r="AH3" s="206">
        <f t="shared" ref="AH3:AH34" si="0">$W$13</f>
        <v>2.236821855019167E-3</v>
      </c>
      <c r="AI3" s="206">
        <f t="shared" ref="AI3:AI34" si="1">$W$10+$W$9*AG3</f>
        <v>2.0436920045067714E-3</v>
      </c>
      <c r="AJ3" s="207">
        <f t="shared" ref="AJ3:AJ34" si="2">($W$5+$W$4*AG3+$W$3*AG3^2)</f>
        <v>1.9748121057963138E-3</v>
      </c>
    </row>
    <row r="4" spans="1:36" x14ac:dyDescent="0.2">
      <c r="D4" s="233" t="s">
        <v>139</v>
      </c>
      <c r="E4" s="176">
        <f>SettlementDate</f>
        <v>41954</v>
      </c>
      <c r="F4" s="176">
        <f>_xll.qlInterestRateIndexMaturity($E$9,E4)</f>
        <v>42135</v>
      </c>
      <c r="G4" s="175" t="str">
        <f>_xll.qlMakeDatedOIS(,E4,F4,OvernightIndex,0,,,,EvaluationDate)</f>
        <v>obj_0059d#0001</v>
      </c>
      <c r="H4" s="176" t="b">
        <f>_xll.qlInstrumentSetPricingEngine(G4,OisEngine)</f>
        <v>1</v>
      </c>
      <c r="I4" s="417">
        <f>J4+interpolatedbasis6M</f>
        <v>1.8915894158436641E-3</v>
      </c>
      <c r="J4" s="178">
        <f>_xll.qlOvernightIndexedSwapFairRate(G4,_xll.ohTrigger(H4,InterestRatesTrigger))</f>
        <v>-3.1459104390126784E-4</v>
      </c>
      <c r="K4" s="201">
        <f>I4*_xll.qlDayCounterYearFraction(DayCounter6M,E4,F4,,,Trigger)</f>
        <v>9.5104912296584219E-4</v>
      </c>
      <c r="L4" s="201">
        <f>J4*_xll.qlDayCounterYearFraction(DayCounterOIS,E4,F4,,,Trigger)</f>
        <v>-1.5816938596147079E-4</v>
      </c>
      <c r="M4" s="234">
        <f>K4-L4</f>
        <v>1.109218508927313E-3</v>
      </c>
      <c r="P4" s="212" t="b">
        <f>IF(E14="FRA",FALSE,IF(E14="FIX+FRA",FALSE,TRUE))</f>
        <v>1</v>
      </c>
      <c r="R4" s="421"/>
      <c r="S4" s="192">
        <v>6.512913660157095E-2</v>
      </c>
      <c r="T4" s="193">
        <v>0.16529930568586973</v>
      </c>
      <c r="U4" s="194">
        <v>0.49863013698630132</v>
      </c>
      <c r="V4" s="189" t="s">
        <v>40</v>
      </c>
      <c r="W4" s="196">
        <v>1.421782947286801E-3</v>
      </c>
      <c r="X4" s="189" t="s">
        <v>41</v>
      </c>
      <c r="Y4" s="177">
        <v>1.1478016067271628E-3</v>
      </c>
      <c r="AA4" s="192">
        <v>-107.50406413080631</v>
      </c>
      <c r="AB4" s="193">
        <v>185.94002841341793</v>
      </c>
      <c r="AC4" s="194">
        <v>-79.026645953659965</v>
      </c>
      <c r="AF4" s="208">
        <f>_xll.qlCalendarAdvance(Calendar,AF3,"1d","mf",,Trigger)</f>
        <v>41955</v>
      </c>
      <c r="AG4" s="219">
        <f>_xll.qlDayCounterYearFraction(DayCounterON,SettlementDate,AF4,,,Trigger)</f>
        <v>2.7397260273972603E-3</v>
      </c>
      <c r="AH4" s="209">
        <f t="shared" si="0"/>
        <v>2.236821855019167E-3</v>
      </c>
      <c r="AI4" s="209">
        <f t="shared" si="1"/>
        <v>2.045826036004146E-3</v>
      </c>
      <c r="AJ4" s="179">
        <f t="shared" si="2"/>
        <v>1.9786991129202435E-3</v>
      </c>
    </row>
    <row r="5" spans="1:36" x14ac:dyDescent="0.2">
      <c r="A5" s="191">
        <v>1</v>
      </c>
      <c r="B5" s="191" t="s">
        <v>40</v>
      </c>
      <c r="C5" s="232">
        <f>A5+6</f>
        <v>7</v>
      </c>
      <c r="D5" s="175" t="str">
        <f>Currency&amp;A5&amp;B5&amp;C5&amp;"F"&amp;QuoteSuffix</f>
        <v>EUR1x7F_Quote</v>
      </c>
      <c r="E5" s="176">
        <f>_xll.qlCalendarAdvance(Calendar,SettlementDate,A5&amp;"M","mf")</f>
        <v>41984</v>
      </c>
      <c r="F5" s="176">
        <f>_xll.qlInterestRateIndexMaturity($E$9,E5)</f>
        <v>42166</v>
      </c>
      <c r="G5" s="175" t="str">
        <f>_xll.qlMakeDatedOIS(,E5,F5,OvernightIndex,0,,,,EvaluationDate)</f>
        <v>obj_005a1#0001</v>
      </c>
      <c r="H5" s="176" t="b">
        <f>_xll.qlInstrumentSetPricingEngine(G5,OisEngine)</f>
        <v>1</v>
      </c>
      <c r="I5" s="177">
        <f>_xll.qlQuoteValue($D5,AllTriggers)</f>
        <v>1.8699999999999999E-3</v>
      </c>
      <c r="J5" s="178">
        <f>_xll.qlOvernightIndexedSwapFairRate(G5,_xll.ohTrigger(H5,InterestRatesTrigger))</f>
        <v>-4.0037680451526721E-4</v>
      </c>
      <c r="K5" s="201">
        <f>I5*_xll.qlDayCounterYearFraction(DayCounter6M,E5,F5,,,Trigger)</f>
        <v>9.4538888888888884E-4</v>
      </c>
      <c r="L5" s="201">
        <f>J5*_xll.qlDayCounterYearFraction(DayCounterOIS,E5,F5,,,Trigger)</f>
        <v>-2.0241271783827397E-4</v>
      </c>
      <c r="M5" s="212">
        <f>K5-L5</f>
        <v>1.1478016067271628E-3</v>
      </c>
      <c r="P5" s="212" t="b">
        <v>1</v>
      </c>
      <c r="R5" s="421"/>
      <c r="S5" s="192">
        <v>9.7945717882080563E-2</v>
      </c>
      <c r="T5" s="193">
        <v>0.20901482454494277</v>
      </c>
      <c r="U5" s="194">
        <v>0.49863013698630143</v>
      </c>
      <c r="V5" s="191"/>
      <c r="W5" s="196">
        <v>1.9748121057963138E-3</v>
      </c>
      <c r="X5" s="189"/>
      <c r="Y5" s="177">
        <v>1.1737178211526215E-3</v>
      </c>
      <c r="AA5" s="192">
        <v>16.933063569288546</v>
      </c>
      <c r="AB5" s="193">
        <v>-23.301902751987747</v>
      </c>
      <c r="AC5" s="194">
        <v>8.4673724990139672</v>
      </c>
      <c r="AF5" s="208">
        <f>_xll.qlCalendarAdvance(Calendar,AF4,"1d","mf",,Trigger)</f>
        <v>41956</v>
      </c>
      <c r="AG5" s="219">
        <f>_xll.qlDayCounterYearFraction(DayCounterON,SettlementDate,AF5,,,Trigger)</f>
        <v>5.4794520547945206E-3</v>
      </c>
      <c r="AH5" s="209">
        <f t="shared" si="0"/>
        <v>2.236821855019167E-3</v>
      </c>
      <c r="AI5" s="209">
        <f t="shared" si="1"/>
        <v>2.0479600675015206E-3</v>
      </c>
      <c r="AJ5" s="179">
        <f t="shared" si="2"/>
        <v>1.9825695428000488E-3</v>
      </c>
    </row>
    <row r="6" spans="1:36" x14ac:dyDescent="0.2">
      <c r="A6" s="191">
        <v>2</v>
      </c>
      <c r="B6" s="191" t="s">
        <v>40</v>
      </c>
      <c r="C6" s="232">
        <f t="shared" ref="C6:C7" si="3">A6+6</f>
        <v>8</v>
      </c>
      <c r="D6" s="175" t="str">
        <f>Currency&amp;A6&amp;B6&amp;C6&amp;"F"&amp;QuoteSuffix</f>
        <v>EUR2x8F_Quote</v>
      </c>
      <c r="E6" s="176">
        <f>_xll.qlCalendarAdvance(Calendar,SettlementDate,A6&amp;"M","mf")</f>
        <v>42016</v>
      </c>
      <c r="F6" s="176">
        <f>_xll.qlInterestRateIndexMaturity($E$9,E6)</f>
        <v>42198</v>
      </c>
      <c r="G6" s="175" t="str">
        <f>_xll.qlMakeDatedOIS(,E6,F6,OvernightIndex,0,,,,EvaluationDate)</f>
        <v>obj_00597#0001</v>
      </c>
      <c r="H6" s="176" t="b">
        <f>_xll.qlInstrumentSetPricingEngine(G6,OisEngine)</f>
        <v>1</v>
      </c>
      <c r="I6" s="177">
        <f>_xll.qlQuoteValue($D6,AllTriggers)</f>
        <v>1.8599999999999999E-3</v>
      </c>
      <c r="J6" s="178">
        <f>_xll.qlOvernightIndexedSwapFairRate(G6,_xll.ohTrigger(H6,InterestRatesTrigger))</f>
        <v>-4.6163964623595452E-4</v>
      </c>
      <c r="K6" s="201">
        <f>I6*_xll.qlDayCounterYearFraction(DayCounter6M,E6,F6,,,Trigger)</f>
        <v>9.4033333333333328E-4</v>
      </c>
      <c r="L6" s="201">
        <f>J6*_xll.qlDayCounterYearFraction(DayCounterOIS,E6,F6,,,Trigger)</f>
        <v>-2.3338448781928811E-4</v>
      </c>
      <c r="M6" s="212">
        <f>K6-L6</f>
        <v>1.1737178211526215E-3</v>
      </c>
      <c r="P6" s="212" t="b">
        <v>1</v>
      </c>
      <c r="W6" s="198"/>
      <c r="X6" s="237"/>
      <c r="Y6" s="199"/>
      <c r="AF6" s="208">
        <f>_xll.qlCalendarAdvance(Calendar,AF5,"1d","mf",,Trigger)</f>
        <v>41957</v>
      </c>
      <c r="AG6" s="219">
        <f>_xll.qlDayCounterYearFraction(DayCounterON,SettlementDate,AF6,,,Trigger)</f>
        <v>8.21917808219178E-3</v>
      </c>
      <c r="AH6" s="209">
        <f t="shared" si="0"/>
        <v>2.236821855019167E-3</v>
      </c>
      <c r="AI6" s="209">
        <f t="shared" si="1"/>
        <v>2.0500940989988952E-3</v>
      </c>
      <c r="AJ6" s="179">
        <f t="shared" si="2"/>
        <v>1.9864233954357308E-3</v>
      </c>
    </row>
    <row r="7" spans="1:36" ht="12" thickBot="1" x14ac:dyDescent="0.25">
      <c r="A7" s="191">
        <v>3</v>
      </c>
      <c r="B7" s="191" t="s">
        <v>40</v>
      </c>
      <c r="C7" s="232">
        <f t="shared" si="3"/>
        <v>9</v>
      </c>
      <c r="D7" s="180" t="str">
        <f>Currency&amp;A7&amp;B7&amp;C7&amp;"F"&amp;QuoteSuffix</f>
        <v>EUR3x9F_Quote</v>
      </c>
      <c r="E7" s="181">
        <f>_xll.qlCalendarAdvance(Calendar,SettlementDate,A7&amp;"M","mf")</f>
        <v>42046</v>
      </c>
      <c r="F7" s="181">
        <f>_xll.qlInterestRateIndexMaturity($E$9,E7)</f>
        <v>42227</v>
      </c>
      <c r="G7" s="180" t="str">
        <f>_xll.qlMakeDatedOIS(,E7,F7,OvernightIndex,0,,,,EvaluationDate)</f>
        <v>obj_005a5#0001</v>
      </c>
      <c r="H7" s="181" t="b">
        <f>_xll.qlInstrumentSetPricingEngine(G7,OisEngine)</f>
        <v>1</v>
      </c>
      <c r="I7" s="182">
        <f>_xll.qlQuoteValue($D7,AllTriggers)</f>
        <v>1.8500000000000001E-3</v>
      </c>
      <c r="J7" s="183">
        <f>_xll.qlOvernightIndexedSwapFairRate(G7,_xll.ohTrigger(H7,InterestRatesTrigger))</f>
        <v>-5.1736199959201022E-4</v>
      </c>
      <c r="K7" s="202">
        <f>I7*_xll.qlDayCounterYearFraction(DayCounter6M,E7,F7,,,Trigger)</f>
        <v>9.3013888888888888E-4</v>
      </c>
      <c r="L7" s="202">
        <f>J7*_xll.qlDayCounterYearFraction(DayCounterOIS,E7,F7,,,Trigger)</f>
        <v>-2.6011811646153848E-4</v>
      </c>
      <c r="M7" s="213">
        <f>K7-L7</f>
        <v>1.1902570053504273E-3</v>
      </c>
      <c r="P7" s="213" t="b">
        <f>IF(E14="FRA",TRUE,FALSE)</f>
        <v>0</v>
      </c>
      <c r="W7" s="198"/>
      <c r="X7" s="237"/>
      <c r="Y7" s="199"/>
      <c r="AF7" s="208">
        <f>_xll.qlCalendarAdvance(Calendar,AF6,"1d","mf",,Trigger)</f>
        <v>41960</v>
      </c>
      <c r="AG7" s="219">
        <f>_xll.qlDayCounterYearFraction(DayCounterON,SettlementDate,AF7,,,Trigger)</f>
        <v>1.643835616438356E-2</v>
      </c>
      <c r="AH7" s="209">
        <f t="shared" si="0"/>
        <v>2.236821855019167E-3</v>
      </c>
      <c r="AI7" s="209">
        <f t="shared" si="1"/>
        <v>2.0564961934910189E-3</v>
      </c>
      <c r="AJ7" s="179">
        <f t="shared" si="2"/>
        <v>1.9978854898780349E-3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41961</v>
      </c>
      <c r="AG8" s="219">
        <f>_xll.qlDayCounterYearFraction(DayCounterON,SettlementDate,AF8,,,Trigger)</f>
        <v>1.9178082191780823E-2</v>
      </c>
      <c r="AH8" s="209">
        <f t="shared" si="0"/>
        <v>2.236821855019167E-3</v>
      </c>
      <c r="AI8" s="209">
        <f t="shared" si="1"/>
        <v>2.058630224988393E-3</v>
      </c>
      <c r="AJ8" s="179">
        <f t="shared" si="2"/>
        <v>2.0016730335372223E-3</v>
      </c>
    </row>
    <row r="9" spans="1:36" x14ac:dyDescent="0.2">
      <c r="D9" s="185" t="s">
        <v>137</v>
      </c>
      <c r="E9" s="230" t="s">
        <v>138</v>
      </c>
      <c r="I9" s="185"/>
      <c r="J9" s="186"/>
      <c r="K9" s="186" t="s">
        <v>120</v>
      </c>
      <c r="L9" s="200" t="s">
        <v>121</v>
      </c>
      <c r="M9" s="187" t="s">
        <v>122</v>
      </c>
      <c r="P9" s="187" t="s">
        <v>142</v>
      </c>
      <c r="R9" s="420" t="s">
        <v>112</v>
      </c>
      <c r="S9" s="239"/>
      <c r="T9" s="192">
        <f t="array" ref="T9:T10">_xll.ohFilter(L10:L14,P10:P14)</f>
        <v>0.12295364984049541</v>
      </c>
      <c r="U9" s="194">
        <f t="array" ref="U9:U10">_xll.ohFilter(K10:K14,P10:P14)</f>
        <v>0.49589041095890413</v>
      </c>
      <c r="V9" s="422" t="s">
        <v>40</v>
      </c>
      <c r="W9" s="196">
        <f t="array" ref="W9:W10">MMULT(AA9:AB10,Y9:Y10)</f>
        <v>7.7892149654170892E-4</v>
      </c>
      <c r="X9" s="422" t="s">
        <v>41</v>
      </c>
      <c r="Y9" s="177">
        <f t="array" ref="Y9:Y10">_xll.ohFilter(M3:M7,P3:P7)</f>
        <v>1.109218508927313E-3</v>
      </c>
      <c r="AA9" s="192">
        <f t="array" ref="AA9:AB10">MINVERSE(T9:U10)</f>
        <v>-24.132777828095289</v>
      </c>
      <c r="AB9" s="194">
        <v>24.000180147721142</v>
      </c>
      <c r="AF9" s="208">
        <f>_xll.qlCalendarAdvance(Calendar,AF8,"1d","mf",,Trigger)</f>
        <v>41962</v>
      </c>
      <c r="AG9" s="219">
        <f>_xll.qlDayCounterYearFraction(DayCounterON,SettlementDate,AF9,,,Trigger)</f>
        <v>2.1917808219178082E-2</v>
      </c>
      <c r="AH9" s="209">
        <f t="shared" si="0"/>
        <v>2.236821855019167E-3</v>
      </c>
      <c r="AI9" s="209">
        <f t="shared" si="1"/>
        <v>2.0607642564857676E-3</v>
      </c>
      <c r="AJ9" s="179">
        <f t="shared" si="2"/>
        <v>2.0054439999522859E-3</v>
      </c>
    </row>
    <row r="10" spans="1:36" ht="11.25" customHeight="1" x14ac:dyDescent="0.2">
      <c r="D10" s="203" t="s">
        <v>135</v>
      </c>
      <c r="E10" s="231" t="s">
        <v>16</v>
      </c>
      <c r="I10" s="240">
        <f>_xll.qlDayCounterYearFraction(DayCounterON,SettlementDate,E3,,,Trigger)</f>
        <v>-2.7397260273972603E-3</v>
      </c>
      <c r="J10" s="241">
        <f>_xll.qlDayCounterYearFraction(DayCounterON,SettlementDate,F3,,,Trigger)</f>
        <v>0.49589041095890413</v>
      </c>
      <c r="K10" s="241">
        <f>J10-I10</f>
        <v>0.49863013698630138</v>
      </c>
      <c r="L10" s="241">
        <f>(J10^2-I10^2)/2</f>
        <v>0.12294989679114281</v>
      </c>
      <c r="M10" s="242">
        <f>(J10^3-I10^3)/3</f>
        <v>4.0647697487084973E-2</v>
      </c>
      <c r="P10" s="242" t="b">
        <f>P3</f>
        <v>0</v>
      </c>
      <c r="R10" s="420"/>
      <c r="S10" s="239"/>
      <c r="T10" s="192">
        <v>0.16529930568586973</v>
      </c>
      <c r="U10" s="194">
        <v>0.49863013698630132</v>
      </c>
      <c r="V10" s="422"/>
      <c r="W10" s="196">
        <v>2.0436920045067714E-3</v>
      </c>
      <c r="X10" s="422"/>
      <c r="Y10" s="177">
        <v>1.1478016067271628E-3</v>
      </c>
      <c r="AA10" s="192">
        <v>8.0001811430124103</v>
      </c>
      <c r="AB10" s="194">
        <v>-5.9507295982705841</v>
      </c>
      <c r="AF10" s="208">
        <f>_xll.qlCalendarAdvance(Calendar,AF9,"1d","mf",,Trigger)</f>
        <v>41963</v>
      </c>
      <c r="AG10" s="219">
        <f>_xll.qlDayCounterYearFraction(DayCounterON,SettlementDate,AF10,,,Trigger)</f>
        <v>2.4657534246575342E-2</v>
      </c>
      <c r="AH10" s="209">
        <f t="shared" si="0"/>
        <v>2.236821855019167E-3</v>
      </c>
      <c r="AI10" s="209">
        <f t="shared" si="1"/>
        <v>2.0628982879831422E-3</v>
      </c>
      <c r="AJ10" s="179">
        <f t="shared" si="2"/>
        <v>2.0091983891232256E-3</v>
      </c>
    </row>
    <row r="11" spans="1:36" ht="11.25" customHeight="1" x14ac:dyDescent="0.2">
      <c r="D11" s="203" t="s">
        <v>114</v>
      </c>
      <c r="E11" s="231" t="s">
        <v>16</v>
      </c>
      <c r="I11" s="240">
        <f>_xll.qlDayCounterYearFraction(DayCounterON,SettlementDate,E4,,,Trigger)</f>
        <v>0</v>
      </c>
      <c r="J11" s="241">
        <f>_xll.qlDayCounterYearFraction(DayCounterON,SettlementDate,F4,,,Trigger)</f>
        <v>0.49589041095890413</v>
      </c>
      <c r="K11" s="241">
        <f>J11-I11</f>
        <v>0.49589041095890413</v>
      </c>
      <c r="L11" s="241">
        <f>(J11^2-I11^2)/2</f>
        <v>0.12295364984049541</v>
      </c>
      <c r="M11" s="242">
        <f>(J11^3-I11^3)/3</f>
        <v>4.0647690632200313E-2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41964</v>
      </c>
      <c r="AG11" s="219">
        <f>_xll.qlDayCounterYearFraction(DayCounterON,SettlementDate,AF11,,,Trigger)</f>
        <v>2.7397260273972601E-2</v>
      </c>
      <c r="AH11" s="209">
        <f t="shared" si="0"/>
        <v>2.236821855019167E-3</v>
      </c>
      <c r="AI11" s="209">
        <f t="shared" si="1"/>
        <v>2.0650323194805168E-3</v>
      </c>
      <c r="AJ11" s="179">
        <f t="shared" si="2"/>
        <v>2.0129362010500415E-3</v>
      </c>
    </row>
    <row r="12" spans="1:36" ht="11.25" customHeight="1" x14ac:dyDescent="0.2">
      <c r="D12" s="203" t="s">
        <v>115</v>
      </c>
      <c r="E12" s="231" t="s">
        <v>116</v>
      </c>
      <c r="I12" s="240">
        <f>_xll.qlDayCounterYearFraction(DayCounterON,SettlementDate,E5,,,Trigger)</f>
        <v>8.2191780821917804E-2</v>
      </c>
      <c r="J12" s="241">
        <f>_xll.qlDayCounterYearFraction(DayCounterON,SettlementDate,F5,,,Trigger)</f>
        <v>0.58082191780821912</v>
      </c>
      <c r="K12" s="241">
        <f>J12-I12</f>
        <v>0.49863013698630132</v>
      </c>
      <c r="L12" s="241">
        <f>(J12^2-I12^2)/2</f>
        <v>0.16529930568586973</v>
      </c>
      <c r="M12" s="242">
        <f>(J12^3-I12^3)/3</f>
        <v>6.512913660157095E-2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41967</v>
      </c>
      <c r="AG12" s="219">
        <f>_xll.qlDayCounterYearFraction(DayCounterON,SettlementDate,AF12,,,Trigger)</f>
        <v>3.5616438356164383E-2</v>
      </c>
      <c r="AH12" s="209">
        <f t="shared" si="0"/>
        <v>2.236821855019167E-3</v>
      </c>
      <c r="AI12" s="209">
        <f t="shared" si="1"/>
        <v>2.0714344139726405E-3</v>
      </c>
      <c r="AJ12" s="179">
        <f t="shared" si="2"/>
        <v>2.0240501733657483E-3</v>
      </c>
    </row>
    <row r="13" spans="1:36" ht="11.25" customHeight="1" x14ac:dyDescent="0.2">
      <c r="D13" s="203" t="s">
        <v>144</v>
      </c>
      <c r="E13" s="409" t="s">
        <v>104</v>
      </c>
      <c r="I13" s="240">
        <f>_xll.qlDayCounterYearFraction(DayCounterON,SettlementDate,E6,,,Trigger)</f>
        <v>0.16986301369863013</v>
      </c>
      <c r="J13" s="241">
        <f>_xll.qlDayCounterYearFraction(DayCounterON,SettlementDate,F6,,,Trigger)</f>
        <v>0.66849315068493154</v>
      </c>
      <c r="K13" s="241">
        <f>J13-I13</f>
        <v>0.49863013698630143</v>
      </c>
      <c r="L13" s="241">
        <f>(J13^2-I13^2)/2</f>
        <v>0.20901482454494277</v>
      </c>
      <c r="M13" s="242">
        <f>(J13^3-I13^3)/3</f>
        <v>9.7945717882080563E-2</v>
      </c>
      <c r="P13" s="242" t="b">
        <f>P6</f>
        <v>1</v>
      </c>
      <c r="R13" s="225" t="s">
        <v>113</v>
      </c>
      <c r="U13" s="195">
        <f t="array" ref="U13">_xll.ohFilter(K10:K14,P10:P14)</f>
        <v>0.49589041095890413</v>
      </c>
      <c r="V13" s="225" t="s">
        <v>40</v>
      </c>
      <c r="W13" s="196">
        <f>MMULT(AA13,Y13)</f>
        <v>2.236821855019167E-3</v>
      </c>
      <c r="X13" s="225" t="s">
        <v>41</v>
      </c>
      <c r="Y13" s="177">
        <f t="array" ref="Y13">_xll.ohFilter(M3:M7,P3:P7)</f>
        <v>1.109218508927313E-3</v>
      </c>
      <c r="AA13" s="195">
        <f>MINVERSE(U13)</f>
        <v>2.0165745856353592</v>
      </c>
      <c r="AF13" s="208">
        <f>_xll.qlCalendarAdvance(Calendar,AF12,"1d","mf",,Trigger)</f>
        <v>41968</v>
      </c>
      <c r="AG13" s="219">
        <f>_xll.qlDayCounterYearFraction(DayCounterON,SettlementDate,AF13,,,Trigger)</f>
        <v>3.8356164383561646E-2</v>
      </c>
      <c r="AH13" s="209">
        <f t="shared" si="0"/>
        <v>2.236821855019167E-3</v>
      </c>
      <c r="AI13" s="209">
        <f t="shared" si="1"/>
        <v>2.0735684454700151E-3</v>
      </c>
      <c r="AJ13" s="179">
        <f t="shared" si="2"/>
        <v>2.0277216763160697E-3</v>
      </c>
    </row>
    <row r="14" spans="1:36" ht="11.25" customHeight="1" thickBot="1" x14ac:dyDescent="0.25">
      <c r="D14" s="204" t="s">
        <v>148</v>
      </c>
      <c r="E14" s="416" t="s">
        <v>147</v>
      </c>
      <c r="I14" s="243">
        <f>_xll.qlDayCounterYearFraction(DayCounterON,SettlementDate,E7,,,Trigger)</f>
        <v>0.25205479452054796</v>
      </c>
      <c r="J14" s="244">
        <f>_xll.qlDayCounterYearFraction(DayCounterON,SettlementDate,F7,,,Trigger)</f>
        <v>0.74794520547945209</v>
      </c>
      <c r="K14" s="244">
        <f>J14-I14</f>
        <v>0.49589041095890413</v>
      </c>
      <c r="L14" s="244">
        <f>(J14^2-I14^2)/2</f>
        <v>0.24794520547945209</v>
      </c>
      <c r="M14" s="245">
        <f>(J14^3-I14^3)/3</f>
        <v>0.13413452539777612</v>
      </c>
      <c r="P14" s="245" t="b">
        <f>P7</f>
        <v>0</v>
      </c>
      <c r="AF14" s="208">
        <f>_xll.qlCalendarAdvance(Calendar,AF13,"1d","mf",,Trigger)</f>
        <v>41969</v>
      </c>
      <c r="AG14" s="219">
        <f>_xll.qlDayCounterYearFraction(DayCounterON,SettlementDate,AF14,,,Trigger)</f>
        <v>4.1095890410958902E-2</v>
      </c>
      <c r="AH14" s="209">
        <f t="shared" si="0"/>
        <v>2.236821855019167E-3</v>
      </c>
      <c r="AI14" s="209">
        <f t="shared" si="1"/>
        <v>2.0757024769673896E-3</v>
      </c>
      <c r="AJ14" s="179">
        <f t="shared" si="2"/>
        <v>2.0313766020222676E-3</v>
      </c>
    </row>
    <row r="15" spans="1:36" ht="11.25" customHeight="1" thickBot="1" x14ac:dyDescent="0.25">
      <c r="P15" s="190"/>
      <c r="AF15" s="208">
        <f>_xll.qlCalendarAdvance(Calendar,AF14,"1d","mf",,Trigger)</f>
        <v>41970</v>
      </c>
      <c r="AG15" s="219">
        <f>_xll.qlDayCounterYearFraction(DayCounterON,SettlementDate,AF15,,,Trigger)</f>
        <v>4.3835616438356165E-2</v>
      </c>
      <c r="AH15" s="209">
        <f t="shared" si="0"/>
        <v>2.236821855019167E-3</v>
      </c>
      <c r="AI15" s="209">
        <f t="shared" si="1"/>
        <v>2.0778365084647642E-3</v>
      </c>
      <c r="AJ15" s="179">
        <f t="shared" si="2"/>
        <v>2.0350149504843418E-3</v>
      </c>
    </row>
    <row r="16" spans="1:36" ht="11.25" customHeight="1" thickBot="1" x14ac:dyDescent="0.25">
      <c r="M16" s="246" t="s">
        <v>146</v>
      </c>
      <c r="N16" s="247"/>
      <c r="O16" s="248"/>
      <c r="P16" s="190"/>
      <c r="AF16" s="208">
        <f>_xll.qlCalendarAdvance(Calendar,AF15,"1d","mf",,Trigger)</f>
        <v>41971</v>
      </c>
      <c r="AG16" s="219">
        <f>_xll.qlDayCounterYearFraction(DayCounterON,SettlementDate,AF16,,,Trigger)</f>
        <v>4.6575342465753428E-2</v>
      </c>
      <c r="AH16" s="209">
        <f t="shared" si="0"/>
        <v>2.236821855019167E-3</v>
      </c>
      <c r="AI16" s="209">
        <f t="shared" si="1"/>
        <v>2.0799705399621388E-3</v>
      </c>
      <c r="AJ16" s="179">
        <f t="shared" si="2"/>
        <v>2.038636721702292E-3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145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176</v>
      </c>
      <c r="P17" s="190"/>
      <c r="AF17" s="208">
        <f>_xll.qlCalendarAdvance(Calendar,AF16,"1d","mf",,Trigger)</f>
        <v>41974</v>
      </c>
      <c r="AG17" s="219">
        <f>_xll.qlDayCounterYearFraction(DayCounterON,SettlementDate,AF17,,,Trigger)</f>
        <v>5.4794520547945202E-2</v>
      </c>
      <c r="AH17" s="209">
        <f t="shared" si="0"/>
        <v>2.236821855019167E-3</v>
      </c>
      <c r="AI17" s="209">
        <f t="shared" si="1"/>
        <v>2.0863726344542625E-3</v>
      </c>
      <c r="AJ17" s="179">
        <f t="shared" si="2"/>
        <v>2.0494025718914015E-3</v>
      </c>
    </row>
    <row r="18" spans="4:36" ht="11.25" customHeight="1" x14ac:dyDescent="0.2">
      <c r="D18" s="224" t="s">
        <v>46</v>
      </c>
      <c r="E18" s="215">
        <f t="shared" ref="E18:E27" si="4">SettlementDate</f>
        <v>41954</v>
      </c>
      <c r="F18" s="216">
        <f>_xll.qlCalendarAdvance(Calendar,SettlementDate,D18,"Following",,Trigger)</f>
        <v>41955</v>
      </c>
      <c r="G18" s="217" t="str">
        <f>_xll.qlMakeDatedOIS(,E18,F18,OvernightIndex,0,,,,EvaluationDate)</f>
        <v>obj_00594#0001</v>
      </c>
      <c r="H18" s="226" t="b">
        <f>_xll.qlInstrumentSetPricingEngine(G18,OisEngine)</f>
        <v>1</v>
      </c>
      <c r="I18" s="214">
        <f>_xll.qlOvernightIndexedSwapFairRate(G18,_xll.ohTrigger(InterestRatesTrigger))</f>
        <v>-2.8310668753306345E-4</v>
      </c>
      <c r="J18" s="241">
        <f>_xll.qlDayCounterYearFraction(DayCounterOIS,E18,F18,,,Trigger)</f>
        <v>2.7777777777777779E-3</v>
      </c>
      <c r="K18" s="241">
        <f>_xll.qlDayCounterYearFraction(DayCounter6M,E18,F18,,,Trigger)</f>
        <v>2.7777777777777779E-3</v>
      </c>
      <c r="L18" s="241">
        <f>_xll.qlDayCounterYearFraction(DayCounterON,E18,F18,,,Trigger)</f>
        <v>2.7397260273972603E-3</v>
      </c>
      <c r="M18" s="209">
        <f t="shared" ref="M18:M27" si="5">($I18*$J18+$W$13*L18)/$K18</f>
        <v>1.9230737722118682E-3</v>
      </c>
      <c r="N18" s="209">
        <f t="shared" ref="N18:N27" si="6">($I18*$J18+($W$10*L18+$W$9*L18^2/2))/$K18</f>
        <v>1.7336419351846493E-3</v>
      </c>
      <c r="O18" s="209">
        <f t="shared" ref="O18:O27" si="7">($I18*$J18+($W$5*L18+$W$4*L18^2/2+$W$3*L18^3/3))/$K18</f>
        <v>1.6665714403746182E-3</v>
      </c>
      <c r="P18" s="190"/>
      <c r="AF18" s="208">
        <f>_xll.qlCalendarAdvance(Calendar,AF17,"1d","mf",,Trigger)</f>
        <v>41975</v>
      </c>
      <c r="AG18" s="219">
        <f>_xll.qlDayCounterYearFraction(DayCounterON,SettlementDate,AF18,,,Trigger)</f>
        <v>5.7534246575342465E-2</v>
      </c>
      <c r="AH18" s="209">
        <f t="shared" si="0"/>
        <v>2.236821855019167E-3</v>
      </c>
      <c r="AI18" s="209">
        <f t="shared" si="1"/>
        <v>2.0885066659516367E-3</v>
      </c>
      <c r="AJ18" s="179">
        <f t="shared" si="2"/>
        <v>2.0529580341328568E-3</v>
      </c>
    </row>
    <row r="19" spans="4:36" ht="11.25" customHeight="1" x14ac:dyDescent="0.2">
      <c r="D19" s="222" t="s">
        <v>47</v>
      </c>
      <c r="E19" s="176">
        <f>SettlementDate</f>
        <v>41954</v>
      </c>
      <c r="F19" s="218">
        <f>_xll.qlCalendarAdvance(Calendar,SettlementDate,D19,"Following",,Trigger)</f>
        <v>41961</v>
      </c>
      <c r="G19" s="219" t="str">
        <f>_xll.qlMakeDatedOIS(,E19,F19,OvernightIndex,0,,,,EvaluationDate)</f>
        <v>obj_005a3#0001</v>
      </c>
      <c r="H19" s="227" t="b">
        <f>_xll.qlInstrumentSetPricingEngine(G19,OisEngine)</f>
        <v>1</v>
      </c>
      <c r="I19" s="178">
        <f>_xll.qlOvernightIndexedSwapFairRate(G19,_xll.ohTrigger(InterestRatesTrigger))</f>
        <v>-2.8999999997963196E-4</v>
      </c>
      <c r="J19" s="241">
        <f>_xll.qlDayCounterYearFraction(DayCounterOIS,E19,F19,,,Trigger)</f>
        <v>1.9444444444444445E-2</v>
      </c>
      <c r="K19" s="241">
        <f>_xll.qlDayCounterYearFraction(DayCounter6M,E19,F19,,,Trigger)</f>
        <v>1.9444444444444445E-2</v>
      </c>
      <c r="L19" s="241">
        <f>_xll.qlDayCounterYearFraction(DayCounterON,E19,F19,,,Trigger)</f>
        <v>1.9178082191780823E-2</v>
      </c>
      <c r="M19" s="209">
        <f t="shared" si="5"/>
        <v>1.9161804597652998E-3</v>
      </c>
      <c r="N19" s="209">
        <f t="shared" si="6"/>
        <v>1.7330630173056547E-3</v>
      </c>
      <c r="O19" s="209">
        <f t="shared" si="7"/>
        <v>1.6710731332502261E-3</v>
      </c>
      <c r="P19" s="190"/>
      <c r="AF19" s="208">
        <f>_xll.qlCalendarAdvance(Calendar,AF18,"1d","mf",,Trigger)</f>
        <v>41976</v>
      </c>
      <c r="AG19" s="219">
        <f>_xll.qlDayCounterYearFraction(DayCounterON,SettlementDate,AF19,,,Trigger)</f>
        <v>6.0273972602739728E-2</v>
      </c>
      <c r="AH19" s="209">
        <f t="shared" si="0"/>
        <v>2.236821855019167E-3</v>
      </c>
      <c r="AI19" s="209">
        <f t="shared" si="1"/>
        <v>2.0906406974490113E-3</v>
      </c>
      <c r="AJ19" s="179">
        <f t="shared" si="2"/>
        <v>2.0564969191301887E-3</v>
      </c>
    </row>
    <row r="20" spans="4:36" ht="11.25" customHeight="1" x14ac:dyDescent="0.2">
      <c r="D20" s="222" t="s">
        <v>48</v>
      </c>
      <c r="E20" s="176">
        <f t="shared" si="4"/>
        <v>41954</v>
      </c>
      <c r="F20" s="218">
        <f>_xll.qlCalendarAdvance(Calendar,SettlementDate,D20,"Following",,Trigger)</f>
        <v>41968</v>
      </c>
      <c r="G20" s="219" t="str">
        <f>_xll.qlMakeDatedOIS(,E20,F20,OvernightIndex,0,,,,EvaluationDate)</f>
        <v>obj_005a6#0001</v>
      </c>
      <c r="H20" s="227" t="b">
        <f>_xll.qlInstrumentSetPricingEngine(G20,OisEngine)</f>
        <v>1</v>
      </c>
      <c r="I20" s="178">
        <f>_xll.qlOvernightIndexedSwapFairRate(G20,_xll.ohTrigger(InterestRatesTrigger))</f>
        <v>-3.0733469311198082E-4</v>
      </c>
      <c r="J20" s="241">
        <f>_xll.qlDayCounterYearFraction(DayCounterOIS,E20,F20,,,Trigger)</f>
        <v>3.888888888888889E-2</v>
      </c>
      <c r="K20" s="241">
        <f>_xll.qlDayCounterYearFraction(DayCounter6M,E20,F20,,,Trigger)</f>
        <v>3.888888888888889E-2</v>
      </c>
      <c r="L20" s="241">
        <f>_xll.qlDayCounterYearFraction(DayCounterON,E20,F20,,,Trigger)</f>
        <v>3.8356164383561646E-2</v>
      </c>
      <c r="M20" s="209">
        <f t="shared" si="5"/>
        <v>1.8988457666329508E-3</v>
      </c>
      <c r="N20" s="209">
        <f t="shared" si="6"/>
        <v>1.7230951178354755E-3</v>
      </c>
      <c r="O20" s="209">
        <f t="shared" si="7"/>
        <v>1.6667846355885023E-3</v>
      </c>
      <c r="P20" s="190"/>
      <c r="AF20" s="208">
        <f>_xll.qlCalendarAdvance(Calendar,AF19,"1d","mf",,Trigger)</f>
        <v>41977</v>
      </c>
      <c r="AG20" s="219">
        <f>_xll.qlDayCounterYearFraction(DayCounterON,SettlementDate,AF20,,,Trigger)</f>
        <v>6.3013698630136991E-2</v>
      </c>
      <c r="AH20" s="209">
        <f t="shared" si="0"/>
        <v>2.236821855019167E-3</v>
      </c>
      <c r="AI20" s="209">
        <f t="shared" si="1"/>
        <v>2.0927747289463858E-3</v>
      </c>
      <c r="AJ20" s="179">
        <f t="shared" si="2"/>
        <v>2.0600192268833972E-3</v>
      </c>
    </row>
    <row r="21" spans="4:36" ht="11.25" customHeight="1" x14ac:dyDescent="0.2">
      <c r="D21" s="222" t="s">
        <v>49</v>
      </c>
      <c r="E21" s="176">
        <f t="shared" si="4"/>
        <v>41954</v>
      </c>
      <c r="F21" s="218">
        <f>_xll.qlCalendarAdvance(Calendar,SettlementDate,D21,"Following",,Trigger)</f>
        <v>41975</v>
      </c>
      <c r="G21" s="219" t="str">
        <f>_xll.qlMakeDatedOIS(,E21,F21,OvernightIndex,0,,,,EvaluationDate)</f>
        <v>obj_00592#0001</v>
      </c>
      <c r="H21" s="227" t="b">
        <f>_xll.qlInstrumentSetPricingEngine(G21,OisEngine)</f>
        <v>1</v>
      </c>
      <c r="I21" s="178">
        <f>_xll.qlOvernightIndexedSwapFairRate(G21,_xll.ohTrigger(InterestRatesTrigger))</f>
        <v>6.4178602051815195E-6</v>
      </c>
      <c r="J21" s="241">
        <f>_xll.qlDayCounterYearFraction(DayCounterOIS,E21,F21,,,Trigger)</f>
        <v>5.8333333333333334E-2</v>
      </c>
      <c r="K21" s="241">
        <f>_xll.qlDayCounterYearFraction(DayCounter6M,E21,F21,,,Trigger)</f>
        <v>5.8333333333333334E-2</v>
      </c>
      <c r="L21" s="241">
        <f>_xll.qlDayCounterYearFraction(DayCounterON,E21,F21,,,Trigger)</f>
        <v>5.7534246575342465E-2</v>
      </c>
      <c r="M21" s="209">
        <f t="shared" si="5"/>
        <v>2.2125983199501134E-3</v>
      </c>
      <c r="N21" s="209">
        <f t="shared" si="6"/>
        <v>2.0442144648148077E-3</v>
      </c>
      <c r="O21" s="209">
        <f t="shared" si="7"/>
        <v>1.9933163317860229E-3</v>
      </c>
      <c r="P21" s="190"/>
      <c r="AF21" s="208">
        <f>_xll.qlCalendarAdvance(Calendar,AF20,"1d","mf",,Trigger)</f>
        <v>41978</v>
      </c>
      <c r="AG21" s="219">
        <f>_xll.qlDayCounterYearFraction(DayCounterON,SettlementDate,AF21,,,Trigger)</f>
        <v>6.575342465753424E-2</v>
      </c>
      <c r="AH21" s="209">
        <f t="shared" si="0"/>
        <v>2.236821855019167E-3</v>
      </c>
      <c r="AI21" s="209">
        <f t="shared" si="1"/>
        <v>2.0949087604437604E-3</v>
      </c>
      <c r="AJ21" s="179">
        <f t="shared" si="2"/>
        <v>2.0635249573924819E-3</v>
      </c>
    </row>
    <row r="22" spans="4:36" ht="11.25" customHeight="1" x14ac:dyDescent="0.2">
      <c r="D22" s="222" t="s">
        <v>43</v>
      </c>
      <c r="E22" s="176">
        <f t="shared" si="4"/>
        <v>41954</v>
      </c>
      <c r="F22" s="218">
        <f>_xll.qlCalendarAdvance(Calendar,SettlementDate,D22,"mf",TRUE,Trigger)</f>
        <v>41984</v>
      </c>
      <c r="G22" s="219" t="str">
        <f>_xll.qlMakeDatedOIS(,E22,F22,OvernightIndex,0,,,,EvaluationDate)</f>
        <v>obj_0058b#0001</v>
      </c>
      <c r="H22" s="227" t="b">
        <f>_xll.qlInstrumentSetPricingEngine(G22,OisEngine)</f>
        <v>1</v>
      </c>
      <c r="I22" s="178">
        <f>_xll.qlOvernightIndexedSwapFairRate(G22,_xll.ohTrigger(InterestRatesTrigger))</f>
        <v>-1.1689673686099412E-4</v>
      </c>
      <c r="J22" s="241">
        <f>_xll.qlDayCounterYearFraction(DayCounterOIS,E22,F22,,,Trigger)</f>
        <v>8.3333333333333329E-2</v>
      </c>
      <c r="K22" s="241">
        <f>_xll.qlDayCounterYearFraction(DayCounter6M,E22,F22,,,Trigger)</f>
        <v>8.3333333333333329E-2</v>
      </c>
      <c r="L22" s="241">
        <f>_xll.qlDayCounterYearFraction(DayCounterON,E22,F22,,,Trigger)</f>
        <v>8.2191780821917804E-2</v>
      </c>
      <c r="M22" s="209">
        <f t="shared" si="5"/>
        <v>2.0892837228839375E-3</v>
      </c>
      <c r="N22" s="209">
        <f t="shared" si="6"/>
        <v>1.9303714595999928E-3</v>
      </c>
      <c r="O22" s="209">
        <f t="shared" si="7"/>
        <v>1.8860396574742018E-3</v>
      </c>
      <c r="P22" s="190"/>
      <c r="AF22" s="208">
        <f>_xll.qlCalendarAdvance(Calendar,AF21,"1d","mf",,Trigger)</f>
        <v>41981</v>
      </c>
      <c r="AG22" s="219">
        <f>_xll.qlDayCounterYearFraction(DayCounterON,SettlementDate,AF22,,,Trigger)</f>
        <v>7.3972602739726029E-2</v>
      </c>
      <c r="AH22" s="209">
        <f t="shared" si="0"/>
        <v>2.236821855019167E-3</v>
      </c>
      <c r="AI22" s="209">
        <f t="shared" si="1"/>
        <v>2.1013108549358841E-3</v>
      </c>
      <c r="AJ22" s="179">
        <f t="shared" si="2"/>
        <v>2.0739426854549936E-3</v>
      </c>
    </row>
    <row r="23" spans="4:36" ht="11.25" customHeight="1" x14ac:dyDescent="0.2">
      <c r="D23" s="222" t="s">
        <v>50</v>
      </c>
      <c r="E23" s="176">
        <f t="shared" si="4"/>
        <v>41954</v>
      </c>
      <c r="F23" s="218">
        <f>_xll.qlCalendarAdvance(Calendar,SettlementDate,D23,"mf",TRUE,Trigger)</f>
        <v>42016</v>
      </c>
      <c r="G23" s="219" t="str">
        <f>_xll.qlMakeDatedOIS(,E23,F23,OvernightIndex,0,,,,EvaluationDate)</f>
        <v>obj_00593#0001</v>
      </c>
      <c r="H23" s="227" t="b">
        <f>_xll.qlInstrumentSetPricingEngine(G23,OisEngine)</f>
        <v>1</v>
      </c>
      <c r="I23" s="178">
        <f>_xll.qlOvernightIndexedSwapFairRate(G23,_xll.ohTrigger(InterestRatesTrigger))</f>
        <v>-2.0999999999905502E-4</v>
      </c>
      <c r="J23" s="241">
        <f>_xll.qlDayCounterYearFraction(DayCounterOIS,E23,F23,,,Trigger)</f>
        <v>0.17222222222222222</v>
      </c>
      <c r="K23" s="241">
        <f>_xll.qlDayCounterYearFraction(DayCounter6M,E23,F23,,,Trigger)</f>
        <v>0.17222222222222222</v>
      </c>
      <c r="L23" s="241">
        <f>_xll.qlDayCounterYearFraction(DayCounterON,E23,F23,,,Trigger)</f>
        <v>0.16986301369863013</v>
      </c>
      <c r="M23" s="209">
        <f t="shared" si="5"/>
        <v>1.9961804597458765E-3</v>
      </c>
      <c r="N23" s="209">
        <f t="shared" si="6"/>
        <v>1.8709449674889933E-3</v>
      </c>
      <c r="O23" s="209">
        <f t="shared" si="7"/>
        <v>1.846384885007104E-3</v>
      </c>
      <c r="P23" s="190"/>
      <c r="AF23" s="208">
        <f>_xll.qlCalendarAdvance(Calendar,AF22,"1d","mf",,Trigger)</f>
        <v>41982</v>
      </c>
      <c r="AG23" s="219">
        <f>_xll.qlDayCounterYearFraction(DayCounterON,SettlementDate,AF23,,,Trigger)</f>
        <v>7.6712328767123292E-2</v>
      </c>
      <c r="AH23" s="209">
        <f t="shared" si="0"/>
        <v>2.236821855019167E-3</v>
      </c>
      <c r="AI23" s="209">
        <f t="shared" si="1"/>
        <v>2.1034448864332587E-3</v>
      </c>
      <c r="AJ23" s="179">
        <f t="shared" si="2"/>
        <v>2.0773821069875833E-3</v>
      </c>
    </row>
    <row r="24" spans="4:36" ht="11.25" customHeight="1" x14ac:dyDescent="0.2">
      <c r="D24" s="222" t="s">
        <v>44</v>
      </c>
      <c r="E24" s="176">
        <f t="shared" si="4"/>
        <v>41954</v>
      </c>
      <c r="F24" s="218">
        <f>_xll.qlCalendarAdvance(Calendar,SettlementDate,D24,"mf",TRUE,Trigger)</f>
        <v>42046</v>
      </c>
      <c r="G24" s="219" t="str">
        <f>_xll.qlMakeDatedOIS(,E24,F24,OvernightIndex,0,,,,EvaluationDate)</f>
        <v>obj_00599#0001</v>
      </c>
      <c r="H24" s="227" t="b">
        <f>_xll.qlInstrumentSetPricingEngine(G24,OisEngine)</f>
        <v>1</v>
      </c>
      <c r="I24" s="178">
        <f>_xll.qlOvernightIndexedSwapFairRate(G24,_xll.ohTrigger(InterestRatesTrigger))</f>
        <v>-2.5182464861340647E-4</v>
      </c>
      <c r="J24" s="241">
        <f>_xll.qlDayCounterYearFraction(DayCounterOIS,E24,F24,,,Trigger)</f>
        <v>0.25555555555555554</v>
      </c>
      <c r="K24" s="241">
        <f>_xll.qlDayCounterYearFraction(DayCounter6M,E24,F24,,,Trigger)</f>
        <v>0.25555555555555554</v>
      </c>
      <c r="L24" s="241">
        <f>_xll.qlDayCounterYearFraction(DayCounterON,E24,F24,,,Trigger)</f>
        <v>0.25205479452054796</v>
      </c>
      <c r="M24" s="209">
        <f t="shared" si="5"/>
        <v>1.9543558111315257E-3</v>
      </c>
      <c r="N24" s="209">
        <f t="shared" si="6"/>
        <v>1.8606922917125122E-3</v>
      </c>
      <c r="O24" s="209">
        <f t="shared" si="7"/>
        <v>1.8495996472345801E-3</v>
      </c>
      <c r="P24" s="190"/>
      <c r="AF24" s="208">
        <f>_xll.qlCalendarAdvance(Calendar,AF23,"1d","mf",,Trigger)</f>
        <v>41983</v>
      </c>
      <c r="AG24" s="219">
        <f>_xll.qlDayCounterYearFraction(DayCounterON,SettlementDate,AF24,,,Trigger)</f>
        <v>7.9452054794520555E-2</v>
      </c>
      <c r="AH24" s="209">
        <f t="shared" si="0"/>
        <v>2.236821855019167E-3</v>
      </c>
      <c r="AI24" s="209">
        <f t="shared" si="1"/>
        <v>2.1055789179306333E-3</v>
      </c>
      <c r="AJ24" s="179">
        <f t="shared" si="2"/>
        <v>2.0808049512760496E-3</v>
      </c>
    </row>
    <row r="25" spans="4:36" x14ac:dyDescent="0.2">
      <c r="D25" s="222" t="s">
        <v>51</v>
      </c>
      <c r="E25" s="176">
        <f t="shared" si="4"/>
        <v>41954</v>
      </c>
      <c r="F25" s="218">
        <f>_xll.qlCalendarAdvance(Calendar,SettlementDate,D25,"mf",TRUE,Trigger)</f>
        <v>42074</v>
      </c>
      <c r="G25" s="219" t="str">
        <f>_xll.qlMakeDatedOIS(,E25,F25,OvernightIndex,0,,,,EvaluationDate)</f>
        <v>obj_00590#0001</v>
      </c>
      <c r="H25" s="227" t="b">
        <f>_xll.qlInstrumentSetPricingEngine(G25,OisEngine)</f>
        <v>1</v>
      </c>
      <c r="I25" s="178">
        <f>_xll.qlOvernightIndexedSwapFairRate(G25,_xll.ohTrigger(InterestRatesTrigger))</f>
        <v>-2.4910416650092421E-4</v>
      </c>
      <c r="J25" s="241">
        <f>_xll.qlDayCounterYearFraction(DayCounterOIS,E25,F25,,,Trigger)</f>
        <v>0.33333333333333331</v>
      </c>
      <c r="K25" s="241">
        <f>_xll.qlDayCounterYearFraction(DayCounter6M,E25,F25,,,Trigger)</f>
        <v>0.33333333333333331</v>
      </c>
      <c r="L25" s="241">
        <f>_xll.qlDayCounterYearFraction(DayCounterON,E25,F25,,,Trigger)</f>
        <v>0.32876712328767121</v>
      </c>
      <c r="M25" s="209">
        <f t="shared" si="5"/>
        <v>1.9570762932440075E-3</v>
      </c>
      <c r="N25" s="209">
        <f t="shared" si="6"/>
        <v>1.8928799484736727E-3</v>
      </c>
      <c r="O25" s="209">
        <f t="shared" si="7"/>
        <v>1.8899314698750168E-3</v>
      </c>
      <c r="P25" s="190"/>
      <c r="AF25" s="208">
        <f>_xll.qlCalendarAdvance(Calendar,AF24,"1d","mf",,Trigger)</f>
        <v>41984</v>
      </c>
      <c r="AG25" s="219">
        <f>_xll.qlDayCounterYearFraction(DayCounterON,SettlementDate,AF25,,,Trigger)</f>
        <v>8.2191780821917804E-2</v>
      </c>
      <c r="AH25" s="209">
        <f t="shared" si="0"/>
        <v>2.236821855019167E-3</v>
      </c>
      <c r="AI25" s="209">
        <f t="shared" si="1"/>
        <v>2.1077129494280079E-3</v>
      </c>
      <c r="AJ25" s="179">
        <f t="shared" si="2"/>
        <v>2.084211218320392E-3</v>
      </c>
    </row>
    <row r="26" spans="4:36" x14ac:dyDescent="0.2">
      <c r="D26" s="222" t="s">
        <v>52</v>
      </c>
      <c r="E26" s="176">
        <f t="shared" si="4"/>
        <v>41954</v>
      </c>
      <c r="F26" s="218">
        <f>_xll.qlCalendarAdvance(Calendar,SettlementDate,D26,"mf",TRUE,Trigger)</f>
        <v>42107</v>
      </c>
      <c r="G26" s="219" t="str">
        <f>_xll.qlMakeDatedOIS(,E26,F26,OvernightIndex,0,,,,EvaluationDate)</f>
        <v>obj_0058d#0001</v>
      </c>
      <c r="H26" s="227" t="b">
        <f>_xll.qlInstrumentSetPricingEngine(G26,OisEngine)</f>
        <v>1</v>
      </c>
      <c r="I26" s="178">
        <f>_xll.qlOvernightIndexedSwapFairRate(G26,_xll.ohTrigger(InterestRatesTrigger))</f>
        <v>-2.6763528669207992E-4</v>
      </c>
      <c r="J26" s="241">
        <f>_xll.qlDayCounterYearFraction(DayCounterOIS,E26,F26,,,Trigger)</f>
        <v>0.42499999999999999</v>
      </c>
      <c r="K26" s="241">
        <f>_xll.qlDayCounterYearFraction(DayCounter6M,E26,F26,,,Trigger)</f>
        <v>0.42499999999999999</v>
      </c>
      <c r="L26" s="241">
        <f>_xll.qlDayCounterYearFraction(DayCounterON,E26,F26,,,Trigger)</f>
        <v>0.41917808219178082</v>
      </c>
      <c r="M26" s="209">
        <f t="shared" si="5"/>
        <v>1.9385451730528518E-3</v>
      </c>
      <c r="N26" s="209">
        <f t="shared" si="6"/>
        <v>1.9090779984041739E-3</v>
      </c>
      <c r="O26" s="209">
        <f t="shared" si="7"/>
        <v>1.9102425228141912E-3</v>
      </c>
      <c r="P26" s="190"/>
      <c r="AF26" s="208">
        <f>_xll.qlCalendarAdvance(Calendar,AF25,"1d","mf",,Trigger)</f>
        <v>41985</v>
      </c>
      <c r="AG26" s="219">
        <f>_xll.qlDayCounterYearFraction(DayCounterON,SettlementDate,AF26,,,Trigger)</f>
        <v>8.4931506849315067E-2</v>
      </c>
      <c r="AH26" s="209">
        <f t="shared" si="0"/>
        <v>2.236821855019167E-3</v>
      </c>
      <c r="AI26" s="209">
        <f t="shared" si="1"/>
        <v>2.1098469809253824E-3</v>
      </c>
      <c r="AJ26" s="179">
        <f t="shared" si="2"/>
        <v>2.087600908120611E-3</v>
      </c>
    </row>
    <row r="27" spans="4:36" ht="12" thickBot="1" x14ac:dyDescent="0.25">
      <c r="D27" s="223" t="s">
        <v>45</v>
      </c>
      <c r="E27" s="181">
        <f t="shared" si="4"/>
        <v>41954</v>
      </c>
      <c r="F27" s="220">
        <f>_xll.qlCalendarAdvance(Calendar,SettlementDate,D27,"mf",TRUE,Trigger)</f>
        <v>42135</v>
      </c>
      <c r="G27" s="221" t="str">
        <f>_xll.qlMakeDatedOIS(,E27,F27,OvernightIndex,0,,,,EvaluationDate)</f>
        <v>obj_0058c#0001</v>
      </c>
      <c r="H27" s="228" t="b">
        <f>_xll.qlInstrumentSetPricingEngine(G27,OisEngine)</f>
        <v>1</v>
      </c>
      <c r="I27" s="183">
        <f>_xll.qlOvernightIndexedSwapFairRate(G27,_xll.ohTrigger(InterestRatesTrigger))</f>
        <v>-3.1459104390126784E-4</v>
      </c>
      <c r="J27" s="244">
        <f>_xll.qlDayCounterYearFraction(DayCounterOIS,E27,F27,,,Trigger)</f>
        <v>0.50277777777777777</v>
      </c>
      <c r="K27" s="244">
        <f>_xll.qlDayCounterYearFraction(DayCounter6M,E27,F27,,,Trigger)</f>
        <v>0.50277777777777777</v>
      </c>
      <c r="L27" s="244">
        <f>_xll.qlDayCounterYearFraction(DayCounterON,E27,F27,,,Trigger)</f>
        <v>0.49589041095890413</v>
      </c>
      <c r="M27" s="211">
        <f t="shared" si="5"/>
        <v>1.8915894158436641E-3</v>
      </c>
      <c r="N27" s="211">
        <f t="shared" si="6"/>
        <v>1.8915894158436646E-3</v>
      </c>
      <c r="O27" s="211">
        <f t="shared" si="7"/>
        <v>1.8915894158436693E-3</v>
      </c>
      <c r="P27" s="190"/>
      <c r="AF27" s="208">
        <f>_xll.qlCalendarAdvance(Calendar,AF26,"1d","mf",,Trigger)</f>
        <v>41988</v>
      </c>
      <c r="AG27" s="219">
        <f>_xll.qlDayCounterYearFraction(DayCounterON,SettlementDate,AF27,,,Trigger)</f>
        <v>9.3150684931506855E-2</v>
      </c>
      <c r="AH27" s="209">
        <f t="shared" si="0"/>
        <v>2.236821855019167E-3</v>
      </c>
      <c r="AI27" s="209">
        <f t="shared" si="1"/>
        <v>2.1162490754175062E-3</v>
      </c>
      <c r="AJ27" s="179">
        <f t="shared" si="2"/>
        <v>2.097670514056525E-3</v>
      </c>
    </row>
    <row r="28" spans="4:36" ht="12" thickBot="1" x14ac:dyDescent="0.25">
      <c r="AF28" s="208">
        <f>_xll.qlCalendarAdvance(Calendar,AF27,"1d","mf",,Trigger)</f>
        <v>41989</v>
      </c>
      <c r="AG28" s="219">
        <f>_xll.qlDayCounterYearFraction(DayCounterON,SettlementDate,AF28,,,Trigger)</f>
        <v>9.5890410958904104E-2</v>
      </c>
      <c r="AH28" s="209">
        <f t="shared" si="0"/>
        <v>2.236821855019167E-3</v>
      </c>
      <c r="AI28" s="209">
        <f t="shared" si="1"/>
        <v>2.1183831069148803E-3</v>
      </c>
      <c r="AJ28" s="179">
        <f t="shared" si="2"/>
        <v>2.1009938948802491E-3</v>
      </c>
    </row>
    <row r="29" spans="4:36" x14ac:dyDescent="0.2">
      <c r="D29" s="249" t="s">
        <v>149</v>
      </c>
      <c r="AF29" s="208">
        <f>_xll.qlCalendarAdvance(Calendar,AF28,"1d","mf",,Trigger)</f>
        <v>41990</v>
      </c>
      <c r="AG29" s="219">
        <f>_xll.qlDayCounterYearFraction(DayCounterON,SettlementDate,AF29,,,Trigger)</f>
        <v>9.8630136986301367E-2</v>
      </c>
      <c r="AH29" s="209">
        <f t="shared" si="0"/>
        <v>2.236821855019167E-3</v>
      </c>
      <c r="AI29" s="209">
        <f t="shared" si="1"/>
        <v>2.1205171384122549E-3</v>
      </c>
      <c r="AJ29" s="179">
        <f t="shared" si="2"/>
        <v>2.1043006984598493E-3</v>
      </c>
    </row>
    <row r="30" spans="4:36" ht="12.75" customHeight="1" x14ac:dyDescent="0.2">
      <c r="D30" s="253" t="s">
        <v>111</v>
      </c>
      <c r="AF30" s="208">
        <f>_xll.qlCalendarAdvance(Calendar,AF29,"1d","mf",,Trigger)</f>
        <v>41991</v>
      </c>
      <c r="AG30" s="219">
        <f>_xll.qlDayCounterYearFraction(DayCounterON,SettlementDate,AF30,,,Trigger)</f>
        <v>0.10136986301369863</v>
      </c>
      <c r="AH30" s="209">
        <f t="shared" si="0"/>
        <v>2.236821855019167E-3</v>
      </c>
      <c r="AI30" s="209">
        <f t="shared" si="1"/>
        <v>2.1226511699096295E-3</v>
      </c>
      <c r="AJ30" s="179">
        <f t="shared" si="2"/>
        <v>2.1075909247953262E-3</v>
      </c>
    </row>
    <row r="31" spans="4:36" x14ac:dyDescent="0.2">
      <c r="D31" s="209">
        <f t="shared" ref="D31:D40" si="8">IF($D$30="FLAT",M18,IF($D$30="linear",N18,O18))</f>
        <v>1.6665714403746182E-3</v>
      </c>
      <c r="AF31" s="208">
        <f>_xll.qlCalendarAdvance(Calendar,AF30,"1d","mf",,Trigger)</f>
        <v>41992</v>
      </c>
      <c r="AG31" s="219">
        <f>_xll.qlDayCounterYearFraction(DayCounterON,SettlementDate,AF31,,,Trigger)</f>
        <v>0.10410958904109589</v>
      </c>
      <c r="AH31" s="209">
        <f t="shared" si="0"/>
        <v>2.236821855019167E-3</v>
      </c>
      <c r="AI31" s="209">
        <f t="shared" si="1"/>
        <v>2.1247852014070041E-3</v>
      </c>
      <c r="AJ31" s="179">
        <f t="shared" si="2"/>
        <v>2.1108645738866791E-3</v>
      </c>
    </row>
    <row r="32" spans="4:36" x14ac:dyDescent="0.2">
      <c r="D32" s="209">
        <f t="shared" si="8"/>
        <v>1.6710731332502261E-3</v>
      </c>
      <c r="AF32" s="208">
        <f>_xll.qlCalendarAdvance(Calendar,AF31,"1d","mf",,Trigger)</f>
        <v>41995</v>
      </c>
      <c r="AG32" s="219">
        <f>_xll.qlDayCounterYearFraction(DayCounterON,SettlementDate,AF32,,,Trigger)</f>
        <v>0.11232876712328767</v>
      </c>
      <c r="AH32" s="209">
        <f t="shared" si="0"/>
        <v>2.236821855019167E-3</v>
      </c>
      <c r="AI32" s="209">
        <f t="shared" si="1"/>
        <v>2.1311872958991278E-3</v>
      </c>
      <c r="AJ32" s="179">
        <f t="shared" si="2"/>
        <v>2.1205860576959958E-3</v>
      </c>
    </row>
    <row r="33" spans="4:36" x14ac:dyDescent="0.2">
      <c r="D33" s="209">
        <f t="shared" si="8"/>
        <v>1.6667846355885023E-3</v>
      </c>
      <c r="AF33" s="208">
        <f>_xll.qlCalendarAdvance(Calendar,AF32,"1d","mf",,Trigger)</f>
        <v>41996</v>
      </c>
      <c r="AG33" s="219">
        <f>_xll.qlDayCounterYearFraction(DayCounterON,SettlementDate,AF33,,,Trigger)</f>
        <v>0.11506849315068493</v>
      </c>
      <c r="AH33" s="209">
        <f t="shared" si="0"/>
        <v>2.236821855019167E-3</v>
      </c>
      <c r="AI33" s="209">
        <f t="shared" si="1"/>
        <v>2.1333213273965024E-3</v>
      </c>
      <c r="AJ33" s="179">
        <f t="shared" si="2"/>
        <v>2.1237933978108543E-3</v>
      </c>
    </row>
    <row r="34" spans="4:36" x14ac:dyDescent="0.2">
      <c r="D34" s="209">
        <f t="shared" si="8"/>
        <v>1.9933163317860229E-3</v>
      </c>
      <c r="AF34" s="208">
        <f>_xll.qlCalendarAdvance(Calendar,AF33,"1d","mf",,Trigger)</f>
        <v>41997</v>
      </c>
      <c r="AG34" s="219">
        <f>_xll.qlDayCounterYearFraction(DayCounterON,SettlementDate,AF34,,,Trigger)</f>
        <v>0.11780821917808219</v>
      </c>
      <c r="AH34" s="209">
        <f t="shared" si="0"/>
        <v>2.236821855019167E-3</v>
      </c>
      <c r="AI34" s="209">
        <f t="shared" si="1"/>
        <v>2.1354553588938769E-3</v>
      </c>
      <c r="AJ34" s="179">
        <f t="shared" si="2"/>
        <v>2.1269841606815884E-3</v>
      </c>
    </row>
    <row r="35" spans="4:36" x14ac:dyDescent="0.2">
      <c r="D35" s="209">
        <f t="shared" si="8"/>
        <v>1.8860396574742018E-3</v>
      </c>
      <c r="AF35" s="208">
        <f>_xll.qlCalendarAdvance(Calendar,AF34,"1d","mf",,Trigger)</f>
        <v>42002</v>
      </c>
      <c r="AG35" s="219">
        <f>_xll.qlDayCounterYearFraction(DayCounterON,SettlementDate,AF35,,,Trigger)</f>
        <v>0.13150684931506848</v>
      </c>
      <c r="AH35" s="209">
        <f t="shared" ref="AH35:AH66" si="9">$W$13</f>
        <v>2.236821855019167E-3</v>
      </c>
      <c r="AI35" s="209">
        <f t="shared" ref="AI35:AI66" si="10">$W$10+$W$9*AG35</f>
        <v>2.1461255163807494E-3</v>
      </c>
      <c r="AJ35" s="179">
        <f t="shared" ref="AJ35:AJ66" si="11">($W$5+$W$4*AG35+$W$3*AG35^2)</f>
        <v>2.1426893163734063E-3</v>
      </c>
    </row>
    <row r="36" spans="4:36" x14ac:dyDescent="0.2">
      <c r="D36" s="209">
        <f t="shared" si="8"/>
        <v>1.846384885007104E-3</v>
      </c>
      <c r="AF36" s="208">
        <f>_xll.qlCalendarAdvance(Calendar,AF35,"1d","mf",,Trigger)</f>
        <v>42003</v>
      </c>
      <c r="AG36" s="219">
        <f>_xll.qlDayCounterYearFraction(DayCounterON,SettlementDate,AF36,,,Trigger)</f>
        <v>0.13424657534246576</v>
      </c>
      <c r="AH36" s="209">
        <f t="shared" si="9"/>
        <v>2.236821855019167E-3</v>
      </c>
      <c r="AI36" s="209">
        <f t="shared" si="10"/>
        <v>2.148259547878124E-3</v>
      </c>
      <c r="AJ36" s="179">
        <f t="shared" si="11"/>
        <v>2.1457806157793987E-3</v>
      </c>
    </row>
    <row r="37" spans="4:36" x14ac:dyDescent="0.2">
      <c r="D37" s="209">
        <f t="shared" si="8"/>
        <v>1.8495996472345801E-3</v>
      </c>
      <c r="AF37" s="208">
        <f>_xll.qlCalendarAdvance(Calendar,AF36,"1d","mf",,Trigger)</f>
        <v>42004</v>
      </c>
      <c r="AG37" s="219">
        <f>_xll.qlDayCounterYearFraction(DayCounterON,SettlementDate,AF37,,,Trigger)</f>
        <v>0.13698630136986301</v>
      </c>
      <c r="AH37" s="209">
        <f t="shared" si="9"/>
        <v>2.236821855019167E-3</v>
      </c>
      <c r="AI37" s="209">
        <f t="shared" si="10"/>
        <v>2.1503935793754985E-3</v>
      </c>
      <c r="AJ37" s="179">
        <f t="shared" si="11"/>
        <v>2.1488553379412677E-3</v>
      </c>
    </row>
    <row r="38" spans="4:36" x14ac:dyDescent="0.2">
      <c r="D38" s="209">
        <f t="shared" si="8"/>
        <v>1.8899314698750168E-3</v>
      </c>
      <c r="AF38" s="208">
        <f>_xll.qlCalendarAdvance(Calendar,AF37,"1d","mf",,Trigger)</f>
        <v>42006</v>
      </c>
      <c r="AG38" s="219">
        <f>_xll.qlDayCounterYearFraction(DayCounterON,SettlementDate,AF38,,,Trigger)</f>
        <v>0.14246575342465753</v>
      </c>
      <c r="AH38" s="209">
        <f t="shared" si="9"/>
        <v>2.236821855019167E-3</v>
      </c>
      <c r="AI38" s="209">
        <f t="shared" si="10"/>
        <v>2.1546616423702477E-3</v>
      </c>
      <c r="AJ38" s="179">
        <f t="shared" si="11"/>
        <v>2.1549550505326341E-3</v>
      </c>
    </row>
    <row r="39" spans="4:36" x14ac:dyDescent="0.2">
      <c r="D39" s="209">
        <f t="shared" si="8"/>
        <v>1.9102425228141912E-3</v>
      </c>
      <c r="AF39" s="208">
        <f>_xll.qlCalendarAdvance(Calendar,AF38,"1d","mf",,Trigger)</f>
        <v>42009</v>
      </c>
      <c r="AG39" s="219">
        <f>_xll.qlDayCounterYearFraction(DayCounterON,SettlementDate,AF39,,,Trigger)</f>
        <v>0.15068493150684931</v>
      </c>
      <c r="AH39" s="209">
        <f t="shared" si="9"/>
        <v>2.236821855019167E-3</v>
      </c>
      <c r="AI39" s="209">
        <f t="shared" si="10"/>
        <v>2.1610637368623714E-3</v>
      </c>
      <c r="AJ39" s="179">
        <f t="shared" si="11"/>
        <v>2.1639802900887558E-3</v>
      </c>
    </row>
    <row r="40" spans="4:36" ht="12" thickBot="1" x14ac:dyDescent="0.25">
      <c r="D40" s="211">
        <f t="shared" si="8"/>
        <v>1.8915894158436693E-3</v>
      </c>
      <c r="AF40" s="208">
        <f>_xll.qlCalendarAdvance(Calendar,AF39,"1d","mf",,Trigger)</f>
        <v>42010</v>
      </c>
      <c r="AG40" s="219">
        <f>_xll.qlDayCounterYearFraction(DayCounterON,SettlementDate,AF40,,,Trigger)</f>
        <v>0.15342465753424658</v>
      </c>
      <c r="AH40" s="209">
        <f t="shared" si="9"/>
        <v>2.236821855019167E-3</v>
      </c>
      <c r="AI40" s="209">
        <f t="shared" si="10"/>
        <v>2.163197768359746E-3</v>
      </c>
      <c r="AJ40" s="179">
        <f t="shared" si="11"/>
        <v>2.1669555487858825E-3</v>
      </c>
    </row>
    <row r="41" spans="4:36" x14ac:dyDescent="0.2">
      <c r="AF41" s="208">
        <f>_xll.qlCalendarAdvance(Calendar,AF40,"1d","mf",,Trigger)</f>
        <v>42011</v>
      </c>
      <c r="AG41" s="219">
        <f>_xll.qlDayCounterYearFraction(DayCounterON,SettlementDate,AF41,,,Trigger)</f>
        <v>0.15616438356164383</v>
      </c>
      <c r="AH41" s="209">
        <f t="shared" si="9"/>
        <v>2.236821855019167E-3</v>
      </c>
      <c r="AI41" s="209">
        <f t="shared" si="10"/>
        <v>2.1653317998571206E-3</v>
      </c>
      <c r="AJ41" s="179">
        <f t="shared" si="11"/>
        <v>2.1699142302388855E-3</v>
      </c>
    </row>
    <row r="42" spans="4:36" x14ac:dyDescent="0.2">
      <c r="AF42" s="208">
        <f>_xll.qlCalendarAdvance(Calendar,AF41,"1d","mf",,Trigger)</f>
        <v>42012</v>
      </c>
      <c r="AG42" s="219">
        <f>_xll.qlDayCounterYearFraction(DayCounterON,SettlementDate,AF42,,,Trigger)</f>
        <v>0.15890410958904111</v>
      </c>
      <c r="AH42" s="209">
        <f t="shared" si="9"/>
        <v>2.236821855019167E-3</v>
      </c>
      <c r="AI42" s="209">
        <f t="shared" si="10"/>
        <v>2.1674658313544952E-3</v>
      </c>
      <c r="AJ42" s="179">
        <f t="shared" si="11"/>
        <v>2.1728563344477645E-3</v>
      </c>
    </row>
    <row r="43" spans="4:36" ht="11.25" customHeight="1" x14ac:dyDescent="0.2">
      <c r="N43" s="251"/>
      <c r="AF43" s="208">
        <f>_xll.qlCalendarAdvance(Calendar,AF42,"1d","mf",,Trigger)</f>
        <v>42013</v>
      </c>
      <c r="AG43" s="219">
        <f>_xll.qlDayCounterYearFraction(DayCounterON,SettlementDate,AF43,,,Trigger)</f>
        <v>0.16164383561643836</v>
      </c>
      <c r="AH43" s="209">
        <f t="shared" si="9"/>
        <v>2.236821855019167E-3</v>
      </c>
      <c r="AI43" s="209">
        <f t="shared" si="10"/>
        <v>2.1695998628518697E-3</v>
      </c>
      <c r="AJ43" s="179">
        <f t="shared" si="11"/>
        <v>2.1757818614125202E-3</v>
      </c>
    </row>
    <row r="44" spans="4:36" x14ac:dyDescent="0.2">
      <c r="J44" s="190"/>
      <c r="K44" s="190"/>
      <c r="N44" s="251"/>
      <c r="AF44" s="208">
        <f>_xll.qlCalendarAdvance(Calendar,AF43,"1d","mf",,Trigger)</f>
        <v>42016</v>
      </c>
      <c r="AG44" s="219">
        <f>_xll.qlDayCounterYearFraction(DayCounterON,SettlementDate,AF44,,,Trigger)</f>
        <v>0.16986301369863013</v>
      </c>
      <c r="AH44" s="209">
        <f t="shared" si="9"/>
        <v>2.236821855019167E-3</v>
      </c>
      <c r="AI44" s="209">
        <f t="shared" si="10"/>
        <v>2.176001957343993E-3</v>
      </c>
      <c r="AJ44" s="179">
        <f t="shared" si="11"/>
        <v>2.184458978842045E-3</v>
      </c>
    </row>
    <row r="45" spans="4:36" x14ac:dyDescent="0.2">
      <c r="N45" s="251"/>
      <c r="AF45" s="208">
        <f>_xll.qlCalendarAdvance(Calendar,AF44,"1d","mf",,Trigger)</f>
        <v>42017</v>
      </c>
      <c r="AG45" s="219">
        <f>_xll.qlDayCounterYearFraction(DayCounterON,SettlementDate,AF45,,,Trigger)</f>
        <v>0.17260273972602741</v>
      </c>
      <c r="AH45" s="209">
        <f t="shared" si="9"/>
        <v>2.236821855019167E-3</v>
      </c>
      <c r="AI45" s="209">
        <f t="shared" si="10"/>
        <v>2.1781359888413676E-3</v>
      </c>
      <c r="AJ45" s="179">
        <f t="shared" si="11"/>
        <v>2.1873181968303057E-3</v>
      </c>
    </row>
    <row r="46" spans="4:36" x14ac:dyDescent="0.2">
      <c r="N46" s="251"/>
      <c r="AF46" s="208">
        <f>_xll.qlCalendarAdvance(Calendar,AF45,"1d","mf",,Trigger)</f>
        <v>42018</v>
      </c>
      <c r="AG46" s="219">
        <f>_xll.qlDayCounterYearFraction(DayCounterON,SettlementDate,AF46,,,Trigger)</f>
        <v>0.17534246575342466</v>
      </c>
      <c r="AH46" s="209">
        <f t="shared" si="9"/>
        <v>2.236821855019167E-3</v>
      </c>
      <c r="AI46" s="209">
        <f t="shared" si="10"/>
        <v>2.1802700203387422E-3</v>
      </c>
      <c r="AJ46" s="179">
        <f t="shared" si="11"/>
        <v>2.190160837574443E-3</v>
      </c>
    </row>
    <row r="47" spans="4:36" x14ac:dyDescent="0.2">
      <c r="N47" s="251"/>
      <c r="AF47" s="208">
        <f>_xll.qlCalendarAdvance(Calendar,AF46,"1d","mf",,Trigger)</f>
        <v>42019</v>
      </c>
      <c r="AG47" s="219">
        <f>_xll.qlDayCounterYearFraction(DayCounterON,SettlementDate,AF47,,,Trigger)</f>
        <v>0.17808219178082191</v>
      </c>
      <c r="AH47" s="209">
        <f t="shared" si="9"/>
        <v>2.236821855019167E-3</v>
      </c>
      <c r="AI47" s="209">
        <f t="shared" si="10"/>
        <v>2.1824040518361168E-3</v>
      </c>
      <c r="AJ47" s="179">
        <f t="shared" si="11"/>
        <v>2.192986901074456E-3</v>
      </c>
    </row>
    <row r="48" spans="4:36" x14ac:dyDescent="0.2">
      <c r="AF48" s="208">
        <f>_xll.qlCalendarAdvance(Calendar,AF47,"1d","mf",,Trigger)</f>
        <v>42020</v>
      </c>
      <c r="AG48" s="219">
        <f>_xll.qlDayCounterYearFraction(DayCounterON,SettlementDate,AF48,,,Trigger)</f>
        <v>0.18082191780821918</v>
      </c>
      <c r="AH48" s="209">
        <f t="shared" si="9"/>
        <v>2.236821855019167E-3</v>
      </c>
      <c r="AI48" s="209">
        <f t="shared" si="10"/>
        <v>2.1845380833334913E-3</v>
      </c>
      <c r="AJ48" s="179">
        <f t="shared" si="11"/>
        <v>2.195796387330346E-3</v>
      </c>
    </row>
    <row r="49" spans="10:36" x14ac:dyDescent="0.2">
      <c r="AF49" s="208">
        <f>_xll.qlCalendarAdvance(Calendar,AF48,"1d","mf",,Trigger)</f>
        <v>42023</v>
      </c>
      <c r="AG49" s="219">
        <f>_xll.qlDayCounterYearFraction(DayCounterON,SettlementDate,AF49,,,Trigger)</f>
        <v>0.18904109589041096</v>
      </c>
      <c r="AH49" s="209">
        <f t="shared" si="9"/>
        <v>2.236821855019167E-3</v>
      </c>
      <c r="AI49" s="209">
        <f t="shared" si="10"/>
        <v>2.1909401778256151E-3</v>
      </c>
      <c r="AJ49" s="179">
        <f t="shared" si="11"/>
        <v>2.2041253826332735E-3</v>
      </c>
    </row>
    <row r="50" spans="10:36" x14ac:dyDescent="0.2">
      <c r="AF50" s="208">
        <f>_xll.qlCalendarAdvance(Calendar,AF49,"1d","mf",,Trigger)</f>
        <v>42024</v>
      </c>
      <c r="AG50" s="219">
        <f>_xll.qlDayCounterYearFraction(DayCounterON,SettlementDate,AF50,,,Trigger)</f>
        <v>0.19178082191780821</v>
      </c>
      <c r="AH50" s="209">
        <f t="shared" si="9"/>
        <v>2.236821855019167E-3</v>
      </c>
      <c r="AI50" s="209">
        <f t="shared" si="10"/>
        <v>2.1930742093229896E-3</v>
      </c>
      <c r="AJ50" s="179">
        <f t="shared" si="11"/>
        <v>2.2068685599126682E-3</v>
      </c>
    </row>
    <row r="51" spans="10:36" x14ac:dyDescent="0.2">
      <c r="AF51" s="208">
        <f>_xll.qlCalendarAdvance(Calendar,AF50,"1d","mf",,Trigger)</f>
        <v>42025</v>
      </c>
      <c r="AG51" s="219">
        <f>_xll.qlDayCounterYearFraction(DayCounterON,SettlementDate,AF51,,,Trigger)</f>
        <v>0.19452054794520549</v>
      </c>
      <c r="AH51" s="209">
        <f t="shared" si="9"/>
        <v>2.236821855019167E-3</v>
      </c>
      <c r="AI51" s="209">
        <f t="shared" si="10"/>
        <v>2.1952082408203642E-3</v>
      </c>
      <c r="AJ51" s="179">
        <f t="shared" si="11"/>
        <v>2.2095951599479398E-3</v>
      </c>
    </row>
    <row r="52" spans="10:36" x14ac:dyDescent="0.2">
      <c r="AF52" s="208">
        <f>_xll.qlCalendarAdvance(Calendar,AF51,"1d","mf",,Trigger)</f>
        <v>42026</v>
      </c>
      <c r="AG52" s="219">
        <f>_xll.qlDayCounterYearFraction(DayCounterON,SettlementDate,AF52,,,Trigger)</f>
        <v>0.19726027397260273</v>
      </c>
      <c r="AH52" s="209">
        <f t="shared" si="9"/>
        <v>2.236821855019167E-3</v>
      </c>
      <c r="AI52" s="209">
        <f t="shared" si="10"/>
        <v>2.1973422723177388E-3</v>
      </c>
      <c r="AJ52" s="179">
        <f t="shared" si="11"/>
        <v>2.2123051827390877E-3</v>
      </c>
    </row>
    <row r="53" spans="10:36" x14ac:dyDescent="0.2">
      <c r="AF53" s="208">
        <f>_xll.qlCalendarAdvance(Calendar,AF52,"1d","mf",,Trigger)</f>
        <v>42027</v>
      </c>
      <c r="AG53" s="219">
        <f>_xll.qlDayCounterYearFraction(DayCounterON,SettlementDate,AF53,,,Trigger)</f>
        <v>0.2</v>
      </c>
      <c r="AH53" s="209">
        <f t="shared" si="9"/>
        <v>2.236821855019167E-3</v>
      </c>
      <c r="AI53" s="209">
        <f t="shared" si="10"/>
        <v>2.1994763038151134E-3</v>
      </c>
      <c r="AJ53" s="179">
        <f t="shared" si="11"/>
        <v>2.2149986282861112E-3</v>
      </c>
    </row>
    <row r="54" spans="10:36" x14ac:dyDescent="0.2">
      <c r="AF54" s="208">
        <f>_xll.qlCalendarAdvance(Calendar,AF53,"1d","mf",,Trigger)</f>
        <v>42030</v>
      </c>
      <c r="AG54" s="219">
        <f>_xll.qlDayCounterYearFraction(DayCounterON,SettlementDate,AF54,,,Trigger)</f>
        <v>0.20821917808219179</v>
      </c>
      <c r="AH54" s="209">
        <f t="shared" si="9"/>
        <v>2.236821855019167E-3</v>
      </c>
      <c r="AI54" s="209">
        <f t="shared" si="10"/>
        <v>2.2058783983072367E-3</v>
      </c>
      <c r="AJ54" s="179">
        <f t="shared" si="11"/>
        <v>2.2229795014624414E-3</v>
      </c>
    </row>
    <row r="55" spans="10:36" x14ac:dyDescent="0.2">
      <c r="AF55" s="208">
        <f>_xll.qlCalendarAdvance(Calendar,AF54,"1d","mf",,Trigger)</f>
        <v>42031</v>
      </c>
      <c r="AG55" s="219">
        <f>_xll.qlDayCounterYearFraction(DayCounterON,SettlementDate,AF55,,,Trigger)</f>
        <v>0.21095890410958903</v>
      </c>
      <c r="AH55" s="209">
        <f t="shared" si="9"/>
        <v>2.236821855019167E-3</v>
      </c>
      <c r="AI55" s="209">
        <f t="shared" si="10"/>
        <v>2.2080124298046113E-3</v>
      </c>
      <c r="AJ55" s="179">
        <f t="shared" si="11"/>
        <v>2.2256066380329704E-3</v>
      </c>
    </row>
    <row r="56" spans="10:36" x14ac:dyDescent="0.2">
      <c r="AF56" s="208">
        <f>_xll.qlCalendarAdvance(Calendar,AF55,"1d","mf",,Trigger)</f>
        <v>42032</v>
      </c>
      <c r="AG56" s="219">
        <f>_xll.qlDayCounterYearFraction(DayCounterON,SettlementDate,AF56,,,Trigger)</f>
        <v>0.21369863013698631</v>
      </c>
      <c r="AH56" s="209">
        <f t="shared" si="9"/>
        <v>2.236821855019167E-3</v>
      </c>
      <c r="AI56" s="209">
        <f t="shared" si="10"/>
        <v>2.2101464613019858E-3</v>
      </c>
      <c r="AJ56" s="179">
        <f t="shared" si="11"/>
        <v>2.228217197359376E-3</v>
      </c>
    </row>
    <row r="57" spans="10:36" x14ac:dyDescent="0.2">
      <c r="AF57" s="208">
        <f>_xll.qlCalendarAdvance(Calendar,AF56,"1d","mf",,Trigger)</f>
        <v>42033</v>
      </c>
      <c r="AG57" s="219">
        <f>_xll.qlDayCounterYearFraction(DayCounterON,SettlementDate,AF57,,,Trigger)</f>
        <v>0.21643835616438356</v>
      </c>
      <c r="AH57" s="209">
        <f t="shared" si="9"/>
        <v>2.236821855019167E-3</v>
      </c>
      <c r="AI57" s="209">
        <f t="shared" si="10"/>
        <v>2.2122804927993604E-3</v>
      </c>
      <c r="AJ57" s="179">
        <f t="shared" si="11"/>
        <v>2.2308111794416578E-3</v>
      </c>
    </row>
    <row r="58" spans="10:36" x14ac:dyDescent="0.2">
      <c r="AF58" s="208">
        <f>_xll.qlCalendarAdvance(Calendar,AF57,"1d","mf",,Trigger)</f>
        <v>42034</v>
      </c>
      <c r="AG58" s="219">
        <f>_xll.qlDayCounterYearFraction(DayCounterON,SettlementDate,AF58,,,Trigger)</f>
        <v>0.21917808219178081</v>
      </c>
      <c r="AH58" s="209">
        <f t="shared" si="9"/>
        <v>2.236821855019167E-3</v>
      </c>
      <c r="AI58" s="209">
        <f t="shared" si="10"/>
        <v>2.214414524296735E-3</v>
      </c>
      <c r="AJ58" s="179">
        <f t="shared" si="11"/>
        <v>2.2333885842798157E-3</v>
      </c>
    </row>
    <row r="59" spans="10:36" x14ac:dyDescent="0.2">
      <c r="AF59" s="208">
        <f>_xll.qlCalendarAdvance(Calendar,AF58,"1d","mf",,Trigger)</f>
        <v>42037</v>
      </c>
      <c r="AG59" s="219">
        <f>_xll.qlDayCounterYearFraction(DayCounterON,SettlementDate,AF59,,,Trigger)</f>
        <v>0.22739726027397261</v>
      </c>
      <c r="AH59" s="209">
        <f t="shared" si="9"/>
        <v>2.236821855019167E-3</v>
      </c>
      <c r="AI59" s="209">
        <f t="shared" si="10"/>
        <v>2.2208166187888587E-3</v>
      </c>
      <c r="AJ59" s="179">
        <f t="shared" si="11"/>
        <v>2.2410213353295486E-3</v>
      </c>
    </row>
    <row r="60" spans="10:36" x14ac:dyDescent="0.2">
      <c r="AF60" s="208">
        <f>_xll.qlCalendarAdvance(Calendar,AF59,"1d","mf",,Trigger)</f>
        <v>42038</v>
      </c>
      <c r="AG60" s="219">
        <f>_xll.qlDayCounterYearFraction(DayCounterON,SettlementDate,AF60,,,Trigger)</f>
        <v>0.23013698630136986</v>
      </c>
      <c r="AH60" s="209">
        <f t="shared" si="9"/>
        <v>2.236821855019167E-3</v>
      </c>
      <c r="AI60" s="209">
        <f t="shared" si="10"/>
        <v>2.2229506502862333E-3</v>
      </c>
      <c r="AJ60" s="179">
        <f t="shared" si="11"/>
        <v>2.243532431191212E-3</v>
      </c>
    </row>
    <row r="61" spans="10:36" x14ac:dyDescent="0.2">
      <c r="AF61" s="208">
        <f>_xll.qlCalendarAdvance(Calendar,AF60,"1d","mf",,Trigger)</f>
        <v>42039</v>
      </c>
      <c r="AG61" s="219">
        <f>_xll.qlDayCounterYearFraction(DayCounterON,SettlementDate,AF61,,,Trigger)</f>
        <v>0.23287671232876711</v>
      </c>
      <c r="AH61" s="209">
        <f t="shared" si="9"/>
        <v>2.236821855019167E-3</v>
      </c>
      <c r="AI61" s="209">
        <f t="shared" si="10"/>
        <v>2.2250846817836079E-3</v>
      </c>
      <c r="AJ61" s="179">
        <f t="shared" si="11"/>
        <v>2.2460269498087515E-3</v>
      </c>
    </row>
    <row r="62" spans="10:36" x14ac:dyDescent="0.2">
      <c r="AF62" s="208">
        <f>_xll.qlCalendarAdvance(Calendar,AF61,"1d","mf",,Trigger)</f>
        <v>42040</v>
      </c>
      <c r="AG62" s="219">
        <f>_xll.qlDayCounterYearFraction(DayCounterON,SettlementDate,AF62,,,Trigger)</f>
        <v>0.23561643835616439</v>
      </c>
      <c r="AH62" s="209">
        <f t="shared" si="9"/>
        <v>2.236821855019167E-3</v>
      </c>
      <c r="AI62" s="209">
        <f t="shared" si="10"/>
        <v>2.2272187132809824E-3</v>
      </c>
      <c r="AJ62" s="179">
        <f t="shared" si="11"/>
        <v>2.2485048911821677E-3</v>
      </c>
    </row>
    <row r="63" spans="10:36" x14ac:dyDescent="0.2">
      <c r="J63" s="190"/>
      <c r="AF63" s="208">
        <f>_xll.qlCalendarAdvance(Calendar,AF62,"1d","mf",,Trigger)</f>
        <v>42041</v>
      </c>
      <c r="AG63" s="219">
        <f>_xll.qlDayCounterYearFraction(DayCounterON,SettlementDate,AF63,,,Trigger)</f>
        <v>0.23835616438356164</v>
      </c>
      <c r="AH63" s="209">
        <f t="shared" si="9"/>
        <v>2.236821855019167E-3</v>
      </c>
      <c r="AI63" s="209">
        <f t="shared" si="10"/>
        <v>2.229352744778357E-3</v>
      </c>
      <c r="AJ63" s="179">
        <f t="shared" si="11"/>
        <v>2.25096625531146E-3</v>
      </c>
    </row>
    <row r="64" spans="10:36" x14ac:dyDescent="0.2">
      <c r="J64" s="190"/>
      <c r="AF64" s="208">
        <f>_xll.qlCalendarAdvance(Calendar,AF63,"1d","mf",,Trigger)</f>
        <v>42044</v>
      </c>
      <c r="AG64" s="219">
        <f>_xll.qlDayCounterYearFraction(DayCounterON,SettlementDate,AF64,,,Trigger)</f>
        <v>0.24657534246575341</v>
      </c>
      <c r="AH64" s="209">
        <f t="shared" si="9"/>
        <v>2.236821855019167E-3</v>
      </c>
      <c r="AI64" s="209">
        <f t="shared" si="10"/>
        <v>2.2357548392704803E-3</v>
      </c>
      <c r="AJ64" s="179">
        <f t="shared" si="11"/>
        <v>2.2582508842345947E-3</v>
      </c>
    </row>
    <row r="65" spans="10:36" x14ac:dyDescent="0.2">
      <c r="J65" s="190"/>
      <c r="AF65" s="208">
        <f>_xll.qlCalendarAdvance(Calendar,AF64,"1d","mf",,Trigger)</f>
        <v>42045</v>
      </c>
      <c r="AG65" s="219">
        <f>_xll.qlDayCounterYearFraction(DayCounterON,SettlementDate,AF65,,,Trigger)</f>
        <v>0.24931506849315069</v>
      </c>
      <c r="AH65" s="209">
        <f t="shared" si="9"/>
        <v>2.236821855019167E-3</v>
      </c>
      <c r="AI65" s="209">
        <f t="shared" si="10"/>
        <v>2.2378888707678549E-3</v>
      </c>
      <c r="AJ65" s="179">
        <f t="shared" si="11"/>
        <v>2.2606459393873925E-3</v>
      </c>
    </row>
    <row r="66" spans="10:36" x14ac:dyDescent="0.2">
      <c r="J66" s="190"/>
      <c r="AF66" s="208">
        <f>_xll.qlCalendarAdvance(Calendar,AF65,"1d","mf",,Trigger)</f>
        <v>42046</v>
      </c>
      <c r="AG66" s="219">
        <f>_xll.qlDayCounterYearFraction(DayCounterON,SettlementDate,AF66,,,Trigger)</f>
        <v>0.25205479452054796</v>
      </c>
      <c r="AH66" s="209">
        <f t="shared" si="9"/>
        <v>2.236821855019167E-3</v>
      </c>
      <c r="AI66" s="209">
        <f t="shared" si="10"/>
        <v>2.2400229022652295E-3</v>
      </c>
      <c r="AJ66" s="179">
        <f t="shared" si="11"/>
        <v>2.263024417296066E-3</v>
      </c>
    </row>
    <row r="67" spans="10:36" x14ac:dyDescent="0.2">
      <c r="J67" s="190"/>
      <c r="AF67" s="208">
        <f>_xll.qlCalendarAdvance(Calendar,AF66,"1d","mf",,Trigger)</f>
        <v>42047</v>
      </c>
      <c r="AG67" s="219">
        <f>_xll.qlDayCounterYearFraction(DayCounterON,SettlementDate,AF67,,,Trigger)</f>
        <v>0.25479452054794521</v>
      </c>
      <c r="AH67" s="209">
        <f t="shared" ref="AH67:AH98" si="12">$W$13</f>
        <v>2.236821855019167E-3</v>
      </c>
      <c r="AI67" s="209">
        <f t="shared" ref="AI67:AI98" si="13">$W$10+$W$9*AG67</f>
        <v>2.2421569337626041E-3</v>
      </c>
      <c r="AJ67" s="179">
        <f t="shared" ref="AJ67:AJ98" si="14">($W$5+$W$4*AG67+$W$3*AG67^2)</f>
        <v>2.2653863179606165E-3</v>
      </c>
    </row>
    <row r="68" spans="10:36" x14ac:dyDescent="0.2">
      <c r="J68" s="190"/>
      <c r="AF68" s="208">
        <f>_xll.qlCalendarAdvance(Calendar,AF67,"1d","mf",,Trigger)</f>
        <v>42048</v>
      </c>
      <c r="AG68" s="219">
        <f>_xll.qlDayCounterYearFraction(DayCounterON,SettlementDate,AF68,,,Trigger)</f>
        <v>0.25753424657534246</v>
      </c>
      <c r="AH68" s="209">
        <f t="shared" si="12"/>
        <v>2.236821855019167E-3</v>
      </c>
      <c r="AI68" s="209">
        <f t="shared" si="13"/>
        <v>2.2442909652599786E-3</v>
      </c>
      <c r="AJ68" s="179">
        <f t="shared" si="14"/>
        <v>2.2677316413810432E-3</v>
      </c>
    </row>
    <row r="69" spans="10:36" x14ac:dyDescent="0.2">
      <c r="J69" s="190"/>
      <c r="K69" s="190"/>
      <c r="AF69" s="208">
        <f>_xll.qlCalendarAdvance(Calendar,AF68,"1d","mf",,Trigger)</f>
        <v>42051</v>
      </c>
      <c r="AG69" s="219">
        <f>_xll.qlDayCounterYearFraction(DayCounterON,SettlementDate,AF69,,,Trigger)</f>
        <v>0.26575342465753427</v>
      </c>
      <c r="AH69" s="209">
        <f t="shared" si="12"/>
        <v>2.236821855019167E-3</v>
      </c>
      <c r="AI69" s="209">
        <f t="shared" si="13"/>
        <v>2.2506930597521024E-3</v>
      </c>
      <c r="AJ69" s="179">
        <f t="shared" si="14"/>
        <v>2.2746681481775805E-3</v>
      </c>
    </row>
    <row r="70" spans="10:36" x14ac:dyDescent="0.2">
      <c r="J70" s="190"/>
      <c r="K70" s="190"/>
      <c r="AF70" s="208">
        <f>_xll.qlCalendarAdvance(Calendar,AF69,"1d","mf",,Trigger)</f>
        <v>42052</v>
      </c>
      <c r="AG70" s="219">
        <f>_xll.qlDayCounterYearFraction(DayCounterON,SettlementDate,AF70,,,Trigger)</f>
        <v>0.26849315068493151</v>
      </c>
      <c r="AH70" s="209">
        <f t="shared" si="12"/>
        <v>2.236821855019167E-3</v>
      </c>
      <c r="AI70" s="209">
        <f t="shared" si="13"/>
        <v>2.2528270912494769E-3</v>
      </c>
      <c r="AJ70" s="179">
        <f t="shared" si="14"/>
        <v>2.2769471626215127E-3</v>
      </c>
    </row>
    <row r="71" spans="10:36" x14ac:dyDescent="0.2">
      <c r="J71" s="190"/>
      <c r="K71" s="190"/>
      <c r="AF71" s="208">
        <f>_xll.qlCalendarAdvance(Calendar,AF70,"1d","mf",,Trigger)</f>
        <v>42053</v>
      </c>
      <c r="AG71" s="219">
        <f>_xll.qlDayCounterYearFraction(DayCounterON,SettlementDate,AF71,,,Trigger)</f>
        <v>0.27123287671232876</v>
      </c>
      <c r="AH71" s="209">
        <f t="shared" si="12"/>
        <v>2.236821855019167E-3</v>
      </c>
      <c r="AI71" s="209">
        <f t="shared" si="13"/>
        <v>2.2549611227468515E-3</v>
      </c>
      <c r="AJ71" s="179">
        <f t="shared" si="14"/>
        <v>2.2792095998213201E-3</v>
      </c>
    </row>
    <row r="72" spans="10:36" x14ac:dyDescent="0.2">
      <c r="J72" s="190"/>
      <c r="K72" s="190"/>
      <c r="AF72" s="208">
        <f>_xll.qlCalendarAdvance(Calendar,AF71,"1d","mf",,Trigger)</f>
        <v>42054</v>
      </c>
      <c r="AG72" s="219">
        <f>_xll.qlDayCounterYearFraction(DayCounterON,SettlementDate,AF72,,,Trigger)</f>
        <v>0.27397260273972601</v>
      </c>
      <c r="AH72" s="209">
        <f t="shared" si="12"/>
        <v>2.236821855019167E-3</v>
      </c>
      <c r="AI72" s="209">
        <f t="shared" si="13"/>
        <v>2.2570951542442261E-3</v>
      </c>
      <c r="AJ72" s="179">
        <f t="shared" si="14"/>
        <v>2.281455459777005E-3</v>
      </c>
    </row>
    <row r="73" spans="10:36" x14ac:dyDescent="0.2">
      <c r="J73" s="190"/>
      <c r="K73" s="190"/>
      <c r="AF73" s="208">
        <f>_xll.qlCalendarAdvance(Calendar,AF72,"1d","mf",,Trigger)</f>
        <v>42055</v>
      </c>
      <c r="AG73" s="219">
        <f>_xll.qlDayCounterYearFraction(DayCounterON,SettlementDate,AF73,,,Trigger)</f>
        <v>0.27671232876712326</v>
      </c>
      <c r="AH73" s="209">
        <f t="shared" si="12"/>
        <v>2.236821855019167E-3</v>
      </c>
      <c r="AI73" s="209">
        <f t="shared" si="13"/>
        <v>2.2592291857416007E-3</v>
      </c>
      <c r="AJ73" s="179">
        <f t="shared" si="14"/>
        <v>2.2836847424885657E-3</v>
      </c>
    </row>
    <row r="74" spans="10:36" x14ac:dyDescent="0.2">
      <c r="J74" s="190"/>
      <c r="K74" s="190"/>
      <c r="AF74" s="208">
        <f>_xll.qlCalendarAdvance(Calendar,AF73,"1d","mf",,Trigger)</f>
        <v>42058</v>
      </c>
      <c r="AG74" s="219">
        <f>_xll.qlDayCounterYearFraction(DayCounterON,SettlementDate,AF74,,,Trigger)</f>
        <v>0.28493150684931506</v>
      </c>
      <c r="AH74" s="209">
        <f t="shared" si="12"/>
        <v>2.236821855019167E-3</v>
      </c>
      <c r="AI74" s="209">
        <f t="shared" si="13"/>
        <v>2.265631280233724E-3</v>
      </c>
      <c r="AJ74" s="179">
        <f t="shared" si="14"/>
        <v>2.2902731271585057E-3</v>
      </c>
    </row>
    <row r="75" spans="10:36" x14ac:dyDescent="0.2">
      <c r="J75" s="190"/>
      <c r="K75" s="190"/>
      <c r="AF75" s="208">
        <f>_xll.qlCalendarAdvance(Calendar,AF74,"1d","mf",,Trigger)</f>
        <v>42059</v>
      </c>
      <c r="AG75" s="219">
        <f>_xll.qlDayCounterYearFraction(DayCounterON,SettlementDate,AF75,,,Trigger)</f>
        <v>0.28767123287671231</v>
      </c>
      <c r="AH75" s="209">
        <f t="shared" si="12"/>
        <v>2.236821855019167E-3</v>
      </c>
      <c r="AI75" s="209">
        <f t="shared" si="13"/>
        <v>2.2677653117310985E-3</v>
      </c>
      <c r="AJ75" s="179">
        <f t="shared" si="14"/>
        <v>2.2924361008935718E-3</v>
      </c>
    </row>
    <row r="76" spans="10:36" x14ac:dyDescent="0.2">
      <c r="J76" s="190"/>
      <c r="K76" s="190"/>
      <c r="AF76" s="208">
        <f>_xll.qlCalendarAdvance(Calendar,AF75,"1d","mf",,Trigger)</f>
        <v>42060</v>
      </c>
      <c r="AG76" s="219">
        <f>_xll.qlDayCounterYearFraction(DayCounterON,SettlementDate,AF76,,,Trigger)</f>
        <v>0.29041095890410956</v>
      </c>
      <c r="AH76" s="209">
        <f t="shared" si="12"/>
        <v>2.236821855019167E-3</v>
      </c>
      <c r="AI76" s="209">
        <f t="shared" si="13"/>
        <v>2.2698993432284731E-3</v>
      </c>
      <c r="AJ76" s="179">
        <f t="shared" si="14"/>
        <v>2.2945824973845145E-3</v>
      </c>
    </row>
    <row r="77" spans="10:36" x14ac:dyDescent="0.2">
      <c r="J77" s="190"/>
      <c r="K77" s="190"/>
      <c r="AF77" s="208">
        <f>_xll.qlCalendarAdvance(Calendar,AF76,"1d","mf",,Trigger)</f>
        <v>42061</v>
      </c>
      <c r="AG77" s="219">
        <f>_xll.qlDayCounterYearFraction(DayCounterON,SettlementDate,AF77,,,Trigger)</f>
        <v>0.29315068493150687</v>
      </c>
      <c r="AH77" s="209">
        <f t="shared" si="12"/>
        <v>2.236821855019167E-3</v>
      </c>
      <c r="AI77" s="209">
        <f t="shared" si="13"/>
        <v>2.2720333747258477E-3</v>
      </c>
      <c r="AJ77" s="179">
        <f t="shared" si="14"/>
        <v>2.2967123166313325E-3</v>
      </c>
    </row>
    <row r="78" spans="10:36" x14ac:dyDescent="0.2">
      <c r="J78" s="190"/>
      <c r="K78" s="190"/>
      <c r="AF78" s="208">
        <f>_xll.qlCalendarAdvance(Calendar,AF77,"1d","mf",,Trigger)</f>
        <v>42062</v>
      </c>
      <c r="AG78" s="219">
        <f>_xll.qlDayCounterYearFraction(DayCounterON,SettlementDate,AF78,,,Trigger)</f>
        <v>0.29589041095890412</v>
      </c>
      <c r="AH78" s="209">
        <f t="shared" si="12"/>
        <v>2.236821855019167E-3</v>
      </c>
      <c r="AI78" s="209">
        <f t="shared" si="13"/>
        <v>2.2741674062232223E-3</v>
      </c>
      <c r="AJ78" s="179">
        <f t="shared" si="14"/>
        <v>2.2988255586340275E-3</v>
      </c>
    </row>
    <row r="79" spans="10:36" x14ac:dyDescent="0.2">
      <c r="J79" s="190"/>
      <c r="K79" s="190"/>
      <c r="AF79" s="208">
        <f>_xll.qlCalendarAdvance(Calendar,AF78,"1d","mf",,Trigger)</f>
        <v>42065</v>
      </c>
      <c r="AG79" s="219">
        <f>_xll.qlDayCounterYearFraction(DayCounterON,SettlementDate,AF79,,,Trigger)</f>
        <v>0.30410958904109592</v>
      </c>
      <c r="AH79" s="209">
        <f t="shared" si="12"/>
        <v>2.236821855019167E-3</v>
      </c>
      <c r="AI79" s="209">
        <f t="shared" si="13"/>
        <v>2.280569500715346E-3</v>
      </c>
      <c r="AJ79" s="179">
        <f t="shared" si="14"/>
        <v>2.3050658211773703E-3</v>
      </c>
    </row>
    <row r="80" spans="10:36" x14ac:dyDescent="0.2">
      <c r="J80" s="190"/>
      <c r="K80" s="190"/>
      <c r="AF80" s="208">
        <f>_xll.qlCalendarAdvance(Calendar,AF79,"1d","mf",,Trigger)</f>
        <v>42066</v>
      </c>
      <c r="AG80" s="219">
        <f>_xll.qlDayCounterYearFraction(DayCounterON,SettlementDate,AF80,,,Trigger)</f>
        <v>0.30684931506849317</v>
      </c>
      <c r="AH80" s="209">
        <f t="shared" si="12"/>
        <v>2.236821855019167E-3</v>
      </c>
      <c r="AI80" s="209">
        <f t="shared" si="13"/>
        <v>2.2827035322127206E-3</v>
      </c>
      <c r="AJ80" s="179">
        <f t="shared" si="14"/>
        <v>2.3071127542035707E-3</v>
      </c>
    </row>
    <row r="81" spans="10:36" x14ac:dyDescent="0.2">
      <c r="J81" s="190"/>
      <c r="K81" s="190"/>
      <c r="AF81" s="208">
        <f>_xll.qlCalendarAdvance(Calendar,AF80,"1d","mf",,Trigger)</f>
        <v>42067</v>
      </c>
      <c r="AG81" s="219">
        <f>_xll.qlDayCounterYearFraction(DayCounterON,SettlementDate,AF81,,,Trigger)</f>
        <v>0.30958904109589042</v>
      </c>
      <c r="AH81" s="209">
        <f t="shared" si="12"/>
        <v>2.236821855019167E-3</v>
      </c>
      <c r="AI81" s="209">
        <f t="shared" si="13"/>
        <v>2.2848375637100952E-3</v>
      </c>
      <c r="AJ81" s="179">
        <f t="shared" si="14"/>
        <v>2.3091431099856474E-3</v>
      </c>
    </row>
    <row r="82" spans="10:36" x14ac:dyDescent="0.2">
      <c r="J82" s="190"/>
      <c r="K82" s="190"/>
      <c r="AF82" s="208">
        <f>_xll.qlCalendarAdvance(Calendar,AF81,"1d","mf",,Trigger)</f>
        <v>42068</v>
      </c>
      <c r="AG82" s="219">
        <f>_xll.qlDayCounterYearFraction(DayCounterON,SettlementDate,AF82,,,Trigger)</f>
        <v>0.31232876712328766</v>
      </c>
      <c r="AH82" s="209">
        <f t="shared" si="12"/>
        <v>2.236821855019167E-3</v>
      </c>
      <c r="AI82" s="209">
        <f t="shared" si="13"/>
        <v>2.2869715952074697E-3</v>
      </c>
      <c r="AJ82" s="179">
        <f t="shared" si="14"/>
        <v>2.3111568885235997E-3</v>
      </c>
    </row>
    <row r="83" spans="10:36" x14ac:dyDescent="0.2">
      <c r="J83" s="190"/>
      <c r="K83" s="190"/>
      <c r="AF83" s="208">
        <f>_xll.qlCalendarAdvance(Calendar,AF82,"1d","mf",,Trigger)</f>
        <v>42069</v>
      </c>
      <c r="AG83" s="219">
        <f>_xll.qlDayCounterYearFraction(DayCounterON,SettlementDate,AF83,,,Trigger)</f>
        <v>0.31506849315068491</v>
      </c>
      <c r="AH83" s="209">
        <f t="shared" si="12"/>
        <v>2.236821855019167E-3</v>
      </c>
      <c r="AI83" s="209">
        <f t="shared" si="13"/>
        <v>2.2891056267048439E-3</v>
      </c>
      <c r="AJ83" s="179">
        <f t="shared" si="14"/>
        <v>2.3131540898174291E-3</v>
      </c>
    </row>
    <row r="84" spans="10:36" x14ac:dyDescent="0.2">
      <c r="J84" s="190"/>
      <c r="K84" s="190"/>
      <c r="AF84" s="208">
        <f>_xll.qlCalendarAdvance(Calendar,AF83,"1d","mf",,Trigger)</f>
        <v>42072</v>
      </c>
      <c r="AG84" s="219">
        <f>_xll.qlDayCounterYearFraction(DayCounterON,SettlementDate,AF84,,,Trigger)</f>
        <v>0.32328767123287672</v>
      </c>
      <c r="AH84" s="209">
        <f t="shared" si="12"/>
        <v>2.236821855019167E-3</v>
      </c>
      <c r="AI84" s="209">
        <f t="shared" si="13"/>
        <v>2.2955077211969676E-3</v>
      </c>
      <c r="AJ84" s="179">
        <f t="shared" si="14"/>
        <v>2.3190462302341741E-3</v>
      </c>
    </row>
    <row r="85" spans="10:36" x14ac:dyDescent="0.2">
      <c r="J85" s="190"/>
      <c r="K85" s="190"/>
      <c r="AF85" s="208">
        <f>_xll.qlCalendarAdvance(Calendar,AF84,"1d","mf",,Trigger)</f>
        <v>42073</v>
      </c>
      <c r="AG85" s="219">
        <f>_xll.qlDayCounterYearFraction(DayCounterON,SettlementDate,AF85,,,Trigger)</f>
        <v>0.32602739726027397</v>
      </c>
      <c r="AH85" s="209">
        <f t="shared" si="12"/>
        <v>2.236821855019167E-3</v>
      </c>
      <c r="AI85" s="209">
        <f t="shared" si="13"/>
        <v>2.2976417526943422E-3</v>
      </c>
      <c r="AJ85" s="179">
        <f t="shared" si="14"/>
        <v>2.3209771225515085E-3</v>
      </c>
    </row>
    <row r="86" spans="10:36" x14ac:dyDescent="0.2">
      <c r="J86" s="190"/>
      <c r="K86" s="190"/>
      <c r="AF86" s="208">
        <f>_xll.qlCalendarAdvance(Calendar,AF85,"1d","mf",,Trigger)</f>
        <v>42074</v>
      </c>
      <c r="AG86" s="219">
        <f>_xll.qlDayCounterYearFraction(DayCounterON,SettlementDate,AF86,,,Trigger)</f>
        <v>0.32876712328767121</v>
      </c>
      <c r="AH86" s="209">
        <f t="shared" si="12"/>
        <v>2.236821855019167E-3</v>
      </c>
      <c r="AI86" s="209">
        <f t="shared" si="13"/>
        <v>2.2997757841917168E-3</v>
      </c>
      <c r="AJ86" s="179">
        <f t="shared" si="14"/>
        <v>2.3228914376247196E-3</v>
      </c>
    </row>
    <row r="87" spans="10:36" x14ac:dyDescent="0.2">
      <c r="J87" s="190"/>
      <c r="K87" s="190"/>
      <c r="AF87" s="208">
        <f>_xll.qlCalendarAdvance(Calendar,AF86,"1d","mf",,Trigger)</f>
        <v>42075</v>
      </c>
      <c r="AG87" s="219">
        <f>_xll.qlDayCounterYearFraction(DayCounterON,SettlementDate,AF87,,,Trigger)</f>
        <v>0.33150684931506852</v>
      </c>
      <c r="AH87" s="209">
        <f t="shared" si="12"/>
        <v>2.236821855019167E-3</v>
      </c>
      <c r="AI87" s="209">
        <f t="shared" si="13"/>
        <v>2.3019098156890913E-3</v>
      </c>
      <c r="AJ87" s="179">
        <f t="shared" si="14"/>
        <v>2.3247891754538067E-3</v>
      </c>
    </row>
    <row r="88" spans="10:36" x14ac:dyDescent="0.2">
      <c r="J88" s="190"/>
      <c r="K88" s="190"/>
      <c r="AF88" s="208">
        <f>_xll.qlCalendarAdvance(Calendar,AF87,"1d","mf",,Trigger)</f>
        <v>42076</v>
      </c>
      <c r="AG88" s="219">
        <f>_xll.qlDayCounterYearFraction(DayCounterON,SettlementDate,AF88,,,Trigger)</f>
        <v>0.33424657534246577</v>
      </c>
      <c r="AH88" s="209">
        <f t="shared" si="12"/>
        <v>2.236821855019167E-3</v>
      </c>
      <c r="AI88" s="209">
        <f t="shared" si="13"/>
        <v>2.3040438471864659E-3</v>
      </c>
      <c r="AJ88" s="179">
        <f t="shared" si="14"/>
        <v>2.3266703360387696E-3</v>
      </c>
    </row>
    <row r="89" spans="10:36" x14ac:dyDescent="0.2">
      <c r="J89" s="190"/>
      <c r="K89" s="190"/>
      <c r="AF89" s="208">
        <f>_xll.qlCalendarAdvance(Calendar,AF88,"1d","mf",,Trigger)</f>
        <v>42079</v>
      </c>
      <c r="AG89" s="219">
        <f>_xll.qlDayCounterYearFraction(DayCounterON,SettlementDate,AF89,,,Trigger)</f>
        <v>0.34246575342465752</v>
      </c>
      <c r="AH89" s="209">
        <f t="shared" si="12"/>
        <v>2.236821855019167E-3</v>
      </c>
      <c r="AI89" s="209">
        <f t="shared" si="13"/>
        <v>2.3104459416785897E-3</v>
      </c>
      <c r="AJ89" s="179">
        <f t="shared" si="14"/>
        <v>2.3322143543289173E-3</v>
      </c>
    </row>
    <row r="90" spans="10:36" x14ac:dyDescent="0.2">
      <c r="J90" s="190"/>
      <c r="K90" s="190"/>
      <c r="AF90" s="208">
        <f>_xll.qlCalendarAdvance(Calendar,AF89,"1d","mf",,Trigger)</f>
        <v>42080</v>
      </c>
      <c r="AG90" s="219">
        <f>_xll.qlDayCounterYearFraction(DayCounterON,SettlementDate,AF90,,,Trigger)</f>
        <v>0.34520547945205482</v>
      </c>
      <c r="AH90" s="209">
        <f t="shared" si="12"/>
        <v>2.236821855019167E-3</v>
      </c>
      <c r="AI90" s="209">
        <f t="shared" si="13"/>
        <v>2.3125799731759642E-3</v>
      </c>
      <c r="AJ90" s="179">
        <f t="shared" si="14"/>
        <v>2.3340292059373861E-3</v>
      </c>
    </row>
    <row r="91" spans="10:36" x14ac:dyDescent="0.2">
      <c r="J91" s="190"/>
      <c r="K91" s="190"/>
      <c r="AF91" s="208">
        <f>_xll.qlCalendarAdvance(Calendar,AF90,"1d","mf",,Trigger)</f>
        <v>42081</v>
      </c>
      <c r="AG91" s="219">
        <f>_xll.qlDayCounterYearFraction(DayCounterON,SettlementDate,AF91,,,Trigger)</f>
        <v>0.34794520547945207</v>
      </c>
      <c r="AH91" s="209">
        <f t="shared" si="12"/>
        <v>2.236821855019167E-3</v>
      </c>
      <c r="AI91" s="209">
        <f t="shared" si="13"/>
        <v>2.3147140046733388E-3</v>
      </c>
      <c r="AJ91" s="179">
        <f t="shared" si="14"/>
        <v>2.3358274803017311E-3</v>
      </c>
    </row>
    <row r="92" spans="10:36" x14ac:dyDescent="0.2">
      <c r="J92" s="190"/>
      <c r="K92" s="190"/>
      <c r="AF92" s="208">
        <f>_xll.qlCalendarAdvance(Calendar,AF91,"1d","mf",,Trigger)</f>
        <v>42082</v>
      </c>
      <c r="AG92" s="219">
        <f>_xll.qlDayCounterYearFraction(DayCounterON,SettlementDate,AF92,,,Trigger)</f>
        <v>0.35068493150684932</v>
      </c>
      <c r="AH92" s="209">
        <f t="shared" si="12"/>
        <v>2.236821855019167E-3</v>
      </c>
      <c r="AI92" s="209">
        <f t="shared" si="13"/>
        <v>2.316848036170713E-3</v>
      </c>
      <c r="AJ92" s="179">
        <f t="shared" si="14"/>
        <v>2.3376091774219526E-3</v>
      </c>
    </row>
    <row r="93" spans="10:36" x14ac:dyDescent="0.2">
      <c r="J93" s="190"/>
      <c r="K93" s="190"/>
      <c r="AF93" s="208">
        <f>_xll.qlCalendarAdvance(Calendar,AF92,"1d","mf",,Trigger)</f>
        <v>42083</v>
      </c>
      <c r="AG93" s="219">
        <f>_xll.qlDayCounterYearFraction(DayCounterON,SettlementDate,AF93,,,Trigger)</f>
        <v>0.35342465753424657</v>
      </c>
      <c r="AH93" s="209">
        <f t="shared" si="12"/>
        <v>2.236821855019167E-3</v>
      </c>
      <c r="AI93" s="209">
        <f t="shared" si="13"/>
        <v>2.318982067668088E-3</v>
      </c>
      <c r="AJ93" s="179">
        <f t="shared" si="14"/>
        <v>2.3393742972980494E-3</v>
      </c>
    </row>
    <row r="94" spans="10:36" x14ac:dyDescent="0.2">
      <c r="J94" s="190"/>
      <c r="K94" s="190"/>
      <c r="AF94" s="208">
        <f>_xll.qlCalendarAdvance(Calendar,AF93,"1d","mf",,Trigger)</f>
        <v>42086</v>
      </c>
      <c r="AG94" s="219">
        <f>_xll.qlDayCounterYearFraction(DayCounterON,SettlementDate,AF94,,,Trigger)</f>
        <v>0.36164383561643837</v>
      </c>
      <c r="AH94" s="209">
        <f t="shared" si="12"/>
        <v>2.236821855019167E-3</v>
      </c>
      <c r="AI94" s="209">
        <f t="shared" si="13"/>
        <v>2.3253841621602113E-3</v>
      </c>
      <c r="AJ94" s="179">
        <f t="shared" si="14"/>
        <v>2.3445701934615999E-3</v>
      </c>
    </row>
    <row r="95" spans="10:36" x14ac:dyDescent="0.2">
      <c r="J95" s="190"/>
      <c r="K95" s="190"/>
      <c r="AF95" s="208">
        <f>_xll.qlCalendarAdvance(Calendar,AF94,"1d","mf",,Trigger)</f>
        <v>42087</v>
      </c>
      <c r="AG95" s="219">
        <f>_xll.qlDayCounterYearFraction(DayCounterON,SettlementDate,AF95,,,Trigger)</f>
        <v>0.36438356164383562</v>
      </c>
      <c r="AH95" s="209">
        <f t="shared" si="12"/>
        <v>2.236821855019167E-3</v>
      </c>
      <c r="AI95" s="209">
        <f t="shared" si="13"/>
        <v>2.3275181936575858E-3</v>
      </c>
      <c r="AJ95" s="179">
        <f t="shared" si="14"/>
        <v>2.346269004361203E-3</v>
      </c>
    </row>
    <row r="96" spans="10:36" x14ac:dyDescent="0.2">
      <c r="J96" s="190"/>
      <c r="K96" s="190"/>
      <c r="AF96" s="208">
        <f>_xll.qlCalendarAdvance(Calendar,AF95,"1d","mf",,Trigger)</f>
        <v>42088</v>
      </c>
      <c r="AG96" s="219">
        <f>_xll.qlDayCounterYearFraction(DayCounterON,SettlementDate,AF96,,,Trigger)</f>
        <v>0.36712328767123287</v>
      </c>
      <c r="AH96" s="209">
        <f t="shared" si="12"/>
        <v>2.236821855019167E-3</v>
      </c>
      <c r="AI96" s="209">
        <f t="shared" si="13"/>
        <v>2.3296522251549604E-3</v>
      </c>
      <c r="AJ96" s="179">
        <f t="shared" si="14"/>
        <v>2.3479512380166819E-3</v>
      </c>
    </row>
    <row r="97" spans="10:36" x14ac:dyDescent="0.2">
      <c r="J97" s="190"/>
      <c r="K97" s="190"/>
      <c r="AF97" s="208">
        <f>_xll.qlCalendarAdvance(Calendar,AF96,"1d","mf",,Trigger)</f>
        <v>42089</v>
      </c>
      <c r="AG97" s="219">
        <f>_xll.qlDayCounterYearFraction(DayCounterON,SettlementDate,AF97,,,Trigger)</f>
        <v>0.36986301369863012</v>
      </c>
      <c r="AH97" s="209">
        <f t="shared" si="12"/>
        <v>2.236821855019167E-3</v>
      </c>
      <c r="AI97" s="209">
        <f t="shared" si="13"/>
        <v>2.331786256652335E-3</v>
      </c>
      <c r="AJ97" s="179">
        <f t="shared" si="14"/>
        <v>2.3496168944280374E-3</v>
      </c>
    </row>
    <row r="98" spans="10:36" x14ac:dyDescent="0.2">
      <c r="J98" s="190"/>
      <c r="K98" s="190"/>
      <c r="AF98" s="208">
        <f>_xll.qlCalendarAdvance(Calendar,AF97,"1d","mf",,Trigger)</f>
        <v>42090</v>
      </c>
      <c r="AG98" s="219">
        <f>_xll.qlDayCounterYearFraction(DayCounterON,SettlementDate,AF98,,,Trigger)</f>
        <v>0.37260273972602742</v>
      </c>
      <c r="AH98" s="209">
        <f t="shared" si="12"/>
        <v>2.236821855019167E-3</v>
      </c>
      <c r="AI98" s="209">
        <f t="shared" si="13"/>
        <v>2.3339202881497096E-3</v>
      </c>
      <c r="AJ98" s="179">
        <f t="shared" si="14"/>
        <v>2.3512659735952695E-3</v>
      </c>
    </row>
    <row r="99" spans="10:36" x14ac:dyDescent="0.2">
      <c r="J99" s="190"/>
      <c r="K99" s="190"/>
      <c r="AF99" s="208">
        <f>_xll.qlCalendarAdvance(Calendar,AF98,"1d","mf",,Trigger)</f>
        <v>42093</v>
      </c>
      <c r="AG99" s="219">
        <f>_xll.qlDayCounterYearFraction(DayCounterON,SettlementDate,AF99,,,Trigger)</f>
        <v>0.38082191780821917</v>
      </c>
      <c r="AH99" s="209">
        <f t="shared" ref="AH99:AH132" si="15">$W$13</f>
        <v>2.236821855019167E-3</v>
      </c>
      <c r="AI99" s="209">
        <f t="shared" ref="AI99:AI132" si="16">$W$10+$W$9*AG99</f>
        <v>2.3403223826418333E-3</v>
      </c>
      <c r="AJ99" s="179">
        <f t="shared" ref="AJ99:AJ132" si="17">($W$5+$W$4*AG99+$W$3*AG99^2)</f>
        <v>2.3561137476322226E-3</v>
      </c>
    </row>
    <row r="100" spans="10:36" x14ac:dyDescent="0.2">
      <c r="J100" s="190"/>
      <c r="K100" s="190"/>
      <c r="AF100" s="208">
        <f>_xll.qlCalendarAdvance(Calendar,AF99,"1d","mf",,Trigger)</f>
        <v>42094</v>
      </c>
      <c r="AG100" s="219">
        <f>_xll.qlDayCounterYearFraction(DayCounterON,SettlementDate,AF100,,,Trigger)</f>
        <v>0.38356164383561642</v>
      </c>
      <c r="AH100" s="209">
        <f t="shared" si="15"/>
        <v>2.236821855019167E-3</v>
      </c>
      <c r="AI100" s="209">
        <f t="shared" si="16"/>
        <v>2.3424564141392079E-3</v>
      </c>
      <c r="AJ100" s="179">
        <f t="shared" si="17"/>
        <v>2.3576965178229593E-3</v>
      </c>
    </row>
    <row r="101" spans="10:36" x14ac:dyDescent="0.2">
      <c r="J101" s="190"/>
      <c r="K101" s="190"/>
      <c r="AF101" s="208">
        <f>_xll.qlCalendarAdvance(Calendar,AF100,"1d","mf",,Trigger)</f>
        <v>42095</v>
      </c>
      <c r="AG101" s="219">
        <f>_xll.qlDayCounterYearFraction(DayCounterON,SettlementDate,AF101,,,Trigger)</f>
        <v>0.38630136986301372</v>
      </c>
      <c r="AH101" s="209">
        <f t="shared" si="15"/>
        <v>2.236821855019167E-3</v>
      </c>
      <c r="AI101" s="209">
        <f t="shared" si="16"/>
        <v>2.3445904456365825E-3</v>
      </c>
      <c r="AJ101" s="179">
        <f t="shared" si="17"/>
        <v>2.3592627107695725E-3</v>
      </c>
    </row>
    <row r="102" spans="10:36" x14ac:dyDescent="0.2">
      <c r="J102" s="190"/>
      <c r="K102" s="190"/>
      <c r="AF102" s="208">
        <f>_xll.qlCalendarAdvance(Calendar,AF101,"1d","mf",,Trigger)</f>
        <v>42096</v>
      </c>
      <c r="AG102" s="219">
        <f>_xll.qlDayCounterYearFraction(DayCounterON,SettlementDate,AF102,,,Trigger)</f>
        <v>0.38904109589041097</v>
      </c>
      <c r="AH102" s="209">
        <f t="shared" si="15"/>
        <v>2.236821855019167E-3</v>
      </c>
      <c r="AI102" s="209">
        <f t="shared" si="16"/>
        <v>2.346724477133957E-3</v>
      </c>
      <c r="AJ102" s="179">
        <f t="shared" si="17"/>
        <v>2.360812326472062E-3</v>
      </c>
    </row>
    <row r="103" spans="10:36" x14ac:dyDescent="0.2">
      <c r="J103" s="190"/>
      <c r="K103" s="190"/>
      <c r="AF103" s="208">
        <f>_xll.qlCalendarAdvance(Calendar,AF102,"1d","mf",,Trigger)</f>
        <v>42101</v>
      </c>
      <c r="AG103" s="219">
        <f>_xll.qlDayCounterYearFraction(DayCounterON,SettlementDate,AF103,,,Trigger)</f>
        <v>0.40273972602739727</v>
      </c>
      <c r="AH103" s="209">
        <f t="shared" si="15"/>
        <v>2.236821855019167E-3</v>
      </c>
      <c r="AI103" s="209">
        <f t="shared" si="16"/>
        <v>2.3573946346208295E-3</v>
      </c>
      <c r="AJ103" s="179">
        <f t="shared" si="17"/>
        <v>2.3683117463226544E-3</v>
      </c>
    </row>
    <row r="104" spans="10:36" x14ac:dyDescent="0.2">
      <c r="J104" s="190"/>
      <c r="K104" s="190"/>
      <c r="AF104" s="208">
        <f>_xll.qlCalendarAdvance(Calendar,AF103,"1d","mf",,Trigger)</f>
        <v>42102</v>
      </c>
      <c r="AG104" s="219">
        <f>_xll.qlDayCounterYearFraction(DayCounterON,SettlementDate,AF104,,,Trigger)</f>
        <v>0.40547945205479452</v>
      </c>
      <c r="AH104" s="209">
        <f t="shared" si="15"/>
        <v>2.236821855019167E-3</v>
      </c>
      <c r="AI104" s="209">
        <f t="shared" si="16"/>
        <v>2.3595286661182041E-3</v>
      </c>
      <c r="AJ104" s="179">
        <f t="shared" si="17"/>
        <v>2.369761898560402E-3</v>
      </c>
    </row>
    <row r="105" spans="10:36" x14ac:dyDescent="0.2">
      <c r="J105" s="190"/>
      <c r="K105" s="190"/>
      <c r="AF105" s="208">
        <f>_xll.qlCalendarAdvance(Calendar,AF104,"1d","mf",,Trigger)</f>
        <v>42103</v>
      </c>
      <c r="AG105" s="219">
        <f>_xll.qlDayCounterYearFraction(DayCounterON,SettlementDate,AF105,,,Trigger)</f>
        <v>0.40821917808219177</v>
      </c>
      <c r="AH105" s="209">
        <f t="shared" si="15"/>
        <v>2.236821855019167E-3</v>
      </c>
      <c r="AI105" s="209">
        <f t="shared" si="16"/>
        <v>2.3616626976155786E-3</v>
      </c>
      <c r="AJ105" s="179">
        <f t="shared" si="17"/>
        <v>2.3711954735540263E-3</v>
      </c>
    </row>
    <row r="106" spans="10:36" x14ac:dyDescent="0.2">
      <c r="J106" s="190"/>
      <c r="K106" s="190"/>
      <c r="AF106" s="208">
        <f>_xll.qlCalendarAdvance(Calendar,AF105,"1d","mf",,Trigger)</f>
        <v>42104</v>
      </c>
      <c r="AG106" s="219">
        <f>_xll.qlDayCounterYearFraction(DayCounterON,SettlementDate,AF106,,,Trigger)</f>
        <v>0.41095890410958902</v>
      </c>
      <c r="AH106" s="209">
        <f t="shared" si="15"/>
        <v>2.236821855019167E-3</v>
      </c>
      <c r="AI106" s="209">
        <f t="shared" si="16"/>
        <v>2.3637967291129532E-3</v>
      </c>
      <c r="AJ106" s="179">
        <f t="shared" si="17"/>
        <v>2.3726124713035262E-3</v>
      </c>
    </row>
    <row r="107" spans="10:36" x14ac:dyDescent="0.2">
      <c r="J107" s="190"/>
      <c r="K107" s="190"/>
      <c r="AF107" s="208">
        <f>_xll.qlCalendarAdvance(Calendar,AF106,"1d","mf",,Trigger)</f>
        <v>42107</v>
      </c>
      <c r="AG107" s="219">
        <f>_xll.qlDayCounterYearFraction(DayCounterON,SettlementDate,AF107,,,Trigger)</f>
        <v>0.41917808219178082</v>
      </c>
      <c r="AH107" s="209">
        <f t="shared" si="15"/>
        <v>2.236821855019167E-3</v>
      </c>
      <c r="AI107" s="209">
        <f t="shared" si="16"/>
        <v>2.3701988236050769E-3</v>
      </c>
      <c r="AJ107" s="179">
        <f t="shared" si="17"/>
        <v>2.3767640010872843E-3</v>
      </c>
    </row>
    <row r="108" spans="10:36" x14ac:dyDescent="0.2">
      <c r="J108" s="190"/>
      <c r="K108" s="190"/>
      <c r="AF108" s="208">
        <f>_xll.qlCalendarAdvance(Calendar,AF107,"1d","mf",,Trigger)</f>
        <v>42108</v>
      </c>
      <c r="AG108" s="219">
        <f>_xll.qlDayCounterYearFraction(DayCounterON,SettlementDate,AF108,,,Trigger)</f>
        <v>0.42191780821917807</v>
      </c>
      <c r="AH108" s="209">
        <f t="shared" si="15"/>
        <v>2.236821855019167E-3</v>
      </c>
      <c r="AI108" s="209">
        <f t="shared" si="16"/>
        <v>2.3723328551024515E-3</v>
      </c>
      <c r="AJ108" s="179">
        <f t="shared" si="17"/>
        <v>2.3781146898602893E-3</v>
      </c>
    </row>
    <row r="109" spans="10:36" x14ac:dyDescent="0.2">
      <c r="J109" s="190"/>
      <c r="K109" s="190"/>
      <c r="AF109" s="208">
        <f>_xll.qlCalendarAdvance(Calendar,AF108,"1d","mf",,Trigger)</f>
        <v>42109</v>
      </c>
      <c r="AG109" s="219">
        <f>_xll.qlDayCounterYearFraction(DayCounterON,SettlementDate,AF109,,,Trigger)</f>
        <v>0.42465753424657532</v>
      </c>
      <c r="AH109" s="209">
        <f t="shared" si="15"/>
        <v>2.236821855019167E-3</v>
      </c>
      <c r="AI109" s="209">
        <f t="shared" si="16"/>
        <v>2.3744668865998261E-3</v>
      </c>
      <c r="AJ109" s="179">
        <f t="shared" si="17"/>
        <v>2.3794488013891713E-3</v>
      </c>
    </row>
    <row r="110" spans="10:36" x14ac:dyDescent="0.2">
      <c r="J110" s="190"/>
      <c r="K110" s="190"/>
      <c r="AF110" s="208">
        <f>_xll.qlCalendarAdvance(Calendar,AF109,"1d","mf",,Trigger)</f>
        <v>42110</v>
      </c>
      <c r="AG110" s="219">
        <f>_xll.qlDayCounterYearFraction(DayCounterON,SettlementDate,AF110,,,Trigger)</f>
        <v>0.42739726027397262</v>
      </c>
      <c r="AH110" s="209">
        <f t="shared" si="15"/>
        <v>2.236821855019167E-3</v>
      </c>
      <c r="AI110" s="209">
        <f t="shared" si="16"/>
        <v>2.3766009180972002E-3</v>
      </c>
      <c r="AJ110" s="179">
        <f t="shared" si="17"/>
        <v>2.3807663356739295E-3</v>
      </c>
    </row>
    <row r="111" spans="10:36" x14ac:dyDescent="0.2">
      <c r="J111" s="190"/>
      <c r="K111" s="190"/>
      <c r="AF111" s="208">
        <f>_xll.qlCalendarAdvance(Calendar,AF110,"1d","mf",,Trigger)</f>
        <v>42111</v>
      </c>
      <c r="AG111" s="219">
        <f>_xll.qlDayCounterYearFraction(DayCounterON,SettlementDate,AF111,,,Trigger)</f>
        <v>0.43013698630136987</v>
      </c>
      <c r="AH111" s="209">
        <f t="shared" si="15"/>
        <v>2.236821855019167E-3</v>
      </c>
      <c r="AI111" s="209">
        <f t="shared" si="16"/>
        <v>2.3787349495945748E-3</v>
      </c>
      <c r="AJ111" s="179">
        <f t="shared" si="17"/>
        <v>2.3820672927145638E-3</v>
      </c>
    </row>
    <row r="112" spans="10:36" x14ac:dyDescent="0.2">
      <c r="J112" s="190"/>
      <c r="K112" s="190"/>
      <c r="AF112" s="208">
        <f>_xll.qlCalendarAdvance(Calendar,AF111,"1d","mf",,Trigger)</f>
        <v>42114</v>
      </c>
      <c r="AG112" s="219">
        <f>_xll.qlDayCounterYearFraction(DayCounterON,SettlementDate,AF112,,,Trigger)</f>
        <v>0.43835616438356162</v>
      </c>
      <c r="AH112" s="209">
        <f t="shared" si="15"/>
        <v>2.236821855019167E-3</v>
      </c>
      <c r="AI112" s="209">
        <f t="shared" si="16"/>
        <v>2.3851370440866985E-3</v>
      </c>
      <c r="AJ112" s="179">
        <f t="shared" si="17"/>
        <v>2.3858707003717246E-3</v>
      </c>
    </row>
    <row r="113" spans="10:36" x14ac:dyDescent="0.2">
      <c r="J113" s="190"/>
      <c r="K113" s="190"/>
      <c r="AF113" s="208">
        <f>_xll.qlCalendarAdvance(Calendar,AF112,"1d","mf",,Trigger)</f>
        <v>42115</v>
      </c>
      <c r="AG113" s="219">
        <f>_xll.qlDayCounterYearFraction(DayCounterON,SettlementDate,AF113,,,Trigger)</f>
        <v>0.44109589041095892</v>
      </c>
      <c r="AH113" s="209">
        <f t="shared" si="15"/>
        <v>2.236821855019167E-3</v>
      </c>
      <c r="AI113" s="209">
        <f t="shared" si="16"/>
        <v>2.3872710755840731E-3</v>
      </c>
      <c r="AJ113" s="179">
        <f t="shared" si="17"/>
        <v>2.387105348435864E-3</v>
      </c>
    </row>
    <row r="114" spans="10:36" x14ac:dyDescent="0.2">
      <c r="J114" s="190"/>
      <c r="K114" s="190"/>
      <c r="AF114" s="208">
        <f>_xll.qlCalendarAdvance(Calendar,AF113,"1d","mf",,Trigger)</f>
        <v>42116</v>
      </c>
      <c r="AG114" s="219">
        <f>_xll.qlDayCounterYearFraction(DayCounterON,SettlementDate,AF114,,,Trigger)</f>
        <v>0.44383561643835617</v>
      </c>
      <c r="AH114" s="209">
        <f t="shared" si="15"/>
        <v>2.236821855019167E-3</v>
      </c>
      <c r="AI114" s="209">
        <f t="shared" si="16"/>
        <v>2.3894051070814477E-3</v>
      </c>
      <c r="AJ114" s="179">
        <f t="shared" si="17"/>
        <v>2.3883234192558795E-3</v>
      </c>
    </row>
    <row r="115" spans="10:36" x14ac:dyDescent="0.2">
      <c r="J115" s="190"/>
      <c r="K115" s="190"/>
      <c r="AF115" s="208">
        <f>_xll.qlCalendarAdvance(Calendar,AF114,"1d","mf",,Trigger)</f>
        <v>42117</v>
      </c>
      <c r="AG115" s="219">
        <f>_xll.qlDayCounterYearFraction(DayCounterON,SettlementDate,AF115,,,Trigger)</f>
        <v>0.44657534246575342</v>
      </c>
      <c r="AH115" s="209">
        <f t="shared" si="15"/>
        <v>2.236821855019167E-3</v>
      </c>
      <c r="AI115" s="209">
        <f t="shared" si="16"/>
        <v>2.3915391385788223E-3</v>
      </c>
      <c r="AJ115" s="179">
        <f t="shared" si="17"/>
        <v>2.3895249128317721E-3</v>
      </c>
    </row>
    <row r="116" spans="10:36" x14ac:dyDescent="0.2">
      <c r="J116" s="174"/>
      <c r="K116" s="190"/>
      <c r="AF116" s="208">
        <f>_xll.qlCalendarAdvance(Calendar,AF115,"1d","mf",,Trigger)</f>
        <v>42118</v>
      </c>
      <c r="AG116" s="219">
        <f>_xll.qlDayCounterYearFraction(DayCounterON,SettlementDate,AF116,,,Trigger)</f>
        <v>0.44931506849315067</v>
      </c>
      <c r="AH116" s="209">
        <f t="shared" si="15"/>
        <v>2.236821855019167E-3</v>
      </c>
      <c r="AI116" s="209">
        <f t="shared" si="16"/>
        <v>2.3936731700761969E-3</v>
      </c>
      <c r="AJ116" s="179">
        <f t="shared" si="17"/>
        <v>2.3907098291635408E-3</v>
      </c>
    </row>
    <row r="117" spans="10:36" x14ac:dyDescent="0.2">
      <c r="J117" s="174"/>
      <c r="K117" s="190"/>
      <c r="AF117" s="208">
        <f>_xll.qlCalendarAdvance(Calendar,AF116,"1d","mf",,Trigger)</f>
        <v>42121</v>
      </c>
      <c r="AG117" s="219">
        <f>_xll.qlDayCounterYearFraction(DayCounterON,SettlementDate,AF117,,,Trigger)</f>
        <v>0.45753424657534247</v>
      </c>
      <c r="AH117" s="209">
        <f t="shared" si="15"/>
        <v>2.236821855019167E-3</v>
      </c>
      <c r="AI117" s="209">
        <f t="shared" si="16"/>
        <v>2.4000752645683206E-3</v>
      </c>
      <c r="AJ117" s="179">
        <f t="shared" si="17"/>
        <v>2.3941651146941038E-3</v>
      </c>
    </row>
    <row r="118" spans="10:36" x14ac:dyDescent="0.2">
      <c r="J118" s="174"/>
      <c r="K118" s="190"/>
      <c r="AF118" s="208">
        <f>_xll.qlCalendarAdvance(Calendar,AF117,"1d","mf",,Trigger)</f>
        <v>42122</v>
      </c>
      <c r="AG118" s="219">
        <f>_xll.qlDayCounterYearFraction(DayCounterON,SettlementDate,AF118,,,Trigger)</f>
        <v>0.46027397260273972</v>
      </c>
      <c r="AH118" s="209">
        <f t="shared" si="15"/>
        <v>2.236821855019167E-3</v>
      </c>
      <c r="AI118" s="209">
        <f t="shared" si="16"/>
        <v>2.4022092960656952E-3</v>
      </c>
      <c r="AJ118" s="179">
        <f t="shared" si="17"/>
        <v>2.3952837220493775E-3</v>
      </c>
    </row>
    <row r="119" spans="10:36" x14ac:dyDescent="0.2">
      <c r="J119" s="174"/>
      <c r="K119" s="190"/>
      <c r="AF119" s="208">
        <f>_xll.qlCalendarAdvance(Calendar,AF118,"1d","mf",,Trigger)</f>
        <v>42123</v>
      </c>
      <c r="AG119" s="219">
        <f>_xll.qlDayCounterYearFraction(DayCounterON,SettlementDate,AF119,,,Trigger)</f>
        <v>0.46301369863013697</v>
      </c>
      <c r="AH119" s="209">
        <f t="shared" si="15"/>
        <v>2.236821855019167E-3</v>
      </c>
      <c r="AI119" s="209">
        <f t="shared" si="16"/>
        <v>2.4043433275630693E-3</v>
      </c>
      <c r="AJ119" s="179">
        <f t="shared" si="17"/>
        <v>2.3963857521605274E-3</v>
      </c>
    </row>
    <row r="120" spans="10:36" x14ac:dyDescent="0.2">
      <c r="J120" s="174"/>
      <c r="K120" s="190"/>
      <c r="AF120" s="208">
        <f>_xll.qlCalendarAdvance(Calendar,AF119,"1d","mf",,Trigger)</f>
        <v>42124</v>
      </c>
      <c r="AG120" s="219">
        <f>_xll.qlDayCounterYearFraction(DayCounterON,SettlementDate,AF120,,,Trigger)</f>
        <v>0.46575342465753422</v>
      </c>
      <c r="AH120" s="209">
        <f t="shared" si="15"/>
        <v>2.236821855019167E-3</v>
      </c>
      <c r="AI120" s="209">
        <f t="shared" si="16"/>
        <v>2.4064773590604439E-3</v>
      </c>
      <c r="AJ120" s="179">
        <f t="shared" si="17"/>
        <v>2.3974712050275539E-3</v>
      </c>
    </row>
    <row r="121" spans="10:36" x14ac:dyDescent="0.2">
      <c r="J121" s="174"/>
      <c r="K121" s="190"/>
      <c r="AF121" s="208">
        <f>_xll.qlCalendarAdvance(Calendar,AF120,"1d","mf",,Trigger)</f>
        <v>42128</v>
      </c>
      <c r="AG121" s="219">
        <f>_xll.qlDayCounterYearFraction(DayCounterON,SettlementDate,AF121,,,Trigger)</f>
        <v>0.47671232876712327</v>
      </c>
      <c r="AH121" s="209">
        <f t="shared" si="15"/>
        <v>2.236821855019167E-3</v>
      </c>
      <c r="AI121" s="209">
        <f t="shared" si="16"/>
        <v>2.4150134850499422E-3</v>
      </c>
      <c r="AJ121" s="179">
        <f t="shared" si="17"/>
        <v>2.4016472440544227E-3</v>
      </c>
    </row>
    <row r="122" spans="10:36" x14ac:dyDescent="0.2">
      <c r="J122" s="174"/>
      <c r="K122" s="174"/>
      <c r="AF122" s="208">
        <f>_xll.qlCalendarAdvance(Calendar,AF121,"1d","mf",,Trigger)</f>
        <v>42129</v>
      </c>
      <c r="AG122" s="219">
        <f>_xll.qlDayCounterYearFraction(DayCounterON,SettlementDate,AF122,,,Trigger)</f>
        <v>0.47945205479452052</v>
      </c>
      <c r="AH122" s="209">
        <f t="shared" si="15"/>
        <v>2.236821855019167E-3</v>
      </c>
      <c r="AI122" s="209">
        <f t="shared" si="16"/>
        <v>2.4171475165473168E-3</v>
      </c>
      <c r="AJ122" s="179">
        <f t="shared" si="17"/>
        <v>2.4026498107008309E-3</v>
      </c>
    </row>
    <row r="123" spans="10:36" x14ac:dyDescent="0.2">
      <c r="J123" s="174"/>
      <c r="K123" s="174"/>
      <c r="AF123" s="208">
        <f>_xll.qlCalendarAdvance(Calendar,AF122,"1d","mf",,Trigger)</f>
        <v>42130</v>
      </c>
      <c r="AG123" s="219">
        <f>_xll.qlDayCounterYearFraction(DayCounterON,SettlementDate,AF123,,,Trigger)</f>
        <v>0.48219178082191783</v>
      </c>
      <c r="AH123" s="209">
        <f t="shared" si="15"/>
        <v>2.236821855019167E-3</v>
      </c>
      <c r="AI123" s="209">
        <f t="shared" si="16"/>
        <v>2.4192815480446913E-3</v>
      </c>
      <c r="AJ123" s="179">
        <f t="shared" si="17"/>
        <v>2.4036358001031152E-3</v>
      </c>
    </row>
    <row r="124" spans="10:36" x14ac:dyDescent="0.2">
      <c r="J124" s="174"/>
      <c r="K124" s="174"/>
      <c r="AF124" s="208">
        <f>_xll.qlCalendarAdvance(Calendar,AF123,"1d","mf",,Trigger)</f>
        <v>42131</v>
      </c>
      <c r="AG124" s="219">
        <f>_xll.qlDayCounterYearFraction(DayCounterON,SettlementDate,AF124,,,Trigger)</f>
        <v>0.48493150684931507</v>
      </c>
      <c r="AH124" s="209">
        <f t="shared" si="15"/>
        <v>2.236821855019167E-3</v>
      </c>
      <c r="AI124" s="209">
        <f t="shared" si="16"/>
        <v>2.4214155795420659E-3</v>
      </c>
      <c r="AJ124" s="179">
        <f t="shared" si="17"/>
        <v>2.4046052122612752E-3</v>
      </c>
    </row>
    <row r="125" spans="10:36" x14ac:dyDescent="0.2">
      <c r="J125" s="174"/>
      <c r="K125" s="174"/>
      <c r="AF125" s="208">
        <f>_xll.qlCalendarAdvance(Calendar,AF124,"1d","mf",,Trigger)</f>
        <v>42132</v>
      </c>
      <c r="AG125" s="219">
        <f>_xll.qlDayCounterYearFraction(DayCounterON,SettlementDate,AF125,,,Trigger)</f>
        <v>0.48767123287671232</v>
      </c>
      <c r="AH125" s="209">
        <f t="shared" si="15"/>
        <v>2.236821855019167E-3</v>
      </c>
      <c r="AI125" s="209">
        <f t="shared" si="16"/>
        <v>2.4235496110394405E-3</v>
      </c>
      <c r="AJ125" s="179">
        <f t="shared" si="17"/>
        <v>2.4055580471753122E-3</v>
      </c>
    </row>
    <row r="126" spans="10:36" x14ac:dyDescent="0.2">
      <c r="J126" s="174"/>
      <c r="K126" s="174"/>
      <c r="AF126" s="208">
        <f>_xll.qlCalendarAdvance(Calendar,AF125,"1d","mf",,Trigger)</f>
        <v>42135</v>
      </c>
      <c r="AG126" s="219">
        <f>_xll.qlDayCounterYearFraction(DayCounterON,SettlementDate,AF126,,,Trigger)</f>
        <v>0.49589041095890413</v>
      </c>
      <c r="AH126" s="209">
        <f t="shared" si="15"/>
        <v>2.236821855019167E-3</v>
      </c>
      <c r="AI126" s="209">
        <f t="shared" si="16"/>
        <v>2.4299517055315642E-3</v>
      </c>
      <c r="AJ126" s="179">
        <f t="shared" si="17"/>
        <v>2.408317088452681E-3</v>
      </c>
    </row>
    <row r="127" spans="10:36" x14ac:dyDescent="0.2">
      <c r="J127" s="174"/>
      <c r="K127" s="174"/>
      <c r="AF127" s="208">
        <f>_xll.qlCalendarAdvance(Calendar,AF126,"1d","mf",,Trigger)</f>
        <v>42136</v>
      </c>
      <c r="AG127" s="219">
        <f>_xll.qlDayCounterYearFraction(DayCounterON,SettlementDate,AF127,,,Trigger)</f>
        <v>0.49863013698630138</v>
      </c>
      <c r="AH127" s="209">
        <f t="shared" si="15"/>
        <v>2.236821855019167E-3</v>
      </c>
      <c r="AI127" s="209">
        <f t="shared" si="16"/>
        <v>2.4320857370289384E-3</v>
      </c>
      <c r="AJ127" s="179">
        <f t="shared" si="17"/>
        <v>2.4092036143902231E-3</v>
      </c>
    </row>
    <row r="128" spans="10:36" x14ac:dyDescent="0.2">
      <c r="J128" s="174"/>
      <c r="K128" s="174"/>
      <c r="AF128" s="208">
        <f>_xll.qlCalendarAdvance(Calendar,AF127,"1d","mf",,Trigger)</f>
        <v>42137</v>
      </c>
      <c r="AG128" s="219">
        <f>_xll.qlDayCounterYearFraction(DayCounterON,SettlementDate,AF128,,,Trigger)</f>
        <v>0.50136986301369868</v>
      </c>
      <c r="AH128" s="209">
        <f t="shared" si="15"/>
        <v>2.236821855019167E-3</v>
      </c>
      <c r="AI128" s="209">
        <f t="shared" si="16"/>
        <v>2.4342197685263134E-3</v>
      </c>
      <c r="AJ128" s="179">
        <f t="shared" si="17"/>
        <v>2.4100735630836413E-3</v>
      </c>
    </row>
    <row r="129" spans="10:36" x14ac:dyDescent="0.2">
      <c r="J129" s="174"/>
      <c r="K129" s="174"/>
      <c r="AF129" s="208">
        <f>_xll.qlCalendarAdvance(Calendar,AF128,"1d","mf",,Trigger)</f>
        <v>42138</v>
      </c>
      <c r="AG129" s="219">
        <f>_xll.qlDayCounterYearFraction(DayCounterON,SettlementDate,AF129,,,Trigger)</f>
        <v>0.50410958904109593</v>
      </c>
      <c r="AH129" s="209">
        <f t="shared" si="15"/>
        <v>2.236821855019167E-3</v>
      </c>
      <c r="AI129" s="209">
        <f t="shared" si="16"/>
        <v>2.4363538000236875E-3</v>
      </c>
      <c r="AJ129" s="179">
        <f t="shared" si="17"/>
        <v>2.4109269345329366E-3</v>
      </c>
    </row>
    <row r="130" spans="10:36" x14ac:dyDescent="0.2">
      <c r="J130" s="174"/>
      <c r="K130" s="174"/>
      <c r="AF130" s="208">
        <f>_xll.qlCalendarAdvance(Calendar,AF129,"1d","mf",,Trigger)</f>
        <v>42139</v>
      </c>
      <c r="AG130" s="219">
        <f>_xll.qlDayCounterYearFraction(DayCounterON,SettlementDate,AF130,,,Trigger)</f>
        <v>0.50684931506849318</v>
      </c>
      <c r="AH130" s="209">
        <f t="shared" si="15"/>
        <v>2.236821855019167E-3</v>
      </c>
      <c r="AI130" s="209">
        <f t="shared" si="16"/>
        <v>2.4384878315210621E-3</v>
      </c>
      <c r="AJ130" s="179">
        <f t="shared" si="17"/>
        <v>2.4117637287381071E-3</v>
      </c>
    </row>
    <row r="131" spans="10:36" x14ac:dyDescent="0.2">
      <c r="J131" s="174"/>
      <c r="K131" s="174"/>
      <c r="AF131" s="208">
        <f>_xll.qlCalendarAdvance(Calendar,AF130,"1d","mf",,Trigger)</f>
        <v>42142</v>
      </c>
      <c r="AG131" s="219">
        <f>_xll.qlDayCounterYearFraction(DayCounterON,SettlementDate,AF131,,,Trigger)</f>
        <v>0.51506849315068493</v>
      </c>
      <c r="AH131" s="209">
        <f t="shared" si="15"/>
        <v>2.236821855019167E-3</v>
      </c>
      <c r="AI131" s="209">
        <f t="shared" si="16"/>
        <v>2.4448899260131858E-3</v>
      </c>
      <c r="AJ131" s="179">
        <f t="shared" si="17"/>
        <v>2.4141746478888787E-3</v>
      </c>
    </row>
    <row r="132" spans="10:36" ht="12" thickBot="1" x14ac:dyDescent="0.25">
      <c r="K132" s="174"/>
      <c r="AF132" s="210">
        <f>_xll.qlCalendarAdvance(Calendar,AF131,"1d","mf",,Trigger)</f>
        <v>42143</v>
      </c>
      <c r="AG132" s="221">
        <f>_xll.qlDayCounterYearFraction(DayCounterON,SettlementDate,AF132,,,Trigger)</f>
        <v>0.51780821917808217</v>
      </c>
      <c r="AH132" s="211">
        <f t="shared" si="15"/>
        <v>2.236821855019167E-3</v>
      </c>
      <c r="AI132" s="211">
        <f t="shared" si="16"/>
        <v>2.4470239575105604E-3</v>
      </c>
      <c r="AJ132" s="184">
        <f t="shared" si="17"/>
        <v>2.4149451331175547E-3</v>
      </c>
    </row>
    <row r="133" spans="10:36" x14ac:dyDescent="0.2">
      <c r="K133" s="174"/>
    </row>
    <row r="134" spans="10:36" x14ac:dyDescent="0.2">
      <c r="K134" s="174"/>
    </row>
    <row r="135" spans="10:36" x14ac:dyDescent="0.2">
      <c r="K135" s="174"/>
    </row>
    <row r="136" spans="10:36" x14ac:dyDescent="0.2">
      <c r="K136" s="174"/>
    </row>
    <row r="137" spans="10:36" x14ac:dyDescent="0.2">
      <c r="K137" s="174"/>
    </row>
  </sheetData>
  <mergeCells count="5">
    <mergeCell ref="R3:R5"/>
    <mergeCell ref="R9:R10"/>
    <mergeCell ref="X9:X10"/>
    <mergeCell ref="AA2:AC2"/>
    <mergeCell ref="V9:V10"/>
  </mergeCells>
  <conditionalFormatting sqref="M3">
    <cfRule type="expression" dxfId="38" priority="5">
      <formula>$P$3</formula>
    </cfRule>
  </conditionalFormatting>
  <conditionalFormatting sqref="M4">
    <cfRule type="expression" dxfId="37" priority="4">
      <formula>$P$4</formula>
    </cfRule>
  </conditionalFormatting>
  <conditionalFormatting sqref="M5">
    <cfRule type="expression" dxfId="36" priority="3">
      <formula>$P$5</formula>
    </cfRule>
  </conditionalFormatting>
  <conditionalFormatting sqref="M6">
    <cfRule type="expression" dxfId="35" priority="2">
      <formula>$P$6</formula>
    </cfRule>
  </conditionalFormatting>
  <conditionalFormatting sqref="M7">
    <cfRule type="expression" dxfId="34" priority="1">
      <formula>$P$7</formula>
    </cfRule>
  </conditionalFormatting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"FRA,FIX+FRA,INTERP+FRA"</formula1>
    </dataValidation>
    <dataValidation type="list" allowBlank="1" showInputMessage="1" showErrorMessage="1" sqref="D30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7"/>
  <sheetViews>
    <sheetView workbookViewId="0"/>
  </sheetViews>
  <sheetFormatPr defaultColWidth="9.5" defaultRowHeight="11.25" outlineLevelCol="1" x14ac:dyDescent="0.2"/>
  <cols>
    <col min="1" max="1" width="3.5" style="173" customWidth="1"/>
    <col min="2" max="2" width="2.33203125" style="173" bestFit="1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3.6640625" style="173" customWidth="1"/>
    <col min="23" max="23" width="10.83203125" style="173" customWidth="1"/>
    <col min="24" max="24" width="3.1640625" style="173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10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140</v>
      </c>
      <c r="H2" s="186"/>
      <c r="I2" s="186" t="s">
        <v>82</v>
      </c>
      <c r="J2" s="186" t="s">
        <v>37</v>
      </c>
      <c r="K2" s="200"/>
      <c r="L2" s="200"/>
      <c r="M2" s="187"/>
      <c r="N2" s="186" t="s">
        <v>136</v>
      </c>
      <c r="P2" s="186" t="s">
        <v>142</v>
      </c>
      <c r="W2" s="236" t="s">
        <v>118</v>
      </c>
      <c r="AA2" s="420" t="s">
        <v>117</v>
      </c>
      <c r="AB2" s="420"/>
      <c r="AC2" s="420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175" t="str">
        <f>$E$9&amp;"LastFixing"&amp;QuoteSuffix</f>
        <v>Euribor1YLastFixing_Quote</v>
      </c>
      <c r="E3" s="176">
        <f>_xll.qlCalendarAdvance(Calendar,_xll.qlLastFixingQuoteReferenceDate($D$3),_xll.qlInterestRateIndexFixingDays($E$9)&amp;"D","f",,LastFixingsTrigger)</f>
        <v>41953</v>
      </c>
      <c r="F3" s="176">
        <f>_xll.qlInterestRateIndexMaturity($E$9,E3)</f>
        <v>42318</v>
      </c>
      <c r="G3" s="175" t="str">
        <f>_xll.qlMakeDatedOIS(,E3,F3,OvernightIndex,0,,,,EvaluationDate)</f>
        <v>obj_00502#0004</v>
      </c>
      <c r="H3" s="176" t="b">
        <f>_xll.qlInstrumentSetPricingEngine(G3,OisEngine)</f>
        <v>1</v>
      </c>
      <c r="I3" s="177">
        <f>_xll.qlQuoteValue($D3,AllTriggers)</f>
        <v>3.3700000000000002E-3</v>
      </c>
      <c r="J3" s="178" t="e">
        <f>_xll.qlOvernightIndexedSwapFairRate(G3,_xll.ohTrigger(H3,InterestRatesTrigger))</f>
        <v>#NUM!</v>
      </c>
      <c r="K3" s="201">
        <f>I3*_xll.qlDayCounterYearFraction(DayCounter1M,E3,F3,,,Trigger)</f>
        <v>3.4168055555555557E-3</v>
      </c>
      <c r="L3" s="201" t="e">
        <f>J3*_xll.qlDayCounterYearFraction(DayCounterOIS,E3,F3,,,Trigger)</f>
        <v>#NUM!</v>
      </c>
      <c r="M3" s="212" t="e">
        <f>K3-L3</f>
        <v>#NUM!</v>
      </c>
      <c r="N3" s="212" t="e">
        <f>M3</f>
        <v>#NUM!</v>
      </c>
      <c r="P3" s="212" t="b">
        <f>IF(E14="FRA",FALSE,IF(E14="FIX+FRA",TRUE,FALSE))</f>
        <v>0</v>
      </c>
      <c r="R3" s="421" t="s">
        <v>111</v>
      </c>
      <c r="S3" s="192">
        <f t="array" ref="S3:S5">_xll.ohFilter(N10:N14,P10:P14)</f>
        <v>0.33333333333333331</v>
      </c>
      <c r="T3" s="193">
        <f t="array" ref="T3:T5">_xll.ohFilter(M10:M14,P10:P14)</f>
        <v>0.5</v>
      </c>
      <c r="U3" s="194">
        <f t="array" ref="U3:U5">_xll.ohFilter(L10:L14,P10:P14)</f>
        <v>1</v>
      </c>
      <c r="V3" s="188"/>
      <c r="W3" s="196">
        <f t="array" ref="W3:W5">MMULT(AA3:AC5,Y3:Y5)</f>
        <v>4.2409529012736591E-5</v>
      </c>
      <c r="X3" s="197"/>
      <c r="Y3" s="177">
        <f t="array" ref="Y3:Y5">_xll.ohFilter(N3:N7,P3:P7)</f>
        <v>3.7625345689554588E-3</v>
      </c>
      <c r="AA3" s="192">
        <f t="array" ref="AA3:AC5">MINVERSE(S3:U5)</f>
        <v>7.9486924656672819</v>
      </c>
      <c r="AB3" s="193">
        <v>-16.119415447135335</v>
      </c>
      <c r="AC3" s="194">
        <v>8.1483986017372683</v>
      </c>
      <c r="AF3" s="205">
        <f>SettlementDate</f>
        <v>41954</v>
      </c>
      <c r="AG3" s="217">
        <f>_xll.qlDayCounterYearFraction(DayCounterON,SettlementDate,AF3,,,Trigger)</f>
        <v>0</v>
      </c>
      <c r="AH3" s="206">
        <f t="shared" ref="AH3:AH66" si="0">$W$13</f>
        <v>3.7625345689554588E-3</v>
      </c>
      <c r="AI3" s="206">
        <f t="shared" ref="AI3:AI24" si="1">$W$10+$W$9*AG3</f>
        <v>3.5714419710537321E-3</v>
      </c>
      <c r="AJ3" s="207">
        <f t="shared" ref="AJ3:AJ24" si="2">($W$5+$W$4*AG3+$W$3*AG3^2)</f>
        <v>3.5838549884496997E-3</v>
      </c>
    </row>
    <row r="4" spans="1:36" x14ac:dyDescent="0.2">
      <c r="A4" s="173">
        <v>0</v>
      </c>
      <c r="B4" s="173" t="s">
        <v>40</v>
      </c>
      <c r="C4" s="173">
        <f>A4+12</f>
        <v>12</v>
      </c>
      <c r="D4" s="175" t="str">
        <f>Currency&amp;A4&amp;B4&amp;C4&amp;"F"&amp;QuoteSuffix</f>
        <v>EUR0x12F_Quote</v>
      </c>
      <c r="E4" s="176">
        <f>_xll.qlCalendarAdvance(Calendar,SettlementDate,A4&amp;"M","mf")</f>
        <v>41954</v>
      </c>
      <c r="F4" s="176">
        <f>_xll.qlInterestRateIndexMaturity($E$9,E4)</f>
        <v>42319</v>
      </c>
      <c r="G4" s="175" t="str">
        <f>_xll.qlMakeDatedOIS(,E4,F4,OvernightIndex,0,,,,EvaluationDate)</f>
        <v>obj_00583#0001</v>
      </c>
      <c r="H4" s="176" t="b">
        <f>_xll.qlInstrumentSetPricingEngine(G4,OisEngine)</f>
        <v>1</v>
      </c>
      <c r="I4" s="177">
        <f>SynthFra!H2</f>
        <v>3.2054144529906478E-3</v>
      </c>
      <c r="J4" s="178">
        <f>_xll.qlOvernightIndexedSwapFairRate(G4,_xll.ohTrigger(H4,InterestRatesTrigger))</f>
        <v>-5.0557854652706537E-4</v>
      </c>
      <c r="K4" s="201">
        <f>I4*_xll.qlDayCounterYearFraction(DayCounter1M,E4,F4,,,Trigger)</f>
        <v>3.2499340981710732E-3</v>
      </c>
      <c r="L4" s="201">
        <f>J4*_xll.qlDayCounterYearFraction(DayCounterOIS,E4,F4,,,Trigger)</f>
        <v>-5.1260047078438575E-4</v>
      </c>
      <c r="M4" s="212">
        <f>K4-L4</f>
        <v>3.7625345689554588E-3</v>
      </c>
      <c r="N4" s="212">
        <f>_xll.qlInterpolationInterpolate($H$13,E4,TRUE,Trigger)</f>
        <v>3.7625345689554588E-3</v>
      </c>
      <c r="P4" s="212" t="b">
        <f>IF(E14="FRA",TRUE,IF(E14="FIX+FRA",FALSE,TRUE))</f>
        <v>1</v>
      </c>
      <c r="R4" s="421"/>
      <c r="S4" s="192">
        <v>0.64891974729467705</v>
      </c>
      <c r="T4" s="193">
        <v>0.75205479452054802</v>
      </c>
      <c r="U4" s="194">
        <v>1</v>
      </c>
      <c r="V4" s="189" t="s">
        <v>40</v>
      </c>
      <c r="W4" s="196">
        <v>3.2908614166969608E-4</v>
      </c>
      <c r="X4" s="189" t="s">
        <v>41</v>
      </c>
      <c r="Y4" s="177">
        <v>3.8588661799524929E-3</v>
      </c>
      <c r="AA4" s="192">
        <v>-13.919589816155906</v>
      </c>
      <c r="AB4" s="193">
        <v>24.149782699802209</v>
      </c>
      <c r="AC4" s="194">
        <v>-10.202241536969677</v>
      </c>
      <c r="AF4" s="208">
        <f>_xll.qlCalendarAdvance(Calendar,AF3,"1d","mf",,Trigger)</f>
        <v>41955</v>
      </c>
      <c r="AG4" s="219">
        <f>_xll.qlDayCounterYearFraction(DayCounterON,SettlementDate,AF4,,,Trigger)</f>
        <v>2.7397260273972603E-3</v>
      </c>
      <c r="AH4" s="209">
        <f t="shared" si="0"/>
        <v>3.7625345689554588E-3</v>
      </c>
      <c r="AI4" s="209">
        <f t="shared" si="1"/>
        <v>3.5724890537819605E-3</v>
      </c>
      <c r="AJ4" s="179">
        <f t="shared" si="2"/>
        <v>3.5847569126473988E-3</v>
      </c>
    </row>
    <row r="5" spans="1:36" x14ac:dyDescent="0.2">
      <c r="A5" s="191">
        <v>3</v>
      </c>
      <c r="B5" s="191" t="s">
        <v>40</v>
      </c>
      <c r="C5" s="173">
        <f t="shared" ref="C5:C7" si="3">A5+12</f>
        <v>15</v>
      </c>
      <c r="D5" s="175" t="str">
        <f>Currency&amp;A5&amp;B5&amp;C5&amp;"F"&amp;QuoteSuffix</f>
        <v>EUR3x15F_Quote</v>
      </c>
      <c r="E5" s="176">
        <f>_xll.qlCalendarAdvance(Calendar,SettlementDate,A5&amp;"M","mf")</f>
        <v>42046</v>
      </c>
      <c r="F5" s="176">
        <f>_xll.qlInterestRateIndexMaturity($E$9,E5)</f>
        <v>42411</v>
      </c>
      <c r="G5" s="175" t="str">
        <f>_xll.qlMakeDatedOIS(,E5,F5,OvernightIndex,0,,,,EvaluationDate)</f>
        <v>obj_00587#0001</v>
      </c>
      <c r="H5" s="176" t="b">
        <f>_xll.qlInstrumentSetPricingEngine(G5,OisEngine)</f>
        <v>1</v>
      </c>
      <c r="I5" s="177">
        <f>SynthFra!H5</f>
        <v>3.2184490084508845E-3</v>
      </c>
      <c r="J5" s="178">
        <f>_xll.qlOvernightIndexedSwapFairRate(G5,_xll.ohTrigger(H5,InterestRatesTrigger))</f>
        <v>-5.8755599095431396E-4</v>
      </c>
      <c r="K5" s="201">
        <f>I5*_xll.qlDayCounterYearFraction(DayCounter1M,E5,F5,,,Trigger)</f>
        <v>3.2631496891238135E-3</v>
      </c>
      <c r="L5" s="201">
        <f>J5*_xll.qlDayCounterYearFraction(DayCounterOIS,E5,F5,,,Trigger)</f>
        <v>-5.9571649082867939E-4</v>
      </c>
      <c r="M5" s="212">
        <f>K5-L5</f>
        <v>3.8588661799524929E-3</v>
      </c>
      <c r="N5" s="212">
        <f>_xll.qlInterpolationInterpolate($H$13,E5,TRUE,Trigger)</f>
        <v>3.8588661799524929E-3</v>
      </c>
      <c r="P5" s="212" t="b">
        <v>1</v>
      </c>
      <c r="R5" s="421"/>
      <c r="S5" s="192">
        <v>1.0812729315171314</v>
      </c>
      <c r="T5" s="193">
        <v>0.99999249390129463</v>
      </c>
      <c r="U5" s="194">
        <v>1.0027397260273971</v>
      </c>
      <c r="V5" s="191"/>
      <c r="W5" s="196">
        <v>3.5838549884496997E-3</v>
      </c>
      <c r="X5" s="189"/>
      <c r="Y5" s="177">
        <v>3.968613716516467E-3</v>
      </c>
      <c r="AA5" s="192">
        <v>5.3102307528555261</v>
      </c>
      <c r="AB5" s="193">
        <v>-6.7017528675226616</v>
      </c>
      <c r="AC5" s="194">
        <v>2.3849879012390836</v>
      </c>
      <c r="AF5" s="208">
        <f>_xll.qlCalendarAdvance(Calendar,AF4,"1d","mf",,Trigger)</f>
        <v>41956</v>
      </c>
      <c r="AG5" s="219">
        <f>_xll.qlDayCounterYearFraction(DayCounterON,SettlementDate,AF5,,,Trigger)</f>
        <v>5.4794520547945206E-3</v>
      </c>
      <c r="AH5" s="209">
        <f t="shared" si="0"/>
        <v>3.7625345689554588E-3</v>
      </c>
      <c r="AI5" s="209">
        <f t="shared" si="1"/>
        <v>3.5735361365101894E-3</v>
      </c>
      <c r="AJ5" s="179">
        <f t="shared" si="2"/>
        <v>3.5856594735053197E-3</v>
      </c>
    </row>
    <row r="6" spans="1:36" x14ac:dyDescent="0.2">
      <c r="A6" s="191">
        <v>6</v>
      </c>
      <c r="B6" s="191" t="s">
        <v>40</v>
      </c>
      <c r="C6" s="173">
        <f t="shared" si="3"/>
        <v>18</v>
      </c>
      <c r="D6" s="175" t="str">
        <f>Currency&amp;A6&amp;B6&amp;C6&amp;"F"&amp;QuoteSuffix</f>
        <v>EUR6x18F_Quote</v>
      </c>
      <c r="E6" s="176">
        <f>_xll.qlCalendarAdvance(Calendar,SettlementDate,A6&amp;"M","mf")</f>
        <v>42135</v>
      </c>
      <c r="F6" s="176">
        <f>_xll.qlInterestRateIndexMaturity($E$9,E6)</f>
        <v>42501</v>
      </c>
      <c r="G6" s="175" t="str">
        <f>_xll.qlMakeDatedOIS(,E6,F6,OvernightIndex,0,,,,EvaluationDate)</f>
        <v>obj_00588#0001</v>
      </c>
      <c r="H6" s="176" t="b">
        <f>_xll.qlInstrumentSetPricingEngine(G6,OisEngine)</f>
        <v>1</v>
      </c>
      <c r="I6" s="177">
        <f>SynthFra!H8</f>
        <v>3.2670811307397808E-3</v>
      </c>
      <c r="J6" s="178">
        <f>_xll.qlOvernightIndexedSwapFairRate(G6,_xll.ohTrigger(H6,InterestRatesTrigger))</f>
        <v>-6.3647334452231858E-4</v>
      </c>
      <c r="K6" s="201">
        <f>I6*_xll.qlDayCounterYearFraction(DayCounter1M,E6,F6,,,Trigger)</f>
        <v>3.3215324829187769E-3</v>
      </c>
      <c r="L6" s="201">
        <f>J6*_xll.qlDayCounterYearFraction(DayCounterOIS,E6,F6,,,Trigger)</f>
        <v>-6.4708123359769054E-4</v>
      </c>
      <c r="M6" s="212">
        <f>K6-L6</f>
        <v>3.968613716516467E-3</v>
      </c>
      <c r="N6" s="212">
        <f>_xll.qlInterpolationInterpolate($H$13,E6,TRUE,Trigger)</f>
        <v>3.968613716516467E-3</v>
      </c>
      <c r="P6" s="212" t="b">
        <v>1</v>
      </c>
      <c r="W6" s="198"/>
      <c r="X6" s="237"/>
      <c r="Y6" s="199"/>
      <c r="AF6" s="208">
        <f>_xll.qlCalendarAdvance(Calendar,AF5,"1d","mf",,Trigger)</f>
        <v>41957</v>
      </c>
      <c r="AG6" s="219">
        <f>_xll.qlDayCounterYearFraction(DayCounterON,SettlementDate,AF6,,,Trigger)</f>
        <v>8.21917808219178E-3</v>
      </c>
      <c r="AH6" s="209">
        <f t="shared" si="0"/>
        <v>3.7625345689554588E-3</v>
      </c>
      <c r="AI6" s="209">
        <f t="shared" si="1"/>
        <v>3.5745832192384179E-3</v>
      </c>
      <c r="AJ6" s="179">
        <f t="shared" si="2"/>
        <v>3.5865626710234618E-3</v>
      </c>
    </row>
    <row r="7" spans="1:36" ht="12" thickBot="1" x14ac:dyDescent="0.25">
      <c r="A7" s="191">
        <v>12</v>
      </c>
      <c r="B7" s="191" t="s">
        <v>40</v>
      </c>
      <c r="C7" s="173">
        <f t="shared" si="3"/>
        <v>24</v>
      </c>
      <c r="D7" s="180" t="str">
        <f>Currency&amp;A7&amp;B7&amp;C7&amp;"F"&amp;QuoteSuffix</f>
        <v>EUR12x24F_Quote</v>
      </c>
      <c r="E7" s="181">
        <f>_xll.qlCalendarAdvance(Calendar,SettlementDate,A7&amp;"M","mf")</f>
        <v>42319</v>
      </c>
      <c r="F7" s="181">
        <f>_xll.qlInterestRateIndexMaturity($E$9,E7)</f>
        <v>42685</v>
      </c>
      <c r="G7" s="180" t="str">
        <f>_xll.qlMakeDatedOIS(,E7,F7,OvernightIndex,0,,,,EvaluationDate)</f>
        <v>obj_00572#0001</v>
      </c>
      <c r="H7" s="181" t="b">
        <f>_xll.qlInstrumentSetPricingEngine(G7,OisEngine)</f>
        <v>1</v>
      </c>
      <c r="I7" s="182">
        <f>SynthFra!H14</f>
        <v>3.6804656625616474E-3</v>
      </c>
      <c r="J7" s="183">
        <f>_xll.qlOvernightIndexedSwapFairRate(G7,_xll.ohTrigger(H7,InterestRatesTrigger))</f>
        <v>-4.3453433743835247E-4</v>
      </c>
      <c r="K7" s="202">
        <f>I7*_xll.qlDayCounterYearFraction(DayCounter1M,E7,F7,,,Trigger)</f>
        <v>3.7418067569376747E-3</v>
      </c>
      <c r="L7" s="202">
        <f>J7*_xll.qlDayCounterYearFraction(DayCounterOIS,E7,F7,,,Trigger)</f>
        <v>-4.4177657639565831E-4</v>
      </c>
      <c r="M7" s="213">
        <f>K7-L7</f>
        <v>4.1835833333333334E-3</v>
      </c>
      <c r="N7" s="213">
        <f>_xll.qlInterpolationInterpolate($H$13,E7,TRUE,Trigger)</f>
        <v>4.1835833333333334E-3</v>
      </c>
      <c r="P7" s="213" t="b">
        <v>0</v>
      </c>
      <c r="W7" s="198"/>
      <c r="X7" s="237"/>
      <c r="Y7" s="199"/>
      <c r="AF7" s="208">
        <f>_xll.qlCalendarAdvance(Calendar,AF6,"1d","mf",,Trigger)</f>
        <v>41960</v>
      </c>
      <c r="AG7" s="219">
        <f>_xll.qlDayCounterYearFraction(DayCounterON,SettlementDate,AF7,,,Trigger)</f>
        <v>1.643835616438356E-2</v>
      </c>
      <c r="AH7" s="209">
        <f t="shared" si="0"/>
        <v>3.7625345689554588E-3</v>
      </c>
      <c r="AI7" s="209">
        <f t="shared" si="1"/>
        <v>3.5777244674231037E-3</v>
      </c>
      <c r="AJ7" s="179">
        <f t="shared" si="2"/>
        <v>3.5892760835392183E-3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41961</v>
      </c>
      <c r="AG8" s="219">
        <f>_xll.qlDayCounterYearFraction(DayCounterON,SettlementDate,AF8,,,Trigger)</f>
        <v>1.9178082191780823E-2</v>
      </c>
      <c r="AH8" s="209">
        <f t="shared" si="0"/>
        <v>3.7625345689554588E-3</v>
      </c>
      <c r="AI8" s="209">
        <f t="shared" si="1"/>
        <v>3.5787715501513326E-3</v>
      </c>
      <c r="AJ8" s="179">
        <f t="shared" si="2"/>
        <v>3.5901818276982468E-3</v>
      </c>
    </row>
    <row r="9" spans="1:36" x14ac:dyDescent="0.2">
      <c r="D9" s="185" t="s">
        <v>137</v>
      </c>
      <c r="E9" s="230" t="s">
        <v>175</v>
      </c>
      <c r="J9" s="185"/>
      <c r="K9" s="186"/>
      <c r="L9" s="186" t="s">
        <v>120</v>
      </c>
      <c r="M9" s="200" t="s">
        <v>121</v>
      </c>
      <c r="N9" s="187" t="s">
        <v>122</v>
      </c>
      <c r="P9" s="187" t="s">
        <v>142</v>
      </c>
      <c r="R9" s="420" t="s">
        <v>112</v>
      </c>
      <c r="S9" s="239"/>
      <c r="T9" s="192">
        <f t="array" ref="T9:T10">_xll.ohFilter(M10:M14,P10:P14)</f>
        <v>0.5</v>
      </c>
      <c r="U9" s="194">
        <f t="array" ref="U9:U10">_xll.ohFilter(L10:L14,P10:P14)</f>
        <v>1</v>
      </c>
      <c r="V9" s="422" t="s">
        <v>40</v>
      </c>
      <c r="W9" s="196">
        <f t="array" ref="W9:W10">MMULT(AA9:AB10,Y9:Y10)</f>
        <v>3.8218519580345001E-4</v>
      </c>
      <c r="X9" s="422" t="s">
        <v>41</v>
      </c>
      <c r="Y9" s="177">
        <f t="array" ref="Y9:Y10">_xll.ohFilter(N3:N7,P3:P7)</f>
        <v>3.7625345689554588E-3</v>
      </c>
      <c r="AA9" s="192">
        <f t="array" ref="AA9:AB10">MINVERSE(T9:U10)</f>
        <v>-3.9673913043478244</v>
      </c>
      <c r="AB9" s="194">
        <v>3.9673913043478244</v>
      </c>
      <c r="AF9" s="208">
        <f>_xll.qlCalendarAdvance(Calendar,AF8,"1d","mf",,Trigger)</f>
        <v>41962</v>
      </c>
      <c r="AG9" s="219">
        <f>_xll.qlDayCounterYearFraction(DayCounterON,SettlementDate,AF9,,,Trigger)</f>
        <v>2.1917808219178082E-2</v>
      </c>
      <c r="AH9" s="209">
        <f t="shared" si="0"/>
        <v>3.7625345689554588E-3</v>
      </c>
      <c r="AI9" s="209">
        <f t="shared" si="1"/>
        <v>3.5798186328795611E-3</v>
      </c>
      <c r="AJ9" s="179">
        <f t="shared" si="2"/>
        <v>3.5910882085174976E-3</v>
      </c>
    </row>
    <row r="10" spans="1:36" ht="11.25" customHeight="1" x14ac:dyDescent="0.2">
      <c r="D10" s="203" t="s">
        <v>157</v>
      </c>
      <c r="E10" s="231" t="s">
        <v>16</v>
      </c>
      <c r="J10" s="240">
        <f>_xll.qlDayCounterYearFraction(DayCounterON,SettlementDate,E3,,,Trigger)</f>
        <v>-2.7397260273972603E-3</v>
      </c>
      <c r="K10" s="241">
        <f>_xll.qlDayCounterYearFraction(DayCounterON,SettlementDate,F3,,,Trigger)</f>
        <v>0.99726027397260275</v>
      </c>
      <c r="L10" s="241">
        <f>K10-J10</f>
        <v>1</v>
      </c>
      <c r="M10" s="241">
        <f>(K10^2-J10^2)/2</f>
        <v>0.49726027397260275</v>
      </c>
      <c r="N10" s="242">
        <f>(K10^3-J10^3)/3</f>
        <v>0.33060111340464127</v>
      </c>
      <c r="P10" s="242" t="b">
        <f>P3</f>
        <v>0</v>
      </c>
      <c r="R10" s="420"/>
      <c r="S10" s="239"/>
      <c r="T10" s="192">
        <v>0.75205479452054802</v>
      </c>
      <c r="U10" s="194">
        <v>1</v>
      </c>
      <c r="V10" s="422"/>
      <c r="W10" s="196">
        <v>3.5714419710537321E-3</v>
      </c>
      <c r="X10" s="422"/>
      <c r="Y10" s="177">
        <v>3.8588661799524929E-3</v>
      </c>
      <c r="AA10" s="192">
        <v>2.9836956521739122</v>
      </c>
      <c r="AB10" s="194">
        <v>-1.9836956521739124</v>
      </c>
      <c r="AF10" s="208">
        <f>_xll.qlCalendarAdvance(Calendar,AF9,"1d","mf",,Trigger)</f>
        <v>41963</v>
      </c>
      <c r="AG10" s="219">
        <f>_xll.qlDayCounterYearFraction(DayCounterON,SettlementDate,AF10,,,Trigger)</f>
        <v>2.4657534246575342E-2</v>
      </c>
      <c r="AH10" s="209">
        <f t="shared" si="0"/>
        <v>3.7625345689554588E-3</v>
      </c>
      <c r="AI10" s="209">
        <f t="shared" si="1"/>
        <v>3.58086571560779E-3</v>
      </c>
      <c r="AJ10" s="179">
        <f t="shared" si="2"/>
        <v>3.5919952259969691E-3</v>
      </c>
    </row>
    <row r="11" spans="1:36" ht="11.25" customHeight="1" x14ac:dyDescent="0.2">
      <c r="D11" s="203" t="s">
        <v>114</v>
      </c>
      <c r="E11" s="231" t="s">
        <v>16</v>
      </c>
      <c r="J11" s="240">
        <f>_xll.qlDayCounterYearFraction(DayCounterON,SettlementDate,E4,,,Trigger)</f>
        <v>0</v>
      </c>
      <c r="K11" s="241">
        <f>_xll.qlDayCounterYearFraction(DayCounterON,SettlementDate,F4,,,Trigger)</f>
        <v>1</v>
      </c>
      <c r="L11" s="241">
        <f>K11-J11</f>
        <v>1</v>
      </c>
      <c r="M11" s="241">
        <f>(K11^2-J11^2)/2</f>
        <v>0.5</v>
      </c>
      <c r="N11" s="242">
        <f>(K11^3-J11^3)/3</f>
        <v>0.33333333333333331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41964</v>
      </c>
      <c r="AG11" s="219">
        <f>_xll.qlDayCounterYearFraction(DayCounterON,SettlementDate,AF11,,,Trigger)</f>
        <v>2.7397260273972601E-2</v>
      </c>
      <c r="AH11" s="209">
        <f t="shared" si="0"/>
        <v>3.7625345689554588E-3</v>
      </c>
      <c r="AI11" s="209">
        <f t="shared" si="1"/>
        <v>3.5819127983360184E-3</v>
      </c>
      <c r="AJ11" s="179">
        <f t="shared" si="2"/>
        <v>3.5929028801366626E-3</v>
      </c>
    </row>
    <row r="12" spans="1:36" ht="11.25" customHeight="1" thickBot="1" x14ac:dyDescent="0.25">
      <c r="D12" s="203" t="s">
        <v>115</v>
      </c>
      <c r="E12" s="231" t="s">
        <v>116</v>
      </c>
      <c r="J12" s="240">
        <f>_xll.qlDayCounterYearFraction(DayCounterON,SettlementDate,E5,,,Trigger)</f>
        <v>0.25205479452054796</v>
      </c>
      <c r="K12" s="241">
        <f>_xll.qlDayCounterYearFraction(DayCounterON,SettlementDate,F5,,,Trigger)</f>
        <v>1.252054794520548</v>
      </c>
      <c r="L12" s="241">
        <f>K12-J12</f>
        <v>1</v>
      </c>
      <c r="M12" s="241">
        <f>(K12^2-J12^2)/2</f>
        <v>0.75205479452054802</v>
      </c>
      <c r="N12" s="242">
        <f>(K12^3-J12^3)/3</f>
        <v>0.64891974729467705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41967</v>
      </c>
      <c r="AG12" s="219">
        <f>_xll.qlDayCounterYearFraction(DayCounterON,SettlementDate,AF12,,,Trigger)</f>
        <v>3.5616438356164383E-2</v>
      </c>
      <c r="AH12" s="209">
        <f t="shared" si="0"/>
        <v>3.7625345689554588E-3</v>
      </c>
      <c r="AI12" s="209">
        <f t="shared" si="1"/>
        <v>3.5850540465207042E-3</v>
      </c>
      <c r="AJ12" s="179">
        <f t="shared" si="2"/>
        <v>3.5956296625170732E-3</v>
      </c>
    </row>
    <row r="13" spans="1:36" ht="11.25" customHeight="1" thickBot="1" x14ac:dyDescent="0.25">
      <c r="D13" s="203" t="s">
        <v>144</v>
      </c>
      <c r="E13" s="231" t="s">
        <v>143</v>
      </c>
      <c r="G13" s="250" t="s">
        <v>141</v>
      </c>
      <c r="H13" s="235" t="str">
        <f>_xll.qlInterpolation(,E13,E4:E7,M4:M7)</f>
        <v>obj_005fa#0097</v>
      </c>
      <c r="J13" s="240">
        <f>_xll.qlDayCounterYearFraction(DayCounterON,SettlementDate,E6,,,Trigger)</f>
        <v>0.49589041095890413</v>
      </c>
      <c r="K13" s="241">
        <f>_xll.qlDayCounterYearFraction(DayCounterON,SettlementDate,F6,,,Trigger)</f>
        <v>1.4986301369863013</v>
      </c>
      <c r="L13" s="241">
        <f>K13-J13</f>
        <v>1.0027397260273971</v>
      </c>
      <c r="M13" s="241">
        <f>(K13^2-J13^2)/2</f>
        <v>0.99999249390129463</v>
      </c>
      <c r="N13" s="242">
        <f>(K13^3-J13^3)/3</f>
        <v>1.0812729315171314</v>
      </c>
      <c r="P13" s="242" t="b">
        <f>P6</f>
        <v>1</v>
      </c>
      <c r="R13" s="327" t="s">
        <v>113</v>
      </c>
      <c r="U13" s="195">
        <f t="array" ref="U13">_xll.ohFilter(L10:L14,P10:P14)</f>
        <v>1</v>
      </c>
      <c r="V13" s="327" t="s">
        <v>40</v>
      </c>
      <c r="W13" s="196">
        <f>MMULT(AA13,Y13)</f>
        <v>3.7625345689554588E-3</v>
      </c>
      <c r="X13" s="327" t="s">
        <v>41</v>
      </c>
      <c r="Y13" s="177">
        <f>_xll.ohFilter(N3:N7,P3:P7)</f>
        <v>3.7625345689554588E-3</v>
      </c>
      <c r="AA13" s="195">
        <f>MINVERSE(U13)</f>
        <v>1</v>
      </c>
      <c r="AF13" s="208">
        <f>_xll.qlCalendarAdvance(Calendar,AF12,"1d","mf",,Trigger)</f>
        <v>41968</v>
      </c>
      <c r="AG13" s="219">
        <f>_xll.qlDayCounterYearFraction(DayCounterON,SettlementDate,AF13,,,Trigger)</f>
        <v>3.8356164383561646E-2</v>
      </c>
      <c r="AH13" s="209">
        <f t="shared" si="0"/>
        <v>3.7625345689554588E-3</v>
      </c>
      <c r="AI13" s="209">
        <f t="shared" si="1"/>
        <v>3.5861011292489327E-3</v>
      </c>
      <c r="AJ13" s="179">
        <f t="shared" si="2"/>
        <v>3.5965398632976531E-3</v>
      </c>
    </row>
    <row r="14" spans="1:36" ht="11.25" customHeight="1" thickBot="1" x14ac:dyDescent="0.25">
      <c r="D14" s="204" t="s">
        <v>148</v>
      </c>
      <c r="E14" s="252" t="s">
        <v>96</v>
      </c>
      <c r="J14" s="243">
        <f>_xll.qlDayCounterYearFraction(DayCounterON,SettlementDate,E7,,,Trigger)</f>
        <v>1</v>
      </c>
      <c r="K14" s="244">
        <f>_xll.qlDayCounterYearFraction(DayCounterON,SettlementDate,F7,,,Trigger)</f>
        <v>2.0027397260273974</v>
      </c>
      <c r="L14" s="244">
        <f>K14-J14</f>
        <v>1.0027397260273974</v>
      </c>
      <c r="M14" s="244">
        <f>(K14^2-J14^2)/2</f>
        <v>1.5054832051041473</v>
      </c>
      <c r="N14" s="245">
        <f>(K14^3-J14^3)/3</f>
        <v>2.3443072564952181</v>
      </c>
      <c r="P14" s="245" t="b">
        <f>P7</f>
        <v>0</v>
      </c>
      <c r="AF14" s="208">
        <f>_xll.qlCalendarAdvance(Calendar,AF13,"1d","mf",,Trigger)</f>
        <v>41969</v>
      </c>
      <c r="AG14" s="219">
        <f>_xll.qlDayCounterYearFraction(DayCounterON,SettlementDate,AF14,,,Trigger)</f>
        <v>4.1095890410958902E-2</v>
      </c>
      <c r="AH14" s="209">
        <f t="shared" si="0"/>
        <v>3.7625345689554588E-3</v>
      </c>
      <c r="AI14" s="209">
        <f t="shared" si="1"/>
        <v>3.5871482119771616E-3</v>
      </c>
      <c r="AJ14" s="179">
        <f t="shared" si="2"/>
        <v>3.5974507007384554E-3</v>
      </c>
    </row>
    <row r="15" spans="1:36" ht="11.25" customHeight="1" thickBot="1" x14ac:dyDescent="0.25">
      <c r="P15" s="190"/>
      <c r="AF15" s="208">
        <f>_xll.qlCalendarAdvance(Calendar,AF14,"1d","mf",,Trigger)</f>
        <v>41970</v>
      </c>
      <c r="AG15" s="219">
        <f>_xll.qlDayCounterYearFraction(DayCounterON,SettlementDate,AF15,,,Trigger)</f>
        <v>4.3835616438356165E-2</v>
      </c>
      <c r="AH15" s="209">
        <f t="shared" si="0"/>
        <v>3.7625345689554588E-3</v>
      </c>
      <c r="AI15" s="209">
        <f t="shared" si="1"/>
        <v>3.5881952947053901E-3</v>
      </c>
      <c r="AJ15" s="179">
        <f t="shared" si="2"/>
        <v>3.5983621748394783E-3</v>
      </c>
    </row>
    <row r="16" spans="1:36" ht="11.25" customHeight="1" thickBot="1" x14ac:dyDescent="0.25">
      <c r="M16" s="246" t="s">
        <v>190</v>
      </c>
      <c r="N16" s="247"/>
      <c r="O16" s="248"/>
      <c r="P16" s="190"/>
      <c r="AF16" s="208">
        <f>_xll.qlCalendarAdvance(Calendar,AF15,"1d","mf",,Trigger)</f>
        <v>41971</v>
      </c>
      <c r="AG16" s="219">
        <f>_xll.qlDayCounterYearFraction(DayCounterON,SettlementDate,AF16,,,Trigger)</f>
        <v>4.6575342465753428E-2</v>
      </c>
      <c r="AH16" s="209">
        <f t="shared" si="0"/>
        <v>3.7625345689554588E-3</v>
      </c>
      <c r="AI16" s="209">
        <f t="shared" si="1"/>
        <v>3.5892423774336189E-3</v>
      </c>
      <c r="AJ16" s="179">
        <f t="shared" si="2"/>
        <v>3.5992742856007232E-3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145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176</v>
      </c>
      <c r="P17" s="190"/>
      <c r="AF17" s="208">
        <f>_xll.qlCalendarAdvance(Calendar,AF16,"1d","mf",,Trigger)</f>
        <v>41974</v>
      </c>
      <c r="AG17" s="219">
        <f>_xll.qlDayCounterYearFraction(DayCounterON,SettlementDate,AF17,,,Trigger)</f>
        <v>5.4794520547945202E-2</v>
      </c>
      <c r="AH17" s="209">
        <f t="shared" si="0"/>
        <v>3.7625345689554588E-3</v>
      </c>
      <c r="AI17" s="209">
        <f t="shared" si="1"/>
        <v>3.5923836256183048E-3</v>
      </c>
      <c r="AJ17" s="179">
        <f t="shared" si="2"/>
        <v>3.602014437845788E-3</v>
      </c>
    </row>
    <row r="18" spans="4:36" ht="11.25" customHeight="1" x14ac:dyDescent="0.2">
      <c r="D18" s="224" t="s">
        <v>46</v>
      </c>
      <c r="E18" s="215">
        <f t="shared" ref="E18:E33" si="4">SettlementDate</f>
        <v>41954</v>
      </c>
      <c r="F18" s="216">
        <f>_xll.qlCalendarAdvance(Calendar,SettlementDate,D18,"Following",,Trigger)</f>
        <v>41955</v>
      </c>
      <c r="G18" s="217" t="str">
        <f>_xll.qlMakeDatedOIS(,E18,F18,OvernightIndex,0,,,,EvaluationDate)</f>
        <v>obj_00565#0001</v>
      </c>
      <c r="H18" s="226" t="b">
        <f>_xll.qlInstrumentSetPricingEngine(G18,OisEngine)</f>
        <v>1</v>
      </c>
      <c r="I18" s="214">
        <f>_xll.qlOvernightIndexedSwapFairRate(G18,_xll.ohTrigger(InterestRatesTrigger))</f>
        <v>-2.8310668753306345E-4</v>
      </c>
      <c r="J18" s="241">
        <f>_xll.qlDayCounterYearFraction(DayCounterOIS,E18,F18,,,Trigger)</f>
        <v>2.7777777777777779E-3</v>
      </c>
      <c r="K18" s="241">
        <f>_xll.qlDayCounterYearFraction(DayCounter1M,E18,F18,,,Trigger)</f>
        <v>2.7777777777777779E-3</v>
      </c>
      <c r="L18" s="241">
        <f>_xll.qlDayCounterYearFraction(DayCounterON,E18,F18,,,Trigger)</f>
        <v>2.7397260273972603E-3</v>
      </c>
      <c r="M18" s="209">
        <f>($I18*$J18+$W$13*L18)/$K18</f>
        <v>3.4278863119846493E-3</v>
      </c>
      <c r="N18" s="209">
        <f>($I18*$J18+($W$10*L18+$W$9*L18^2/2))/$K18</f>
        <v>3.2399277904680999E-3</v>
      </c>
      <c r="O18" s="209">
        <f>($I18*$J18+($W$5*L18+$W$4*L18^2/2+$W$3*L18^3/3))/$K18</f>
        <v>3.2520991291728842E-3</v>
      </c>
      <c r="P18" s="190"/>
      <c r="AF18" s="208">
        <f>_xll.qlCalendarAdvance(Calendar,AF17,"1d","mf",,Trigger)</f>
        <v>41975</v>
      </c>
      <c r="AG18" s="219">
        <f>_xll.qlDayCounterYearFraction(DayCounterON,SettlementDate,AF18,,,Trigger)</f>
        <v>5.7534246575342465E-2</v>
      </c>
      <c r="AH18" s="209">
        <f t="shared" si="0"/>
        <v>3.7625345689554588E-3</v>
      </c>
      <c r="AI18" s="209">
        <f t="shared" si="1"/>
        <v>3.5934307083465332E-3</v>
      </c>
      <c r="AJ18" s="179">
        <f t="shared" si="2"/>
        <v>3.6029290952479197E-3</v>
      </c>
    </row>
    <row r="19" spans="4:36" ht="11.25" customHeight="1" x14ac:dyDescent="0.2">
      <c r="D19" s="222" t="s">
        <v>47</v>
      </c>
      <c r="E19" s="176">
        <f>SettlementDate</f>
        <v>41954</v>
      </c>
      <c r="F19" s="218">
        <f>_xll.qlCalendarAdvance(Calendar,SettlementDate,D19,"Following",,Trigger)</f>
        <v>41961</v>
      </c>
      <c r="G19" s="219" t="str">
        <f>_xll.qlMakeDatedOIS(,E19,F19,OvernightIndex,0,,,,EvaluationDate)</f>
        <v>obj_0057a#0001</v>
      </c>
      <c r="H19" s="227" t="b">
        <f>_xll.qlInstrumentSetPricingEngine(G19,OisEngine)</f>
        <v>1</v>
      </c>
      <c r="I19" s="178">
        <f>_xll.qlOvernightIndexedSwapFairRate(G19,_xll.ohTrigger(InterestRatesTrigger))</f>
        <v>-2.8999999997963196E-4</v>
      </c>
      <c r="J19" s="241">
        <f>_xll.qlDayCounterYearFraction(DayCounterOIS,E19,F19,,,Trigger)</f>
        <v>1.9444444444444445E-2</v>
      </c>
      <c r="K19" s="241">
        <f>_xll.qlDayCounterYearFraction(DayCounter1M,E19,F19,,,Trigger)</f>
        <v>1.9444444444444445E-2</v>
      </c>
      <c r="L19" s="241">
        <f>_xll.qlDayCounterYearFraction(DayCounterON,E19,F19,,,Trigger)</f>
        <v>1.9178082191780823E-2</v>
      </c>
      <c r="M19" s="209">
        <f>($I19*$J19+$W$13*L19)/$K19</f>
        <v>3.4209929995380815E-3</v>
      </c>
      <c r="N19" s="209">
        <f t="shared" ref="N19:N22" si="5">($I19*$J19+($W$10*L19+$W$9*L19^2/2))/$K19</f>
        <v>3.236132695409167E-3</v>
      </c>
      <c r="O19" s="209">
        <f t="shared" ref="O19:O22" si="6">($I19*$J19+($W$5*L19+$W$4*L19^2/2+$W$3*L19^3/3))/$K19</f>
        <v>3.2478786055439423E-3</v>
      </c>
      <c r="P19" s="190"/>
      <c r="AF19" s="208">
        <f>_xll.qlCalendarAdvance(Calendar,AF18,"1d","mf",,Trigger)</f>
        <v>41976</v>
      </c>
      <c r="AG19" s="219">
        <f>_xll.qlDayCounterYearFraction(DayCounterON,SettlementDate,AF19,,,Trigger)</f>
        <v>6.0273972602739728E-2</v>
      </c>
      <c r="AH19" s="209">
        <f t="shared" si="0"/>
        <v>3.7625345689554588E-3</v>
      </c>
      <c r="AI19" s="209">
        <f t="shared" si="1"/>
        <v>3.5944777910747621E-3</v>
      </c>
      <c r="AJ19" s="179">
        <f t="shared" si="2"/>
        <v>3.6038443893102725E-3</v>
      </c>
    </row>
    <row r="20" spans="4:36" ht="11.25" customHeight="1" x14ac:dyDescent="0.2">
      <c r="D20" s="222" t="s">
        <v>48</v>
      </c>
      <c r="E20" s="176">
        <f t="shared" si="4"/>
        <v>41954</v>
      </c>
      <c r="F20" s="218">
        <f>_xll.qlCalendarAdvance(Calendar,SettlementDate,D20,"Following",,Trigger)</f>
        <v>41968</v>
      </c>
      <c r="G20" s="219" t="str">
        <f>_xll.qlMakeDatedOIS(,E20,F20,OvernightIndex,0,,,,EvaluationDate)</f>
        <v>obj_00581#0001</v>
      </c>
      <c r="H20" s="227" t="b">
        <f>_xll.qlInstrumentSetPricingEngine(G20,OisEngine)</f>
        <v>1</v>
      </c>
      <c r="I20" s="178">
        <f>_xll.qlOvernightIndexedSwapFairRate(G20,_xll.ohTrigger(InterestRatesTrigger))</f>
        <v>-3.0733469311198082E-4</v>
      </c>
      <c r="J20" s="241">
        <f>_xll.qlDayCounterYearFraction(DayCounterOIS,E20,F20,,,Trigger)</f>
        <v>3.888888888888889E-2</v>
      </c>
      <c r="K20" s="241">
        <f>_xll.qlDayCounterYearFraction(DayCounter1M,E20,F20,,,Trigger)</f>
        <v>3.888888888888889E-2</v>
      </c>
      <c r="L20" s="241">
        <f>_xll.qlDayCounterYearFraction(DayCounterON,E20,F20,,,Trigger)</f>
        <v>3.8356164383561646E-2</v>
      </c>
      <c r="M20" s="209">
        <f t="shared" ref="M20:M22" si="7">($I20*$J20+$W$13*L20)/$K20</f>
        <v>3.4036583064057323E-3</v>
      </c>
      <c r="N20" s="209">
        <f t="shared" si="5"/>
        <v>3.2224125892290592E-3</v>
      </c>
      <c r="O20" s="209">
        <f t="shared" si="6"/>
        <v>3.2336716897713629E-3</v>
      </c>
      <c r="P20" s="190"/>
      <c r="AF20" s="208">
        <f>_xll.qlCalendarAdvance(Calendar,AF19,"1d","mf",,Trigger)</f>
        <v>41977</v>
      </c>
      <c r="AG20" s="219">
        <f>_xll.qlDayCounterYearFraction(DayCounterON,SettlementDate,AF20,,,Trigger)</f>
        <v>6.3013698630136991E-2</v>
      </c>
      <c r="AH20" s="209">
        <f t="shared" si="0"/>
        <v>3.7625345689554588E-3</v>
      </c>
      <c r="AI20" s="209">
        <f t="shared" si="1"/>
        <v>3.5955248738029906E-3</v>
      </c>
      <c r="AJ20" s="179">
        <f t="shared" si="2"/>
        <v>3.6047603200328473E-3</v>
      </c>
    </row>
    <row r="21" spans="4:36" ht="11.25" customHeight="1" x14ac:dyDescent="0.2">
      <c r="D21" s="222" t="s">
        <v>49</v>
      </c>
      <c r="E21" s="176">
        <f t="shared" si="4"/>
        <v>41954</v>
      </c>
      <c r="F21" s="218">
        <f>_xll.qlCalendarAdvance(Calendar,SettlementDate,D21,"Following",,Trigger)</f>
        <v>41975</v>
      </c>
      <c r="G21" s="219" t="str">
        <f>_xll.qlMakeDatedOIS(,E21,F21,OvernightIndex,0,,,,EvaluationDate)</f>
        <v>obj_00579#0001</v>
      </c>
      <c r="H21" s="227" t="b">
        <f>_xll.qlInstrumentSetPricingEngine(G21,OisEngine)</f>
        <v>1</v>
      </c>
      <c r="I21" s="178">
        <f>_xll.qlOvernightIndexedSwapFairRate(G21,_xll.ohTrigger(InterestRatesTrigger))</f>
        <v>6.4178602051815195E-6</v>
      </c>
      <c r="J21" s="241">
        <f>_xll.qlDayCounterYearFraction(DayCounterOIS,E21,F21,,,Trigger)</f>
        <v>5.8333333333333334E-2</v>
      </c>
      <c r="K21" s="241">
        <f>_xll.qlDayCounterYearFraction(DayCounter1M,E21,F21,,,Trigger)</f>
        <v>5.8333333333333334E-2</v>
      </c>
      <c r="L21" s="241">
        <f>_xll.qlDayCounterYearFraction(DayCounterON,E21,F21,,,Trigger)</f>
        <v>5.7534246575342465E-2</v>
      </c>
      <c r="M21" s="209">
        <f t="shared" si="7"/>
        <v>3.7174108597228944E-3</v>
      </c>
      <c r="N21" s="209">
        <f t="shared" si="5"/>
        <v>3.5397797294984632E-3</v>
      </c>
      <c r="O21" s="209">
        <f t="shared" si="6"/>
        <v>3.5505622767828234E-3</v>
      </c>
      <c r="P21" s="190"/>
      <c r="AF21" s="208">
        <f>_xll.qlCalendarAdvance(Calendar,AF20,"1d","mf",,Trigger)</f>
        <v>41978</v>
      </c>
      <c r="AG21" s="219">
        <f>_xll.qlDayCounterYearFraction(DayCounterON,SettlementDate,AF21,,,Trigger)</f>
        <v>6.575342465753424E-2</v>
      </c>
      <c r="AH21" s="209">
        <f t="shared" si="0"/>
        <v>3.7625345689554588E-3</v>
      </c>
      <c r="AI21" s="209">
        <f t="shared" si="1"/>
        <v>3.596571956531219E-3</v>
      </c>
      <c r="AJ21" s="179">
        <f t="shared" si="2"/>
        <v>3.6056768874156439E-3</v>
      </c>
    </row>
    <row r="22" spans="4:36" ht="11.25" customHeight="1" x14ac:dyDescent="0.2">
      <c r="D22" s="222" t="s">
        <v>43</v>
      </c>
      <c r="E22" s="176">
        <f t="shared" si="4"/>
        <v>41954</v>
      </c>
      <c r="F22" s="218">
        <f>_xll.qlCalendarAdvance(Calendar,SettlementDate,D22,"mf",TRUE,Trigger)</f>
        <v>41984</v>
      </c>
      <c r="G22" s="219" t="str">
        <f>_xll.qlMakeDatedOIS(,E22,F22,OvernightIndex,0,,,,EvaluationDate)</f>
        <v>obj_0057b#0001</v>
      </c>
      <c r="H22" s="219" t="b">
        <f>_xll.qlInstrumentSetPricingEngine(G22,OisEngine)</f>
        <v>1</v>
      </c>
      <c r="I22" s="178">
        <f>_xll.qlOvernightIndexedSwapFairRate(G22,_xll.ohTrigger(InterestRatesTrigger))</f>
        <v>-1.1689673686099412E-4</v>
      </c>
      <c r="J22" s="241">
        <f>_xll.qlDayCounterYearFraction(DayCounterOIS,E22,F22,,,Trigger)</f>
        <v>8.3333333333333329E-2</v>
      </c>
      <c r="K22" s="241">
        <f>_xll.qlDayCounterYearFraction(DayCounter1M,E22,F22,,,Trigger)</f>
        <v>8.3333333333333329E-2</v>
      </c>
      <c r="L22" s="241">
        <f>_xll.qlDayCounterYearFraction(DayCounterON,E22,F22,,,Trigger)</f>
        <v>8.2191780821917804E-2</v>
      </c>
      <c r="M22" s="209">
        <f t="shared" si="7"/>
        <v>3.5940962626567186E-3</v>
      </c>
      <c r="N22" s="209">
        <f t="shared" si="5"/>
        <v>3.4211124585137409E-3</v>
      </c>
      <c r="O22" s="179">
        <f t="shared" si="6"/>
        <v>3.4312973649988296E-3</v>
      </c>
      <c r="P22" s="190"/>
      <c r="AF22" s="208">
        <f>_xll.qlCalendarAdvance(Calendar,AF21,"1d","mf",,Trigger)</f>
        <v>41981</v>
      </c>
      <c r="AG22" s="219">
        <f>_xll.qlDayCounterYearFraction(DayCounterON,SettlementDate,AF22,,,Trigger)</f>
        <v>7.3972602739726029E-2</v>
      </c>
      <c r="AH22" s="209">
        <f t="shared" si="0"/>
        <v>3.7625345689554588E-3</v>
      </c>
      <c r="AI22" s="209">
        <f t="shared" si="1"/>
        <v>3.5997132047159053E-3</v>
      </c>
      <c r="AJ22" s="179">
        <f t="shared" si="2"/>
        <v>3.6084304095253626E-3</v>
      </c>
    </row>
    <row r="23" spans="4:36" ht="11.25" customHeight="1" x14ac:dyDescent="0.2">
      <c r="D23" s="222" t="s">
        <v>50</v>
      </c>
      <c r="E23" s="176">
        <f t="shared" si="4"/>
        <v>41954</v>
      </c>
      <c r="F23" s="218">
        <f>_xll.qlCalendarAdvance(Calendar,SettlementDate,D23,"mf",TRUE,Trigger)</f>
        <v>42016</v>
      </c>
      <c r="G23" s="219" t="str">
        <f>_xll.qlMakeDatedOIS(,E23,F23,OvernightIndex,0,,,,EvaluationDate)</f>
        <v>obj_0056f#0001</v>
      </c>
      <c r="H23" s="219" t="b">
        <f>_xll.qlInstrumentSetPricingEngine(G23,OisEngine)</f>
        <v>1</v>
      </c>
      <c r="I23" s="178">
        <f>_xll.qlOvernightIndexedSwapFairRate(G23,_xll.ohTrigger(InterestRatesTrigger))</f>
        <v>-2.0999999999905502E-4</v>
      </c>
      <c r="J23" s="241">
        <f>_xll.qlDayCounterYearFraction(DayCounterOIS,E23,F23,,,Trigger)</f>
        <v>0.17222222222222222</v>
      </c>
      <c r="K23" s="241">
        <f>_xll.qlDayCounterYearFraction(DayCounter1M,E23,F23,,,Trigger)</f>
        <v>0.17222222222222222</v>
      </c>
      <c r="L23" s="241">
        <f>_xll.qlDayCounterYearFraction(DayCounterON,E23,F23,,,Trigger)</f>
        <v>0.16986301369863013</v>
      </c>
      <c r="M23" s="209">
        <f t="shared" ref="M23:M33" si="8">($I23*$J23+$W$13*L23)/$K23</f>
        <v>3.5009929995186576E-3</v>
      </c>
      <c r="N23" s="209">
        <f t="shared" ref="N23:N33" si="9">($I23*$J23+($W$10*L23+$W$9*L23^2/2))/$K23</f>
        <v>3.344533021443068E-3</v>
      </c>
      <c r="O23" s="179">
        <f t="shared" ref="O23:O33" si="10">($I23*$J23+($W$5*L23+$W$4*L23^2/2+$W$3*L23^3/3))/$K23</f>
        <v>3.3527302921590031E-3</v>
      </c>
      <c r="P23" s="190"/>
      <c r="AF23" s="208">
        <f>_xll.qlCalendarAdvance(Calendar,AF22,"1d","mf",,Trigger)</f>
        <v>41982</v>
      </c>
      <c r="AG23" s="219">
        <f>_xll.qlDayCounterYearFraction(DayCounterON,SettlementDate,AF23,,,Trigger)</f>
        <v>7.6712328767123292E-2</v>
      </c>
      <c r="AH23" s="209">
        <f t="shared" si="0"/>
        <v>3.7625345689554588E-3</v>
      </c>
      <c r="AI23" s="209">
        <f t="shared" si="1"/>
        <v>3.6007602874441338E-3</v>
      </c>
      <c r="AJ23" s="179">
        <f t="shared" si="2"/>
        <v>3.6093495235490452E-3</v>
      </c>
    </row>
    <row r="24" spans="4:36" ht="11.25" customHeight="1" x14ac:dyDescent="0.2">
      <c r="D24" s="222" t="s">
        <v>44</v>
      </c>
      <c r="E24" s="176">
        <f t="shared" si="4"/>
        <v>41954</v>
      </c>
      <c r="F24" s="218">
        <f>_xll.qlCalendarAdvance(Calendar,SettlementDate,D24,"mf",TRUE,Trigger)</f>
        <v>42046</v>
      </c>
      <c r="G24" s="219" t="str">
        <f>_xll.qlMakeDatedOIS(,E24,F24,OvernightIndex,0,,,,EvaluationDate)</f>
        <v>obj_00577#0001</v>
      </c>
      <c r="H24" s="219" t="b">
        <f>_xll.qlInstrumentSetPricingEngine(G24,OisEngine)</f>
        <v>1</v>
      </c>
      <c r="I24" s="178">
        <f>_xll.qlOvernightIndexedSwapFairRate(G24,_xll.ohTrigger(InterestRatesTrigger))</f>
        <v>-2.5182464861340647E-4</v>
      </c>
      <c r="J24" s="241">
        <f>_xll.qlDayCounterYearFraction(DayCounterOIS,E24,F24,,,Trigger)</f>
        <v>0.25555555555555554</v>
      </c>
      <c r="K24" s="241">
        <f>_xll.qlDayCounterYearFraction(DayCounter1M,E24,F24,,,Trigger)</f>
        <v>0.25555555555555554</v>
      </c>
      <c r="L24" s="241">
        <f>_xll.qlDayCounterYearFraction(DayCounterON,E24,F24,,,Trigger)</f>
        <v>0.25205479452054796</v>
      </c>
      <c r="M24" s="209">
        <f t="shared" si="8"/>
        <v>3.4591683509043068E-3</v>
      </c>
      <c r="N24" s="209">
        <f t="shared" si="9"/>
        <v>3.3181994597668947E-3</v>
      </c>
      <c r="O24" s="179">
        <f t="shared" si="10"/>
        <v>3.3247279829923498E-3</v>
      </c>
      <c r="P24" s="190"/>
      <c r="AF24" s="208">
        <f>_xll.qlCalendarAdvance(Calendar,AF23,"1d","mf",,Trigger)</f>
        <v>41983</v>
      </c>
      <c r="AG24" s="219">
        <f>_xll.qlDayCounterYearFraction(DayCounterON,SettlementDate,AF24,,,Trigger)</f>
        <v>7.9452054794520555E-2</v>
      </c>
      <c r="AH24" s="209">
        <f t="shared" si="0"/>
        <v>3.7625345689554588E-3</v>
      </c>
      <c r="AI24" s="209">
        <f t="shared" si="1"/>
        <v>3.6018073701723622E-3</v>
      </c>
      <c r="AJ24" s="179">
        <f t="shared" si="2"/>
        <v>3.6102692742329494E-3</v>
      </c>
    </row>
    <row r="25" spans="4:36" x14ac:dyDescent="0.2">
      <c r="D25" s="222" t="s">
        <v>51</v>
      </c>
      <c r="E25" s="176">
        <f t="shared" si="4"/>
        <v>41954</v>
      </c>
      <c r="F25" s="218">
        <f>_xll.qlCalendarAdvance(Calendar,SettlementDate,D25,"mf",TRUE,Trigger)</f>
        <v>42074</v>
      </c>
      <c r="G25" s="219" t="str">
        <f>_xll.qlMakeDatedOIS(,E25,F25,OvernightIndex,0,,,,EvaluationDate)</f>
        <v>obj_0056b#0001</v>
      </c>
      <c r="H25" s="219" t="b">
        <f>_xll.qlInstrumentSetPricingEngine(G25,OisEngine)</f>
        <v>1</v>
      </c>
      <c r="I25" s="178">
        <f>_xll.qlOvernightIndexedSwapFairRate(G25,_xll.ohTrigger(InterestRatesTrigger))</f>
        <v>-2.4910416650092421E-4</v>
      </c>
      <c r="J25" s="241">
        <f>_xll.qlDayCounterYearFraction(DayCounterOIS,E25,F25,,,Trigger)</f>
        <v>0.33333333333333331</v>
      </c>
      <c r="K25" s="241">
        <f>_xll.qlDayCounterYearFraction(DayCounter1M,E25,F25,,,Trigger)</f>
        <v>0.33333333333333331</v>
      </c>
      <c r="L25" s="241">
        <f>_xll.qlDayCounterYearFraction(DayCounterON,E25,F25,,,Trigger)</f>
        <v>0.32876712328767121</v>
      </c>
      <c r="M25" s="209">
        <f t="shared" si="8"/>
        <v>3.4618888330167886E-3</v>
      </c>
      <c r="N25" s="209">
        <f t="shared" si="9"/>
        <v>3.3353782896883418E-3</v>
      </c>
      <c r="O25" s="179">
        <f t="shared" si="10"/>
        <v>3.3405192773710698E-3</v>
      </c>
      <c r="P25" s="190"/>
      <c r="AF25" s="208">
        <f>_xll.qlCalendarAdvance(Calendar,AF24,"1d","mf",,Trigger)</f>
        <v>41984</v>
      </c>
      <c r="AG25" s="219">
        <f>_xll.qlDayCounterYearFraction(DayCounterON,SettlementDate,AF25,,,Trigger)</f>
        <v>8.2191780821917804E-2</v>
      </c>
      <c r="AH25" s="209">
        <f t="shared" si="0"/>
        <v>3.7625345689554588E-3</v>
      </c>
      <c r="AI25" s="209">
        <f t="shared" ref="AI25:AI88" si="11">$W$10+$W$9*AG25</f>
        <v>3.6028544529005911E-3</v>
      </c>
      <c r="AJ25" s="179">
        <f t="shared" ref="AJ25:AJ88" si="12">($W$5+$W$4*AG25+$W$3*AG25^2)</f>
        <v>3.6111896615770756E-3</v>
      </c>
    </row>
    <row r="26" spans="4:36" x14ac:dyDescent="0.2">
      <c r="D26" s="222" t="s">
        <v>52</v>
      </c>
      <c r="E26" s="176">
        <f t="shared" si="4"/>
        <v>41954</v>
      </c>
      <c r="F26" s="218">
        <f>_xll.qlCalendarAdvance(Calendar,SettlementDate,D26,"mf",TRUE,Trigger)</f>
        <v>42107</v>
      </c>
      <c r="G26" s="219" t="str">
        <f>_xll.qlMakeDatedOIS(,E26,F26,OvernightIndex,0,,,,EvaluationDate)</f>
        <v>obj_00569#0001</v>
      </c>
      <c r="H26" s="219" t="b">
        <f>_xll.qlInstrumentSetPricingEngine(G26,OisEngine)</f>
        <v>1</v>
      </c>
      <c r="I26" s="178">
        <f>_xll.qlOvernightIndexedSwapFairRate(G26,_xll.ohTrigger(InterestRatesTrigger))</f>
        <v>-2.6763528669207992E-4</v>
      </c>
      <c r="J26" s="241">
        <f>_xll.qlDayCounterYearFraction(DayCounterOIS,E26,F26,,,Trigger)</f>
        <v>0.42499999999999999</v>
      </c>
      <c r="K26" s="241">
        <f>_xll.qlDayCounterYearFraction(DayCounter1M,E26,F26,,,Trigger)</f>
        <v>0.42499999999999999</v>
      </c>
      <c r="L26" s="241">
        <f>_xll.qlDayCounterYearFraction(DayCounterON,E26,F26,,,Trigger)</f>
        <v>0.41917808219178082</v>
      </c>
      <c r="M26" s="209">
        <f t="shared" si="8"/>
        <v>3.4433577128256329E-3</v>
      </c>
      <c r="N26" s="209">
        <f t="shared" si="9"/>
        <v>3.3338873651291806E-3</v>
      </c>
      <c r="O26" s="179">
        <f t="shared" si="10"/>
        <v>3.3376037165488708E-3</v>
      </c>
      <c r="P26" s="190"/>
      <c r="AF26" s="208">
        <f>_xll.qlCalendarAdvance(Calendar,AF25,"1d","mf",,Trigger)</f>
        <v>41985</v>
      </c>
      <c r="AG26" s="219">
        <f>_xll.qlDayCounterYearFraction(DayCounterON,SettlementDate,AF26,,,Trigger)</f>
        <v>8.4931506849315067E-2</v>
      </c>
      <c r="AH26" s="209">
        <f t="shared" si="0"/>
        <v>3.7625345689554588E-3</v>
      </c>
      <c r="AI26" s="209">
        <f t="shared" si="11"/>
        <v>3.6039015356288196E-3</v>
      </c>
      <c r="AJ26" s="179">
        <f t="shared" si="12"/>
        <v>3.6121106855814232E-3</v>
      </c>
    </row>
    <row r="27" spans="4:36" x14ac:dyDescent="0.2">
      <c r="D27" s="222" t="s">
        <v>45</v>
      </c>
      <c r="E27" s="176">
        <f t="shared" si="4"/>
        <v>41954</v>
      </c>
      <c r="F27" s="218">
        <f>_xll.qlCalendarAdvance(Calendar,SettlementDate,D27,"mf",TRUE,Trigger)</f>
        <v>42135</v>
      </c>
      <c r="G27" s="219" t="str">
        <f>_xll.qlMakeDatedOIS(,E27,F27,OvernightIndex,0,,,,EvaluationDate)</f>
        <v>obj_00566#0001</v>
      </c>
      <c r="H27" s="219" t="b">
        <f>_xll.qlInstrumentSetPricingEngine(G27,OisEngine)</f>
        <v>1</v>
      </c>
      <c r="I27" s="178">
        <f>_xll.qlOvernightIndexedSwapFairRate(G27,_xll.ohTrigger(InterestRatesTrigger))</f>
        <v>-3.1459104390126784E-4</v>
      </c>
      <c r="J27" s="241">
        <f>_xll.qlDayCounterYearFraction(DayCounterOIS,E27,F27,,,Trigger)</f>
        <v>0.50277777777777777</v>
      </c>
      <c r="K27" s="241">
        <f>_xll.qlDayCounterYearFraction(DayCounter1M,E27,F27,,,Trigger)</f>
        <v>0.50277777777777777</v>
      </c>
      <c r="L27" s="241">
        <f>_xll.qlDayCounterYearFraction(DayCounterON,E27,F27,,,Trigger)</f>
        <v>0.49589041095890413</v>
      </c>
      <c r="M27" s="209">
        <f t="shared" si="8"/>
        <v>3.3964019556164452E-3</v>
      </c>
      <c r="N27" s="209">
        <f t="shared" si="9"/>
        <v>3.3013899557289578E-3</v>
      </c>
      <c r="O27" s="179">
        <f t="shared" si="10"/>
        <v>3.3040762781237939E-3</v>
      </c>
      <c r="P27" s="190"/>
      <c r="AF27" s="208">
        <f>_xll.qlCalendarAdvance(Calendar,AF26,"1d","mf",,Trigger)</f>
        <v>41988</v>
      </c>
      <c r="AG27" s="219">
        <f>_xll.qlDayCounterYearFraction(DayCounterON,SettlementDate,AF27,,,Trigger)</f>
        <v>9.3150684931506855E-2</v>
      </c>
      <c r="AH27" s="209">
        <f t="shared" si="0"/>
        <v>3.7625345689554588E-3</v>
      </c>
      <c r="AI27" s="209">
        <f t="shared" si="11"/>
        <v>3.6070427838135054E-3</v>
      </c>
      <c r="AJ27" s="179">
        <f t="shared" si="12"/>
        <v>3.614877577555796E-3</v>
      </c>
    </row>
    <row r="28" spans="4:36" x14ac:dyDescent="0.2">
      <c r="D28" s="222" t="s">
        <v>53</v>
      </c>
      <c r="E28" s="176">
        <f t="shared" si="4"/>
        <v>41954</v>
      </c>
      <c r="F28" s="218">
        <f>_xll.qlCalendarAdvance(Calendar,SettlementDate,D28,"mf",TRUE,Trigger)</f>
        <v>42166</v>
      </c>
      <c r="G28" s="219" t="str">
        <f>_xll.qlMakeDatedOIS(,E28,F28,OvernightIndex,0,,,,EvaluationDate)</f>
        <v>obj_00582#0001</v>
      </c>
      <c r="H28" s="219" t="b">
        <f>_xll.qlInstrumentSetPricingEngine(G28,OisEngine)</f>
        <v>1</v>
      </c>
      <c r="I28" s="178">
        <f>_xll.qlOvernightIndexedSwapFairRate(G28,_xll.ohTrigger(InterestRatesTrigger))</f>
        <v>-3.6025835229256108E-4</v>
      </c>
      <c r="J28" s="241">
        <f>_xll.qlDayCounterYearFraction(DayCounterOIS,E28,F28,,,Trigger)</f>
        <v>0.58888888888888891</v>
      </c>
      <c r="K28" s="241">
        <f>_xll.qlDayCounterYearFraction(DayCounter1M,E28,F28,,,Trigger)</f>
        <v>0.58888888888888891</v>
      </c>
      <c r="L28" s="241">
        <f>_xll.qlDayCounterYearFraction(DayCounterON,E28,F28,,,Trigger)</f>
        <v>0.58082191780821912</v>
      </c>
      <c r="M28" s="209">
        <f t="shared" si="8"/>
        <v>3.3507346472251517E-3</v>
      </c>
      <c r="N28" s="209">
        <f t="shared" si="9"/>
        <v>3.2717301038404471E-3</v>
      </c>
      <c r="O28" s="179">
        <f t="shared" si="10"/>
        <v>3.2734674536501517E-3</v>
      </c>
      <c r="AF28" s="208">
        <f>_xll.qlCalendarAdvance(Calendar,AF27,"1d","mf",,Trigger)</f>
        <v>41989</v>
      </c>
      <c r="AG28" s="219">
        <f>_xll.qlDayCounterYearFraction(DayCounterON,SettlementDate,AF28,,,Trigger)</f>
        <v>9.5890410958904104E-2</v>
      </c>
      <c r="AH28" s="209">
        <f t="shared" si="0"/>
        <v>3.7625345689554588E-3</v>
      </c>
      <c r="AI28" s="209">
        <f t="shared" si="11"/>
        <v>3.6080898665417343E-3</v>
      </c>
      <c r="AJ28" s="179">
        <f t="shared" si="12"/>
        <v>3.6158011482010301E-3</v>
      </c>
    </row>
    <row r="29" spans="4:36" x14ac:dyDescent="0.2">
      <c r="D29" s="222" t="s">
        <v>54</v>
      </c>
      <c r="E29" s="176">
        <f t="shared" si="4"/>
        <v>41954</v>
      </c>
      <c r="F29" s="218">
        <f>_xll.qlCalendarAdvance(Calendar,SettlementDate,D29,"mf",TRUE,Trigger)</f>
        <v>42198</v>
      </c>
      <c r="G29" s="219" t="str">
        <f>_xll.qlMakeDatedOIS(,E29,F29,OvernightIndex,0,,,,EvaluationDate)</f>
        <v>obj_0056c#0001</v>
      </c>
      <c r="H29" s="219" t="b">
        <f>_xll.qlInstrumentSetPricingEngine(G29,OisEngine)</f>
        <v>1</v>
      </c>
      <c r="I29" s="178">
        <f>_xll.qlOvernightIndexedSwapFairRate(G29,_xll.ohTrigger(InterestRatesTrigger))</f>
        <v>-3.9768597110182927E-4</v>
      </c>
      <c r="J29" s="241">
        <f>_xll.qlDayCounterYearFraction(DayCounterOIS,E29,F29,,,Trigger)</f>
        <v>0.67777777777777781</v>
      </c>
      <c r="K29" s="241">
        <f>_xll.qlDayCounterYearFraction(DayCounter1M,E29,F29,,,Trigger)</f>
        <v>0.67777777777777781</v>
      </c>
      <c r="L29" s="241">
        <f>_xll.qlDayCounterYearFraction(DayCounterON,E29,F29,,,Trigger)</f>
        <v>0.66849315068493154</v>
      </c>
      <c r="M29" s="209">
        <f t="shared" si="8"/>
        <v>3.3133070284158835E-3</v>
      </c>
      <c r="N29" s="209">
        <f t="shared" si="9"/>
        <v>3.250826311098568E-3</v>
      </c>
      <c r="O29" s="179">
        <f t="shared" si="10"/>
        <v>3.2517950637574369E-3</v>
      </c>
      <c r="AF29" s="208">
        <f>_xll.qlCalendarAdvance(Calendar,AF28,"1d","mf",,Trigger)</f>
        <v>41990</v>
      </c>
      <c r="AG29" s="219">
        <f>_xll.qlDayCounterYearFraction(DayCounterON,SettlementDate,AF29,,,Trigger)</f>
        <v>9.8630136986301367E-2</v>
      </c>
      <c r="AH29" s="209">
        <f t="shared" si="0"/>
        <v>3.7625345689554588E-3</v>
      </c>
      <c r="AI29" s="209">
        <f t="shared" si="11"/>
        <v>3.6091369492699628E-3</v>
      </c>
      <c r="AJ29" s="179">
        <f t="shared" si="12"/>
        <v>3.6167253555064857E-3</v>
      </c>
    </row>
    <row r="30" spans="4:36" ht="12.75" customHeight="1" x14ac:dyDescent="0.2">
      <c r="D30" s="222" t="s">
        <v>55</v>
      </c>
      <c r="E30" s="176">
        <f t="shared" si="4"/>
        <v>41954</v>
      </c>
      <c r="F30" s="218">
        <f>_xll.qlCalendarAdvance(Calendar,SettlementDate,D30,"mf",TRUE,Trigger)</f>
        <v>42227</v>
      </c>
      <c r="G30" s="219" t="str">
        <f>_xll.qlMakeDatedOIS(,E30,F30,OvernightIndex,0,,,,EvaluationDate)</f>
        <v>obj_00574#0001</v>
      </c>
      <c r="H30" s="219" t="b">
        <f>_xll.qlInstrumentSetPricingEngine(G30,OisEngine)</f>
        <v>1</v>
      </c>
      <c r="I30" s="178">
        <f>_xll.qlOvernightIndexedSwapFairRate(G30,_xll.ohTrigger(InterestRatesTrigger))</f>
        <v>-4.2785481031675426E-4</v>
      </c>
      <c r="J30" s="241">
        <f>_xll.qlDayCounterYearFraction(DayCounterOIS,E30,F30,,,Trigger)</f>
        <v>0.7583333333333333</v>
      </c>
      <c r="K30" s="241">
        <f>_xll.qlDayCounterYearFraction(DayCounter1M,E30,F30,,,Trigger)</f>
        <v>0.7583333333333333</v>
      </c>
      <c r="L30" s="241">
        <f>_xll.qlDayCounterYearFraction(DayCounterON,E30,F30,,,Trigger)</f>
        <v>0.74794520547945209</v>
      </c>
      <c r="M30" s="209">
        <f t="shared" si="8"/>
        <v>3.2831381892009588E-3</v>
      </c>
      <c r="N30" s="209">
        <f t="shared" si="9"/>
        <v>3.2356321892572145E-3</v>
      </c>
      <c r="O30" s="179">
        <f t="shared" si="10"/>
        <v>3.2360895380520367E-3</v>
      </c>
      <c r="AF30" s="208">
        <f>_xll.qlCalendarAdvance(Calendar,AF29,"1d","mf",,Trigger)</f>
        <v>41991</v>
      </c>
      <c r="AG30" s="219">
        <f>_xll.qlDayCounterYearFraction(DayCounterON,SettlementDate,AF30,,,Trigger)</f>
        <v>0.10136986301369863</v>
      </c>
      <c r="AH30" s="209">
        <f t="shared" si="0"/>
        <v>3.7625345689554588E-3</v>
      </c>
      <c r="AI30" s="209">
        <f t="shared" si="11"/>
        <v>3.6101840319981912E-3</v>
      </c>
      <c r="AJ30" s="179">
        <f t="shared" si="12"/>
        <v>3.6176501994721632E-3</v>
      </c>
    </row>
    <row r="31" spans="4:36" x14ac:dyDescent="0.2">
      <c r="D31" s="222" t="s">
        <v>56</v>
      </c>
      <c r="E31" s="176">
        <f t="shared" si="4"/>
        <v>41954</v>
      </c>
      <c r="F31" s="218">
        <f>_xll.qlCalendarAdvance(Calendar,SettlementDate,D31,"mf",TRUE,Trigger)</f>
        <v>42258</v>
      </c>
      <c r="G31" s="219" t="str">
        <f>_xll.qlMakeDatedOIS(,E31,F31,OvernightIndex,0,,,,EvaluationDate)</f>
        <v>obj_00586#0001</v>
      </c>
      <c r="H31" s="219" t="b">
        <f>_xll.qlInstrumentSetPricingEngine(G31,OisEngine)</f>
        <v>1</v>
      </c>
      <c r="I31" s="178">
        <f>_xll.qlOvernightIndexedSwapFairRate(G31,_xll.ohTrigger(InterestRatesTrigger))</f>
        <v>-4.5823099157784718E-4</v>
      </c>
      <c r="J31" s="241">
        <f>_xll.qlDayCounterYearFraction(DayCounterOIS,E31,F31,,,Trigger)</f>
        <v>0.84444444444444444</v>
      </c>
      <c r="K31" s="241">
        <f>_xll.qlDayCounterYearFraction(DayCounter1M,E31,F31,,,Trigger)</f>
        <v>0.84444444444444444</v>
      </c>
      <c r="L31" s="241">
        <f>_xll.qlDayCounterYearFraction(DayCounterON,E31,F31,,,Trigger)</f>
        <v>0.83287671232876714</v>
      </c>
      <c r="M31" s="209">
        <f t="shared" si="8"/>
        <v>3.252762007939866E-3</v>
      </c>
      <c r="N31" s="209">
        <f t="shared" si="9"/>
        <v>3.2212634644989044E-3</v>
      </c>
      <c r="O31" s="179">
        <f t="shared" si="10"/>
        <v>3.2213688012407799E-3</v>
      </c>
      <c r="AF31" s="208">
        <f>_xll.qlCalendarAdvance(Calendar,AF30,"1d","mf",,Trigger)</f>
        <v>41992</v>
      </c>
      <c r="AG31" s="219">
        <f>_xll.qlDayCounterYearFraction(DayCounterON,SettlementDate,AF31,,,Trigger)</f>
        <v>0.10410958904109589</v>
      </c>
      <c r="AH31" s="209">
        <f t="shared" si="0"/>
        <v>3.7625345689554588E-3</v>
      </c>
      <c r="AI31" s="209">
        <f t="shared" si="11"/>
        <v>3.6112311147264201E-3</v>
      </c>
      <c r="AJ31" s="179">
        <f t="shared" si="12"/>
        <v>3.6185756800980622E-3</v>
      </c>
    </row>
    <row r="32" spans="4:36" x14ac:dyDescent="0.2">
      <c r="D32" s="222" t="s">
        <v>57</v>
      </c>
      <c r="E32" s="176">
        <f t="shared" si="4"/>
        <v>41954</v>
      </c>
      <c r="F32" s="218">
        <f>_xll.qlCalendarAdvance(Calendar,SettlementDate,D32,"mf",TRUE,Trigger)</f>
        <v>42289</v>
      </c>
      <c r="G32" s="219" t="str">
        <f>_xll.qlMakeDatedOIS(,E32,F32,OvernightIndex,0,,,,EvaluationDate)</f>
        <v>obj_0057f#0001</v>
      </c>
      <c r="H32" s="219" t="b">
        <f>_xll.qlInstrumentSetPricingEngine(G32,OisEngine)</f>
        <v>1</v>
      </c>
      <c r="I32" s="178">
        <f>_xll.qlOvernightIndexedSwapFairRate(G32,_xll.ohTrigger(InterestRatesTrigger))</f>
        <v>-4.8561019637138712E-4</v>
      </c>
      <c r="J32" s="241">
        <f>_xll.qlDayCounterYearFraction(DayCounterOIS,E32,F32,,,Trigger)</f>
        <v>0.93055555555555558</v>
      </c>
      <c r="K32" s="241">
        <f>_xll.qlDayCounterYearFraction(DayCounter1M,E32,F32,,,Trigger)</f>
        <v>0.93055555555555558</v>
      </c>
      <c r="L32" s="241">
        <f>_xll.qlDayCounterYearFraction(DayCounterON,E32,F32,,,Trigger)</f>
        <v>0.9178082191780822</v>
      </c>
      <c r="M32" s="209">
        <f t="shared" si="8"/>
        <v>3.2253828031463256E-3</v>
      </c>
      <c r="N32" s="209">
        <f t="shared" si="9"/>
        <v>3.2098917162081465E-3</v>
      </c>
      <c r="O32" s="179">
        <f t="shared" si="10"/>
        <v>3.2098461906416172E-3</v>
      </c>
      <c r="AF32" s="208">
        <f>_xll.qlCalendarAdvance(Calendar,AF31,"1d","mf",,Trigger)</f>
        <v>41995</v>
      </c>
      <c r="AG32" s="219">
        <f>_xll.qlDayCounterYearFraction(DayCounterON,SettlementDate,AF32,,,Trigger)</f>
        <v>0.11232876712328767</v>
      </c>
      <c r="AH32" s="209">
        <f t="shared" si="0"/>
        <v>3.7625345689554588E-3</v>
      </c>
      <c r="AI32" s="209">
        <f t="shared" si="11"/>
        <v>3.6143723629111059E-3</v>
      </c>
      <c r="AJ32" s="179">
        <f t="shared" si="12"/>
        <v>3.6213559419370888E-3</v>
      </c>
    </row>
    <row r="33" spans="4:36" ht="12" thickBot="1" x14ac:dyDescent="0.25">
      <c r="D33" s="223" t="s">
        <v>58</v>
      </c>
      <c r="E33" s="181">
        <f t="shared" si="4"/>
        <v>41954</v>
      </c>
      <c r="F33" s="220">
        <f>_xll.qlCalendarAdvance(Calendar,SettlementDate,D33,"mf",TRUE,Trigger)</f>
        <v>42319</v>
      </c>
      <c r="G33" s="221" t="str">
        <f>_xll.qlMakeDatedOIS(,E33,F33,OvernightIndex,0,,,,EvaluationDate)</f>
        <v>obj_0057d#0001</v>
      </c>
      <c r="H33" s="221" t="b">
        <f>_xll.qlInstrumentSetPricingEngine(G33,OisEngine)</f>
        <v>1</v>
      </c>
      <c r="I33" s="183">
        <f>_xll.qlOvernightIndexedSwapFairRate(G33,_xll.ohTrigger(InterestRatesTrigger))</f>
        <v>-5.0557854652706537E-4</v>
      </c>
      <c r="J33" s="244">
        <f>_xll.qlDayCounterYearFraction(DayCounterOIS,E33,F33,,,Trigger)</f>
        <v>1.0138888888888888</v>
      </c>
      <c r="K33" s="244">
        <f>_xll.qlDayCounterYearFraction(DayCounter1M,E33,F33,,,Trigger)</f>
        <v>1.0138888888888888</v>
      </c>
      <c r="L33" s="244">
        <f>_xll.qlDayCounterYearFraction(DayCounterON,E33,F33,,,Trigger)</f>
        <v>1</v>
      </c>
      <c r="M33" s="211">
        <f t="shared" si="8"/>
        <v>3.2054144529906478E-3</v>
      </c>
      <c r="N33" s="211">
        <f t="shared" si="9"/>
        <v>3.205414452990646E-3</v>
      </c>
      <c r="O33" s="184">
        <f t="shared" si="10"/>
        <v>3.2054144529906491E-3</v>
      </c>
      <c r="AF33" s="208">
        <f>_xll.qlCalendarAdvance(Calendar,AF32,"1d","mf",,Trigger)</f>
        <v>41996</v>
      </c>
      <c r="AG33" s="219">
        <f>_xll.qlDayCounterYearFraction(DayCounterON,SettlementDate,AF33,,,Trigger)</f>
        <v>0.11506849315068493</v>
      </c>
      <c r="AH33" s="209">
        <f t="shared" si="0"/>
        <v>3.7625345689554588E-3</v>
      </c>
      <c r="AI33" s="209">
        <f t="shared" si="11"/>
        <v>3.6154194456393344E-3</v>
      </c>
      <c r="AJ33" s="179">
        <f t="shared" si="12"/>
        <v>3.6222839692038743E-3</v>
      </c>
    </row>
    <row r="34" spans="4:36" ht="12" thickBot="1" x14ac:dyDescent="0.25">
      <c r="D34" s="328"/>
      <c r="E34" s="345"/>
      <c r="F34" s="346"/>
      <c r="G34" s="191"/>
      <c r="H34" s="191"/>
      <c r="I34" s="347"/>
      <c r="J34" s="348"/>
      <c r="K34" s="348"/>
      <c r="L34" s="348"/>
      <c r="M34" s="190"/>
      <c r="N34" s="190"/>
      <c r="O34" s="190"/>
      <c r="AF34" s="208">
        <f>_xll.qlCalendarAdvance(Calendar,AF33,"1d","mf",,Trigger)</f>
        <v>41997</v>
      </c>
      <c r="AG34" s="219">
        <f>_xll.qlDayCounterYearFraction(DayCounterON,SettlementDate,AF34,,,Trigger)</f>
        <v>0.11780821917808219</v>
      </c>
      <c r="AH34" s="209">
        <f t="shared" si="0"/>
        <v>3.7625345689554588E-3</v>
      </c>
      <c r="AI34" s="209">
        <f t="shared" si="11"/>
        <v>3.6164665283675633E-3</v>
      </c>
      <c r="AJ34" s="179">
        <f t="shared" si="12"/>
        <v>3.6232126331308817E-3</v>
      </c>
    </row>
    <row r="35" spans="4:36" x14ac:dyDescent="0.2">
      <c r="D35" s="249" t="s">
        <v>149</v>
      </c>
      <c r="AF35" s="208">
        <f>_xll.qlCalendarAdvance(Calendar,AF34,"1d","mf",,Trigger)</f>
        <v>42002</v>
      </c>
      <c r="AG35" s="219">
        <f>_xll.qlDayCounterYearFraction(DayCounterON,SettlementDate,AF35,,,Trigger)</f>
        <v>0.13150684931506848</v>
      </c>
      <c r="AH35" s="209">
        <f t="shared" si="0"/>
        <v>3.7625345689554588E-3</v>
      </c>
      <c r="AI35" s="209">
        <f t="shared" si="11"/>
        <v>3.6217019420087065E-3</v>
      </c>
      <c r="AJ35" s="179">
        <f t="shared" si="12"/>
        <v>3.6278655026692409E-3</v>
      </c>
    </row>
    <row r="36" spans="4:36" x14ac:dyDescent="0.2">
      <c r="D36" s="253" t="s">
        <v>111</v>
      </c>
      <c r="AF36" s="208">
        <f>_xll.qlCalendarAdvance(Calendar,AF35,"1d","mf",,Trigger)</f>
        <v>42003</v>
      </c>
      <c r="AG36" s="219">
        <f>_xll.qlDayCounterYearFraction(DayCounterON,SettlementDate,AF36,,,Trigger)</f>
        <v>0.13424657534246576</v>
      </c>
      <c r="AH36" s="209">
        <f t="shared" si="0"/>
        <v>3.7625345689554588E-3</v>
      </c>
      <c r="AI36" s="209">
        <f t="shared" si="11"/>
        <v>3.6227490247369349E-3</v>
      </c>
      <c r="AJ36" s="179">
        <f t="shared" si="12"/>
        <v>3.6287979865575783E-3</v>
      </c>
    </row>
    <row r="37" spans="4:36" x14ac:dyDescent="0.2">
      <c r="D37" s="206">
        <f t="shared" ref="D37:D52" si="13">IF($D$36="FLAT",M18,IF($D$36="linear",N18,O18))</f>
        <v>3.2520991291728842E-3</v>
      </c>
      <c r="AF37" s="208">
        <f>_xll.qlCalendarAdvance(Calendar,AF36,"1d","mf",,Trigger)</f>
        <v>42004</v>
      </c>
      <c r="AG37" s="219">
        <f>_xll.qlDayCounterYearFraction(DayCounterON,SettlementDate,AF37,,,Trigger)</f>
        <v>0.13698630136986301</v>
      </c>
      <c r="AH37" s="209">
        <f t="shared" si="0"/>
        <v>3.7625345689554588E-3</v>
      </c>
      <c r="AI37" s="209">
        <f t="shared" si="11"/>
        <v>3.6237961074651634E-3</v>
      </c>
      <c r="AJ37" s="179">
        <f t="shared" si="12"/>
        <v>3.6297311071061366E-3</v>
      </c>
    </row>
    <row r="38" spans="4:36" x14ac:dyDescent="0.2">
      <c r="D38" s="209">
        <f t="shared" si="13"/>
        <v>3.2478786055439423E-3</v>
      </c>
      <c r="F38" s="174"/>
      <c r="AF38" s="208">
        <f>_xll.qlCalendarAdvance(Calendar,AF37,"1d","mf",,Trigger)</f>
        <v>42006</v>
      </c>
      <c r="AG38" s="219">
        <f>_xll.qlDayCounterYearFraction(DayCounterON,SettlementDate,AF38,,,Trigger)</f>
        <v>0.14246575342465753</v>
      </c>
      <c r="AH38" s="209">
        <f t="shared" si="0"/>
        <v>3.7625345689554588E-3</v>
      </c>
      <c r="AI38" s="209">
        <f t="shared" si="11"/>
        <v>3.6258902729216207E-3</v>
      </c>
      <c r="AJ38" s="179">
        <f t="shared" si="12"/>
        <v>3.6315992581839184E-3</v>
      </c>
    </row>
    <row r="39" spans="4:36" x14ac:dyDescent="0.2">
      <c r="D39" s="209">
        <f t="shared" si="13"/>
        <v>3.2336716897713629E-3</v>
      </c>
      <c r="F39" s="174"/>
      <c r="AF39" s="208">
        <f>_xll.qlCalendarAdvance(Calendar,AF38,"1d","mf",,Trigger)</f>
        <v>42009</v>
      </c>
      <c r="AG39" s="219">
        <f>_xll.qlDayCounterYearFraction(DayCounterON,SettlementDate,AF39,,,Trigger)</f>
        <v>0.15068493150684931</v>
      </c>
      <c r="AH39" s="209">
        <f t="shared" si="0"/>
        <v>3.7625345689554588E-3</v>
      </c>
      <c r="AI39" s="209">
        <f t="shared" si="11"/>
        <v>3.6290315211063066E-3</v>
      </c>
      <c r="AJ39" s="179">
        <f t="shared" si="12"/>
        <v>3.6344062597522529E-3</v>
      </c>
    </row>
    <row r="40" spans="4:36" x14ac:dyDescent="0.2">
      <c r="D40" s="209">
        <f t="shared" si="13"/>
        <v>3.5505622767828234E-3</v>
      </c>
      <c r="F40" s="174"/>
      <c r="AF40" s="208">
        <f>_xll.qlCalendarAdvance(Calendar,AF39,"1d","mf",,Trigger)</f>
        <v>42010</v>
      </c>
      <c r="AG40" s="219">
        <f>_xll.qlDayCounterYearFraction(DayCounterON,SettlementDate,AF40,,,Trigger)</f>
        <v>0.15342465753424658</v>
      </c>
      <c r="AH40" s="209">
        <f t="shared" si="0"/>
        <v>3.7625345689554588E-3</v>
      </c>
      <c r="AI40" s="209">
        <f t="shared" si="11"/>
        <v>3.6300786038345354E-3</v>
      </c>
      <c r="AJ40" s="179">
        <f t="shared" si="12"/>
        <v>3.6353432002621416E-3</v>
      </c>
    </row>
    <row r="41" spans="4:36" x14ac:dyDescent="0.2">
      <c r="D41" s="209">
        <f t="shared" si="13"/>
        <v>3.4312973649988296E-3</v>
      </c>
      <c r="F41" s="174"/>
      <c r="AF41" s="208">
        <f>_xll.qlCalendarAdvance(Calendar,AF40,"1d","mf",,Trigger)</f>
        <v>42011</v>
      </c>
      <c r="AG41" s="219">
        <f>_xll.qlDayCounterYearFraction(DayCounterON,SettlementDate,AF41,,,Trigger)</f>
        <v>0.15616438356164383</v>
      </c>
      <c r="AH41" s="209">
        <f t="shared" si="0"/>
        <v>3.7625345689554588E-3</v>
      </c>
      <c r="AI41" s="209">
        <f t="shared" si="11"/>
        <v>3.6311256865627639E-3</v>
      </c>
      <c r="AJ41" s="179">
        <f t="shared" si="12"/>
        <v>3.6362807774322509E-3</v>
      </c>
    </row>
    <row r="42" spans="4:36" x14ac:dyDescent="0.2">
      <c r="D42" s="209">
        <f t="shared" si="13"/>
        <v>3.3527302921590031E-3</v>
      </c>
      <c r="F42" s="174"/>
      <c r="AF42" s="208">
        <f>_xll.qlCalendarAdvance(Calendar,AF41,"1d","mf",,Trigger)</f>
        <v>42012</v>
      </c>
      <c r="AG42" s="219">
        <f>_xll.qlDayCounterYearFraction(DayCounterON,SettlementDate,AF42,,,Trigger)</f>
        <v>0.15890410958904111</v>
      </c>
      <c r="AH42" s="209">
        <f t="shared" si="0"/>
        <v>3.7625345689554588E-3</v>
      </c>
      <c r="AI42" s="209">
        <f t="shared" si="11"/>
        <v>3.6321727692909928E-3</v>
      </c>
      <c r="AJ42" s="179">
        <f t="shared" si="12"/>
        <v>3.6372189912625822E-3</v>
      </c>
    </row>
    <row r="43" spans="4:36" ht="11.25" customHeight="1" x14ac:dyDescent="0.2">
      <c r="D43" s="209">
        <f t="shared" si="13"/>
        <v>3.3247279829923498E-3</v>
      </c>
      <c r="F43" s="174"/>
      <c r="AF43" s="208">
        <f>_xll.qlCalendarAdvance(Calendar,AF42,"1d","mf",,Trigger)</f>
        <v>42013</v>
      </c>
      <c r="AG43" s="219">
        <f>_xll.qlDayCounterYearFraction(DayCounterON,SettlementDate,AF43,,,Trigger)</f>
        <v>0.16164383561643836</v>
      </c>
      <c r="AH43" s="209">
        <f t="shared" si="0"/>
        <v>3.7625345689554588E-3</v>
      </c>
      <c r="AI43" s="209">
        <f t="shared" si="11"/>
        <v>3.6332198520192213E-3</v>
      </c>
      <c r="AJ43" s="179">
        <f t="shared" si="12"/>
        <v>3.6381578417531359E-3</v>
      </c>
    </row>
    <row r="44" spans="4:36" x14ac:dyDescent="0.2">
      <c r="D44" s="209">
        <f t="shared" si="13"/>
        <v>3.3405192773710698E-3</v>
      </c>
      <c r="F44" s="174"/>
      <c r="AF44" s="208">
        <f>_xll.qlCalendarAdvance(Calendar,AF43,"1d","mf",,Trigger)</f>
        <v>42016</v>
      </c>
      <c r="AG44" s="219">
        <f>_xll.qlDayCounterYearFraction(DayCounterON,SettlementDate,AF44,,,Trigger)</f>
        <v>0.16986301369863013</v>
      </c>
      <c r="AH44" s="209">
        <f t="shared" si="0"/>
        <v>3.7625345689554588E-3</v>
      </c>
      <c r="AI44" s="209">
        <f t="shared" si="11"/>
        <v>3.6363611002039071E-3</v>
      </c>
      <c r="AJ44" s="179">
        <f t="shared" si="12"/>
        <v>3.6409782131861246E-3</v>
      </c>
    </row>
    <row r="45" spans="4:36" x14ac:dyDescent="0.2">
      <c r="D45" s="209">
        <f t="shared" si="13"/>
        <v>3.3376037165488708E-3</v>
      </c>
      <c r="F45" s="174"/>
      <c r="AF45" s="208">
        <f>_xll.qlCalendarAdvance(Calendar,AF44,"1d","mf",,Trigger)</f>
        <v>42017</v>
      </c>
      <c r="AG45" s="219">
        <f>_xll.qlDayCounterYearFraction(DayCounterON,SettlementDate,AF45,,,Trigger)</f>
        <v>0.17260273972602741</v>
      </c>
      <c r="AH45" s="209">
        <f t="shared" si="0"/>
        <v>3.7625345689554588E-3</v>
      </c>
      <c r="AI45" s="209">
        <f t="shared" si="11"/>
        <v>3.637408182932136E-3</v>
      </c>
      <c r="AJ45" s="179">
        <f t="shared" si="12"/>
        <v>3.6419196103175638E-3</v>
      </c>
    </row>
    <row r="46" spans="4:36" x14ac:dyDescent="0.2">
      <c r="D46" s="209">
        <f t="shared" si="13"/>
        <v>3.3040762781237939E-3</v>
      </c>
      <c r="F46" s="174"/>
      <c r="AF46" s="208">
        <f>_xll.qlCalendarAdvance(Calendar,AF45,"1d","mf",,Trigger)</f>
        <v>42018</v>
      </c>
      <c r="AG46" s="219">
        <f>_xll.qlDayCounterYearFraction(DayCounterON,SettlementDate,AF46,,,Trigger)</f>
        <v>0.17534246575342466</v>
      </c>
      <c r="AH46" s="209">
        <f t="shared" si="0"/>
        <v>3.7625345689554588E-3</v>
      </c>
      <c r="AI46" s="209">
        <f t="shared" si="11"/>
        <v>3.6384552656603644E-3</v>
      </c>
      <c r="AJ46" s="179">
        <f t="shared" si="12"/>
        <v>3.642861644109225E-3</v>
      </c>
    </row>
    <row r="47" spans="4:36" x14ac:dyDescent="0.2">
      <c r="D47" s="209">
        <f t="shared" si="13"/>
        <v>3.2734674536501517E-3</v>
      </c>
      <c r="F47" s="174"/>
      <c r="AF47" s="208">
        <f>_xll.qlCalendarAdvance(Calendar,AF46,"1d","mf",,Trigger)</f>
        <v>42019</v>
      </c>
      <c r="AG47" s="219">
        <f>_xll.qlDayCounterYearFraction(DayCounterON,SettlementDate,AF47,,,Trigger)</f>
        <v>0.17808219178082191</v>
      </c>
      <c r="AH47" s="209">
        <f t="shared" si="0"/>
        <v>3.7625345689554588E-3</v>
      </c>
      <c r="AI47" s="209">
        <f t="shared" si="11"/>
        <v>3.6395023483885929E-3</v>
      </c>
      <c r="AJ47" s="179">
        <f t="shared" si="12"/>
        <v>3.6438043145611081E-3</v>
      </c>
    </row>
    <row r="48" spans="4:36" x14ac:dyDescent="0.2">
      <c r="D48" s="209">
        <f t="shared" si="13"/>
        <v>3.2517950637574369E-3</v>
      </c>
      <c r="F48" s="174"/>
      <c r="AF48" s="208">
        <f>_xll.qlCalendarAdvance(Calendar,AF47,"1d","mf",,Trigger)</f>
        <v>42020</v>
      </c>
      <c r="AG48" s="219">
        <f>_xll.qlDayCounterYearFraction(DayCounterON,SettlementDate,AF48,,,Trigger)</f>
        <v>0.18082191780821918</v>
      </c>
      <c r="AH48" s="209">
        <f t="shared" si="0"/>
        <v>3.7625345689554588E-3</v>
      </c>
      <c r="AI48" s="209">
        <f t="shared" si="11"/>
        <v>3.6405494311168218E-3</v>
      </c>
      <c r="AJ48" s="179">
        <f t="shared" si="12"/>
        <v>3.6447476216732123E-3</v>
      </c>
    </row>
    <row r="49" spans="4:36" x14ac:dyDescent="0.2">
      <c r="D49" s="209">
        <f t="shared" si="13"/>
        <v>3.2360895380520367E-3</v>
      </c>
      <c r="F49" s="174"/>
      <c r="N49" s="251"/>
      <c r="AF49" s="208">
        <f>_xll.qlCalendarAdvance(Calendar,AF48,"1d","mf",,Trigger)</f>
        <v>42023</v>
      </c>
      <c r="AG49" s="219">
        <f>_xll.qlDayCounterYearFraction(DayCounterON,SettlementDate,AF49,,,Trigger)</f>
        <v>0.18904109589041096</v>
      </c>
      <c r="AH49" s="209">
        <f t="shared" si="0"/>
        <v>3.7625345689554588E-3</v>
      </c>
      <c r="AI49" s="209">
        <f t="shared" si="11"/>
        <v>3.6436906793015076E-3</v>
      </c>
      <c r="AJ49" s="179">
        <f t="shared" si="12"/>
        <v>3.6475813629708552E-3</v>
      </c>
    </row>
    <row r="50" spans="4:36" x14ac:dyDescent="0.2">
      <c r="D50" s="209">
        <f t="shared" si="13"/>
        <v>3.2213688012407799E-3</v>
      </c>
      <c r="F50" s="174"/>
      <c r="J50" s="190"/>
      <c r="K50" s="190"/>
      <c r="N50" s="251"/>
      <c r="AF50" s="208">
        <f>_xll.qlCalendarAdvance(Calendar,AF49,"1d","mf",,Trigger)</f>
        <v>42024</v>
      </c>
      <c r="AG50" s="219">
        <f>_xll.qlDayCounterYearFraction(DayCounterON,SettlementDate,AF50,,,Trigger)</f>
        <v>0.19178082191780821</v>
      </c>
      <c r="AH50" s="209">
        <f t="shared" si="0"/>
        <v>3.7625345689554588E-3</v>
      </c>
      <c r="AI50" s="209">
        <f t="shared" si="11"/>
        <v>3.6447377620297361E-3</v>
      </c>
      <c r="AJ50" s="179">
        <f t="shared" si="12"/>
        <v>3.6485272167238458E-3</v>
      </c>
    </row>
    <row r="51" spans="4:36" x14ac:dyDescent="0.2">
      <c r="D51" s="209">
        <f t="shared" si="13"/>
        <v>3.2098461906416172E-3</v>
      </c>
      <c r="F51" s="174"/>
      <c r="N51" s="251"/>
      <c r="AF51" s="208">
        <f>_xll.qlCalendarAdvance(Calendar,AF50,"1d","mf",,Trigger)</f>
        <v>42025</v>
      </c>
      <c r="AG51" s="219">
        <f>_xll.qlDayCounterYearFraction(DayCounterON,SettlementDate,AF51,,,Trigger)</f>
        <v>0.19452054794520549</v>
      </c>
      <c r="AH51" s="209">
        <f t="shared" si="0"/>
        <v>3.7625345689554588E-3</v>
      </c>
      <c r="AI51" s="209">
        <f t="shared" si="11"/>
        <v>3.645784844757965E-3</v>
      </c>
      <c r="AJ51" s="179">
        <f t="shared" si="12"/>
        <v>3.6494737071370588E-3</v>
      </c>
    </row>
    <row r="52" spans="4:36" x14ac:dyDescent="0.2">
      <c r="D52" s="254">
        <f t="shared" si="13"/>
        <v>3.2054144529906491E-3</v>
      </c>
      <c r="F52" s="174"/>
      <c r="N52" s="251"/>
      <c r="AF52" s="208">
        <f>_xll.qlCalendarAdvance(Calendar,AF51,"1d","mf",,Trigger)</f>
        <v>42026</v>
      </c>
      <c r="AG52" s="219">
        <f>_xll.qlDayCounterYearFraction(DayCounterON,SettlementDate,AF52,,,Trigger)</f>
        <v>0.19726027397260273</v>
      </c>
      <c r="AH52" s="209">
        <f t="shared" si="0"/>
        <v>3.7625345689554588E-3</v>
      </c>
      <c r="AI52" s="209">
        <f t="shared" si="11"/>
        <v>3.6468319274861934E-3</v>
      </c>
      <c r="AJ52" s="179">
        <f t="shared" si="12"/>
        <v>3.6504208342104929E-3</v>
      </c>
    </row>
    <row r="53" spans="4:36" x14ac:dyDescent="0.2">
      <c r="F53" s="174"/>
      <c r="N53" s="251"/>
      <c r="AF53" s="208">
        <f>_xll.qlCalendarAdvance(Calendar,AF52,"1d","mf",,Trigger)</f>
        <v>42027</v>
      </c>
      <c r="AG53" s="219">
        <f>_xll.qlDayCounterYearFraction(DayCounterON,SettlementDate,AF53,,,Trigger)</f>
        <v>0.2</v>
      </c>
      <c r="AH53" s="209">
        <f t="shared" si="0"/>
        <v>3.7625345689554588E-3</v>
      </c>
      <c r="AI53" s="209">
        <f t="shared" si="11"/>
        <v>3.6478790102144219E-3</v>
      </c>
      <c r="AJ53" s="179">
        <f t="shared" si="12"/>
        <v>3.6513685979441485E-3</v>
      </c>
    </row>
    <row r="54" spans="4:36" x14ac:dyDescent="0.2">
      <c r="AF54" s="208">
        <f>_xll.qlCalendarAdvance(Calendar,AF53,"1d","mf",,Trigger)</f>
        <v>42030</v>
      </c>
      <c r="AG54" s="219">
        <f>_xll.qlDayCounterYearFraction(DayCounterON,SettlementDate,AF54,,,Trigger)</f>
        <v>0.20821917808219179</v>
      </c>
      <c r="AH54" s="209">
        <f t="shared" si="0"/>
        <v>3.7625345689554588E-3</v>
      </c>
      <c r="AI54" s="209">
        <f t="shared" si="11"/>
        <v>3.6510202583991081E-3</v>
      </c>
      <c r="AJ54" s="179">
        <f t="shared" si="12"/>
        <v>3.6542157091064452E-3</v>
      </c>
    </row>
    <row r="55" spans="4:36" x14ac:dyDescent="0.2">
      <c r="AF55" s="208">
        <f>_xll.qlCalendarAdvance(Calendar,AF54,"1d","mf",,Trigger)</f>
        <v>42031</v>
      </c>
      <c r="AG55" s="219">
        <f>_xll.qlDayCounterYearFraction(DayCounterON,SettlementDate,AF55,,,Trigger)</f>
        <v>0.21095890410958903</v>
      </c>
      <c r="AH55" s="209">
        <f t="shared" si="0"/>
        <v>3.7625345689554588E-3</v>
      </c>
      <c r="AI55" s="209">
        <f t="shared" si="11"/>
        <v>3.6520673411273366E-3</v>
      </c>
      <c r="AJ55" s="179">
        <f t="shared" si="12"/>
        <v>3.6551660194809872E-3</v>
      </c>
    </row>
    <row r="56" spans="4:36" x14ac:dyDescent="0.2">
      <c r="AF56" s="208">
        <f>_xll.qlCalendarAdvance(Calendar,AF55,"1d","mf",,Trigger)</f>
        <v>42032</v>
      </c>
      <c r="AG56" s="219">
        <f>_xll.qlDayCounterYearFraction(DayCounterON,SettlementDate,AF56,,,Trigger)</f>
        <v>0.21369863013698631</v>
      </c>
      <c r="AH56" s="209">
        <f t="shared" si="0"/>
        <v>3.7625345689554588E-3</v>
      </c>
      <c r="AI56" s="209">
        <f t="shared" si="11"/>
        <v>3.6531144238555651E-3</v>
      </c>
      <c r="AJ56" s="179">
        <f t="shared" si="12"/>
        <v>3.6561169665157516E-3</v>
      </c>
    </row>
    <row r="57" spans="4:36" x14ac:dyDescent="0.2">
      <c r="AF57" s="208">
        <f>_xll.qlCalendarAdvance(Calendar,AF56,"1d","mf",,Trigger)</f>
        <v>42033</v>
      </c>
      <c r="AG57" s="219">
        <f>_xll.qlDayCounterYearFraction(DayCounterON,SettlementDate,AF57,,,Trigger)</f>
        <v>0.21643835616438356</v>
      </c>
      <c r="AH57" s="209">
        <f t="shared" si="0"/>
        <v>3.7625345689554588E-3</v>
      </c>
      <c r="AI57" s="209">
        <f t="shared" si="11"/>
        <v>3.654161506583794E-3</v>
      </c>
      <c r="AJ57" s="179">
        <f t="shared" si="12"/>
        <v>3.6570685502107366E-3</v>
      </c>
    </row>
    <row r="58" spans="4:36" x14ac:dyDescent="0.2">
      <c r="AF58" s="208">
        <f>_xll.qlCalendarAdvance(Calendar,AF57,"1d","mf",,Trigger)</f>
        <v>42034</v>
      </c>
      <c r="AG58" s="219">
        <f>_xll.qlDayCounterYearFraction(DayCounterON,SettlementDate,AF58,,,Trigger)</f>
        <v>0.21917808219178081</v>
      </c>
      <c r="AH58" s="209">
        <f t="shared" si="0"/>
        <v>3.7625345689554588E-3</v>
      </c>
      <c r="AI58" s="209">
        <f t="shared" si="11"/>
        <v>3.6552085893120224E-3</v>
      </c>
      <c r="AJ58" s="179">
        <f t="shared" si="12"/>
        <v>3.6580207705659436E-3</v>
      </c>
    </row>
    <row r="59" spans="4:36" x14ac:dyDescent="0.2">
      <c r="AF59" s="208">
        <f>_xll.qlCalendarAdvance(Calendar,AF58,"1d","mf",,Trigger)</f>
        <v>42037</v>
      </c>
      <c r="AG59" s="219">
        <f>_xll.qlDayCounterYearFraction(DayCounterON,SettlementDate,AF59,,,Trigger)</f>
        <v>0.22739726027397261</v>
      </c>
      <c r="AH59" s="209">
        <f t="shared" si="0"/>
        <v>3.7625345689554588E-3</v>
      </c>
      <c r="AI59" s="209">
        <f t="shared" si="11"/>
        <v>3.6583498374967082E-3</v>
      </c>
      <c r="AJ59" s="179">
        <f t="shared" si="12"/>
        <v>3.6608812515928949E-3</v>
      </c>
    </row>
    <row r="60" spans="4:36" x14ac:dyDescent="0.2">
      <c r="AF60" s="208">
        <f>_xll.qlCalendarAdvance(Calendar,AF59,"1d","mf",,Trigger)</f>
        <v>42038</v>
      </c>
      <c r="AG60" s="219">
        <f>_xll.qlDayCounterYearFraction(DayCounterON,SettlementDate,AF60,,,Trigger)</f>
        <v>0.23013698630136986</v>
      </c>
      <c r="AH60" s="209">
        <f t="shared" si="0"/>
        <v>3.7625345689554588E-3</v>
      </c>
      <c r="AI60" s="209">
        <f t="shared" si="11"/>
        <v>3.6593969202249371E-3</v>
      </c>
      <c r="AJ60" s="179">
        <f t="shared" si="12"/>
        <v>3.6618360185889888E-3</v>
      </c>
    </row>
    <row r="61" spans="4:36" x14ac:dyDescent="0.2">
      <c r="AF61" s="208">
        <f>_xll.qlCalendarAdvance(Calendar,AF60,"1d","mf",,Trigger)</f>
        <v>42039</v>
      </c>
      <c r="AG61" s="219">
        <f>_xll.qlDayCounterYearFraction(DayCounterON,SettlementDate,AF61,,,Trigger)</f>
        <v>0.23287671232876711</v>
      </c>
      <c r="AH61" s="209">
        <f t="shared" si="0"/>
        <v>3.7625345689554588E-3</v>
      </c>
      <c r="AI61" s="209">
        <f t="shared" si="11"/>
        <v>3.6604440029531656E-3</v>
      </c>
      <c r="AJ61" s="179">
        <f t="shared" si="12"/>
        <v>3.6627914222453037E-3</v>
      </c>
    </row>
    <row r="62" spans="4:36" x14ac:dyDescent="0.2">
      <c r="AF62" s="208">
        <f>_xll.qlCalendarAdvance(Calendar,AF61,"1d","mf",,Trigger)</f>
        <v>42040</v>
      </c>
      <c r="AG62" s="219">
        <f>_xll.qlDayCounterYearFraction(DayCounterON,SettlementDate,AF62,,,Trigger)</f>
        <v>0.23561643835616439</v>
      </c>
      <c r="AH62" s="209">
        <f t="shared" si="0"/>
        <v>3.7625345689554588E-3</v>
      </c>
      <c r="AI62" s="209">
        <f t="shared" si="11"/>
        <v>3.6614910856813941E-3</v>
      </c>
      <c r="AJ62" s="179">
        <f t="shared" si="12"/>
        <v>3.6637474625618406E-3</v>
      </c>
    </row>
    <row r="63" spans="4:36" x14ac:dyDescent="0.2">
      <c r="AF63" s="208">
        <f>_xll.qlCalendarAdvance(Calendar,AF62,"1d","mf",,Trigger)</f>
        <v>42041</v>
      </c>
      <c r="AG63" s="219">
        <f>_xll.qlDayCounterYearFraction(DayCounterON,SettlementDate,AF63,,,Trigger)</f>
        <v>0.23835616438356164</v>
      </c>
      <c r="AH63" s="209">
        <f t="shared" si="0"/>
        <v>3.7625345689554588E-3</v>
      </c>
      <c r="AI63" s="209">
        <f t="shared" si="11"/>
        <v>3.662538168409623E-3</v>
      </c>
      <c r="AJ63" s="179">
        <f t="shared" si="12"/>
        <v>3.664704139538599E-3</v>
      </c>
    </row>
    <row r="64" spans="4:36" x14ac:dyDescent="0.2">
      <c r="AF64" s="208">
        <f>_xll.qlCalendarAdvance(Calendar,AF63,"1d","mf",,Trigger)</f>
        <v>42044</v>
      </c>
      <c r="AG64" s="219">
        <f>_xll.qlDayCounterYearFraction(DayCounterON,SettlementDate,AF64,,,Trigger)</f>
        <v>0.24657534246575341</v>
      </c>
      <c r="AH64" s="209">
        <f t="shared" si="0"/>
        <v>3.7625345689554588E-3</v>
      </c>
      <c r="AI64" s="209">
        <f t="shared" si="11"/>
        <v>3.6656794165943088E-3</v>
      </c>
      <c r="AJ64" s="179">
        <f t="shared" si="12"/>
        <v>3.667577990430204E-3</v>
      </c>
    </row>
    <row r="65" spans="10:36" x14ac:dyDescent="0.2">
      <c r="AF65" s="208">
        <f>_xll.qlCalendarAdvance(Calendar,AF64,"1d","mf",,Trigger)</f>
        <v>42045</v>
      </c>
      <c r="AG65" s="219">
        <f>_xll.qlDayCounterYearFraction(DayCounterON,SettlementDate,AF65,,,Trigger)</f>
        <v>0.24931506849315069</v>
      </c>
      <c r="AH65" s="209">
        <f t="shared" si="0"/>
        <v>3.7625345689554588E-3</v>
      </c>
      <c r="AI65" s="209">
        <f t="shared" si="11"/>
        <v>3.6667264993225372E-3</v>
      </c>
      <c r="AJ65" s="179">
        <f t="shared" si="12"/>
        <v>3.6685372140478488E-3</v>
      </c>
    </row>
    <row r="66" spans="10:36" x14ac:dyDescent="0.2">
      <c r="AF66" s="208">
        <f>_xll.qlCalendarAdvance(Calendar,AF65,"1d","mf",,Trigger)</f>
        <v>42046</v>
      </c>
      <c r="AG66" s="219">
        <f>_xll.qlDayCounterYearFraction(DayCounterON,SettlementDate,AF66,,,Trigger)</f>
        <v>0.25205479452054796</v>
      </c>
      <c r="AH66" s="209">
        <f t="shared" si="0"/>
        <v>3.7625345689554588E-3</v>
      </c>
      <c r="AI66" s="209">
        <f t="shared" si="11"/>
        <v>3.6677735820507661E-3</v>
      </c>
      <c r="AJ66" s="179">
        <f t="shared" si="12"/>
        <v>3.6694970743257152E-3</v>
      </c>
    </row>
    <row r="67" spans="10:36" x14ac:dyDescent="0.2">
      <c r="AF67" s="208">
        <f>_xll.qlCalendarAdvance(Calendar,AF66,"1d","mf",,Trigger)</f>
        <v>42047</v>
      </c>
      <c r="AG67" s="219">
        <f>_xll.qlDayCounterYearFraction(DayCounterON,SettlementDate,AF67,,,Trigger)</f>
        <v>0.25479452054794521</v>
      </c>
      <c r="AH67" s="209">
        <f t="shared" ref="AH67:AH130" si="14">$W$13</f>
        <v>3.7625345689554588E-3</v>
      </c>
      <c r="AI67" s="209">
        <f t="shared" si="11"/>
        <v>3.6688206647789946E-3</v>
      </c>
      <c r="AJ67" s="179">
        <f t="shared" si="12"/>
        <v>3.6704575712638039E-3</v>
      </c>
    </row>
    <row r="68" spans="10:36" x14ac:dyDescent="0.2">
      <c r="AF68" s="208">
        <f>_xll.qlCalendarAdvance(Calendar,AF67,"1d","mf",,Trigger)</f>
        <v>42048</v>
      </c>
      <c r="AG68" s="219">
        <f>_xll.qlDayCounterYearFraction(DayCounterON,SettlementDate,AF68,,,Trigger)</f>
        <v>0.25753424657534246</v>
      </c>
      <c r="AH68" s="209">
        <f t="shared" si="14"/>
        <v>3.7625345689554588E-3</v>
      </c>
      <c r="AI68" s="209">
        <f t="shared" si="11"/>
        <v>3.6698677475072235E-3</v>
      </c>
      <c r="AJ68" s="179">
        <f t="shared" si="12"/>
        <v>3.6714187048621136E-3</v>
      </c>
    </row>
    <row r="69" spans="10:36" x14ac:dyDescent="0.2">
      <c r="J69" s="190"/>
      <c r="AF69" s="208">
        <f>_xll.qlCalendarAdvance(Calendar,AF68,"1d","mf",,Trigger)</f>
        <v>42051</v>
      </c>
      <c r="AG69" s="219">
        <f>_xll.qlDayCounterYearFraction(DayCounterON,SettlementDate,AF69,,,Trigger)</f>
        <v>0.26575342465753427</v>
      </c>
      <c r="AH69" s="209">
        <f t="shared" si="14"/>
        <v>3.7625345689554588E-3</v>
      </c>
      <c r="AI69" s="209">
        <f t="shared" si="11"/>
        <v>3.6730089956919093E-3</v>
      </c>
      <c r="AJ69" s="179">
        <f t="shared" si="12"/>
        <v>3.6743059256183724E-3</v>
      </c>
    </row>
    <row r="70" spans="10:36" x14ac:dyDescent="0.2">
      <c r="J70" s="190"/>
      <c r="AF70" s="208">
        <f>_xll.qlCalendarAdvance(Calendar,AF69,"1d","mf",,Trigger)</f>
        <v>42052</v>
      </c>
      <c r="AG70" s="219">
        <f>_xll.qlDayCounterYearFraction(DayCounterON,SettlementDate,AF70,,,Trigger)</f>
        <v>0.26849315068493151</v>
      </c>
      <c r="AH70" s="209">
        <f t="shared" si="14"/>
        <v>3.7625345689554588E-3</v>
      </c>
      <c r="AI70" s="209">
        <f t="shared" si="11"/>
        <v>3.6740560784201378E-3</v>
      </c>
      <c r="AJ70" s="179">
        <f t="shared" si="12"/>
        <v>3.6752696058575686E-3</v>
      </c>
    </row>
    <row r="71" spans="10:36" x14ac:dyDescent="0.2">
      <c r="J71" s="190"/>
      <c r="AF71" s="208">
        <f>_xll.qlCalendarAdvance(Calendar,AF70,"1d","mf",,Trigger)</f>
        <v>42053</v>
      </c>
      <c r="AG71" s="219">
        <f>_xll.qlDayCounterYearFraction(DayCounterON,SettlementDate,AF71,,,Trigger)</f>
        <v>0.27123287671232876</v>
      </c>
      <c r="AH71" s="209">
        <f t="shared" si="14"/>
        <v>3.7625345689554588E-3</v>
      </c>
      <c r="AI71" s="209">
        <f t="shared" si="11"/>
        <v>3.6751031611483662E-3</v>
      </c>
      <c r="AJ71" s="179">
        <f t="shared" si="12"/>
        <v>3.6762339227569864E-3</v>
      </c>
    </row>
    <row r="72" spans="10:36" x14ac:dyDescent="0.2">
      <c r="J72" s="190"/>
      <c r="AF72" s="208">
        <f>_xll.qlCalendarAdvance(Calendar,AF71,"1d","mf",,Trigger)</f>
        <v>42054</v>
      </c>
      <c r="AG72" s="219">
        <f>_xll.qlDayCounterYearFraction(DayCounterON,SettlementDate,AF72,,,Trigger)</f>
        <v>0.27397260273972601</v>
      </c>
      <c r="AH72" s="209">
        <f t="shared" si="14"/>
        <v>3.7625345689554588E-3</v>
      </c>
      <c r="AI72" s="209">
        <f t="shared" si="11"/>
        <v>3.6761502438765951E-3</v>
      </c>
      <c r="AJ72" s="179">
        <f t="shared" si="12"/>
        <v>3.677198876316626E-3</v>
      </c>
    </row>
    <row r="73" spans="10:36" x14ac:dyDescent="0.2">
      <c r="J73" s="190"/>
      <c r="AF73" s="208">
        <f>_xll.qlCalendarAdvance(Calendar,AF72,"1d","mf",,Trigger)</f>
        <v>42055</v>
      </c>
      <c r="AG73" s="219">
        <f>_xll.qlDayCounterYearFraction(DayCounterON,SettlementDate,AF73,,,Trigger)</f>
        <v>0.27671232876712326</v>
      </c>
      <c r="AH73" s="209">
        <f t="shared" si="14"/>
        <v>3.7625345689554588E-3</v>
      </c>
      <c r="AI73" s="209">
        <f t="shared" si="11"/>
        <v>3.6771973266048236E-3</v>
      </c>
      <c r="AJ73" s="179">
        <f t="shared" si="12"/>
        <v>3.6781644665364872E-3</v>
      </c>
    </row>
    <row r="74" spans="10:36" x14ac:dyDescent="0.2">
      <c r="J74" s="190"/>
      <c r="AF74" s="208">
        <f>_xll.qlCalendarAdvance(Calendar,AF73,"1d","mf",,Trigger)</f>
        <v>42058</v>
      </c>
      <c r="AG74" s="219">
        <f>_xll.qlDayCounterYearFraction(DayCounterON,SettlementDate,AF74,,,Trigger)</f>
        <v>0.28493150684931506</v>
      </c>
      <c r="AH74" s="209">
        <f t="shared" si="14"/>
        <v>3.7625345689554588E-3</v>
      </c>
      <c r="AI74" s="209">
        <f t="shared" si="11"/>
        <v>3.6803385747895094E-3</v>
      </c>
      <c r="AJ74" s="179">
        <f t="shared" si="12"/>
        <v>3.6810650571574002E-3</v>
      </c>
    </row>
    <row r="75" spans="10:36" x14ac:dyDescent="0.2">
      <c r="J75" s="190"/>
      <c r="K75" s="190"/>
      <c r="AF75" s="208">
        <f>_xll.qlCalendarAdvance(Calendar,AF74,"1d","mf",,Trigger)</f>
        <v>42059</v>
      </c>
      <c r="AG75" s="219">
        <f>_xll.qlDayCounterYearFraction(DayCounterON,SettlementDate,AF75,,,Trigger)</f>
        <v>0.28767123287671231</v>
      </c>
      <c r="AH75" s="209">
        <f t="shared" si="14"/>
        <v>3.7625345689554588E-3</v>
      </c>
      <c r="AI75" s="209">
        <f t="shared" si="11"/>
        <v>3.6813856575177383E-3</v>
      </c>
      <c r="AJ75" s="179">
        <f t="shared" si="12"/>
        <v>3.6820331940181478E-3</v>
      </c>
    </row>
    <row r="76" spans="10:36" x14ac:dyDescent="0.2">
      <c r="J76" s="190"/>
      <c r="K76" s="190"/>
      <c r="AF76" s="208">
        <f>_xll.qlCalendarAdvance(Calendar,AF75,"1d","mf",,Trigger)</f>
        <v>42060</v>
      </c>
      <c r="AG76" s="219">
        <f>_xll.qlDayCounterYearFraction(DayCounterON,SettlementDate,AF76,,,Trigger)</f>
        <v>0.29041095890410956</v>
      </c>
      <c r="AH76" s="209">
        <f t="shared" si="14"/>
        <v>3.7625345689554588E-3</v>
      </c>
      <c r="AI76" s="209">
        <f t="shared" si="11"/>
        <v>3.6824327402459668E-3</v>
      </c>
      <c r="AJ76" s="179">
        <f t="shared" si="12"/>
        <v>3.6830019675391174E-3</v>
      </c>
    </row>
    <row r="77" spans="10:36" x14ac:dyDescent="0.2">
      <c r="J77" s="190"/>
      <c r="K77" s="190"/>
      <c r="AF77" s="208">
        <f>_xll.qlCalendarAdvance(Calendar,AF76,"1d","mf",,Trigger)</f>
        <v>42061</v>
      </c>
      <c r="AG77" s="219">
        <f>_xll.qlDayCounterYearFraction(DayCounterON,SettlementDate,AF77,,,Trigger)</f>
        <v>0.29315068493150687</v>
      </c>
      <c r="AH77" s="209">
        <f t="shared" si="14"/>
        <v>3.7625345689554588E-3</v>
      </c>
      <c r="AI77" s="209">
        <f t="shared" si="11"/>
        <v>3.6834798229741957E-3</v>
      </c>
      <c r="AJ77" s="179">
        <f t="shared" si="12"/>
        <v>3.683971377720308E-3</v>
      </c>
    </row>
    <row r="78" spans="10:36" x14ac:dyDescent="0.2">
      <c r="J78" s="190"/>
      <c r="K78" s="190"/>
      <c r="AF78" s="208">
        <f>_xll.qlCalendarAdvance(Calendar,AF77,"1d","mf",,Trigger)</f>
        <v>42062</v>
      </c>
      <c r="AG78" s="219">
        <f>_xll.qlDayCounterYearFraction(DayCounterON,SettlementDate,AF78,,,Trigger)</f>
        <v>0.29589041095890412</v>
      </c>
      <c r="AH78" s="209">
        <f t="shared" si="14"/>
        <v>3.7625345689554588E-3</v>
      </c>
      <c r="AI78" s="209">
        <f t="shared" si="11"/>
        <v>3.6845269057024241E-3</v>
      </c>
      <c r="AJ78" s="179">
        <f t="shared" si="12"/>
        <v>3.6849414245617206E-3</v>
      </c>
    </row>
    <row r="79" spans="10:36" x14ac:dyDescent="0.2">
      <c r="J79" s="190"/>
      <c r="K79" s="190"/>
      <c r="AF79" s="208">
        <f>_xll.qlCalendarAdvance(Calendar,AF78,"1d","mf",,Trigger)</f>
        <v>42065</v>
      </c>
      <c r="AG79" s="219">
        <f>_xll.qlDayCounterYearFraction(DayCounterON,SettlementDate,AF79,,,Trigger)</f>
        <v>0.30410958904109592</v>
      </c>
      <c r="AH79" s="209">
        <f t="shared" si="14"/>
        <v>3.7625345689554588E-3</v>
      </c>
      <c r="AI79" s="209">
        <f t="shared" si="11"/>
        <v>3.6876681538871099E-3</v>
      </c>
      <c r="AJ79" s="179">
        <f t="shared" si="12"/>
        <v>3.6878553850472878E-3</v>
      </c>
    </row>
    <row r="80" spans="10:36" x14ac:dyDescent="0.2">
      <c r="J80" s="190"/>
      <c r="K80" s="190"/>
      <c r="AF80" s="208">
        <f>_xll.qlCalendarAdvance(Calendar,AF79,"1d","mf",,Trigger)</f>
        <v>42066</v>
      </c>
      <c r="AG80" s="219">
        <f>_xll.qlDayCounterYearFraction(DayCounterON,SettlementDate,AF80,,,Trigger)</f>
        <v>0.30684931506849317</v>
      </c>
      <c r="AH80" s="209">
        <f t="shared" si="14"/>
        <v>3.7625345689554588E-3</v>
      </c>
      <c r="AI80" s="209">
        <f t="shared" si="11"/>
        <v>3.6887152366153388E-3</v>
      </c>
      <c r="AJ80" s="179">
        <f t="shared" si="12"/>
        <v>3.6888279785295868E-3</v>
      </c>
    </row>
    <row r="81" spans="10:36" x14ac:dyDescent="0.2">
      <c r="J81" s="190"/>
      <c r="K81" s="190"/>
      <c r="AF81" s="208">
        <f>_xll.qlCalendarAdvance(Calendar,AF80,"1d","mf",,Trigger)</f>
        <v>42067</v>
      </c>
      <c r="AG81" s="219">
        <f>_xll.qlDayCounterYearFraction(DayCounterON,SettlementDate,AF81,,,Trigger)</f>
        <v>0.30958904109589042</v>
      </c>
      <c r="AH81" s="209">
        <f t="shared" si="14"/>
        <v>3.7625345689554588E-3</v>
      </c>
      <c r="AI81" s="209">
        <f t="shared" si="11"/>
        <v>3.6897623193435673E-3</v>
      </c>
      <c r="AJ81" s="179">
        <f t="shared" si="12"/>
        <v>3.6898012086721073E-3</v>
      </c>
    </row>
    <row r="82" spans="10:36" x14ac:dyDescent="0.2">
      <c r="J82" s="190"/>
      <c r="K82" s="190"/>
      <c r="AF82" s="208">
        <f>_xll.qlCalendarAdvance(Calendar,AF81,"1d","mf",,Trigger)</f>
        <v>42068</v>
      </c>
      <c r="AG82" s="219">
        <f>_xll.qlDayCounterYearFraction(DayCounterON,SettlementDate,AF82,,,Trigger)</f>
        <v>0.31232876712328766</v>
      </c>
      <c r="AH82" s="209">
        <f t="shared" si="14"/>
        <v>3.7625345689554588E-3</v>
      </c>
      <c r="AI82" s="209">
        <f t="shared" si="11"/>
        <v>3.6908094020717958E-3</v>
      </c>
      <c r="AJ82" s="179">
        <f t="shared" si="12"/>
        <v>3.6907750754748493E-3</v>
      </c>
    </row>
    <row r="83" spans="10:36" x14ac:dyDescent="0.2">
      <c r="J83" s="190"/>
      <c r="K83" s="190"/>
      <c r="AF83" s="208">
        <f>_xll.qlCalendarAdvance(Calendar,AF82,"1d","mf",,Trigger)</f>
        <v>42069</v>
      </c>
      <c r="AG83" s="219">
        <f>_xll.qlDayCounterYearFraction(DayCounterON,SettlementDate,AF83,,,Trigger)</f>
        <v>0.31506849315068491</v>
      </c>
      <c r="AH83" s="209">
        <f t="shared" si="14"/>
        <v>3.7625345689554588E-3</v>
      </c>
      <c r="AI83" s="209">
        <f t="shared" si="11"/>
        <v>3.6918564848000246E-3</v>
      </c>
      <c r="AJ83" s="179">
        <f t="shared" si="12"/>
        <v>3.6917495789378137E-3</v>
      </c>
    </row>
    <row r="84" spans="10:36" x14ac:dyDescent="0.2">
      <c r="J84" s="190"/>
      <c r="K84" s="190"/>
      <c r="AF84" s="208">
        <f>_xll.qlCalendarAdvance(Calendar,AF83,"1d","mf",,Trigger)</f>
        <v>42072</v>
      </c>
      <c r="AG84" s="219">
        <f>_xll.qlDayCounterYearFraction(DayCounterON,SettlementDate,AF84,,,Trigger)</f>
        <v>0.32328767123287672</v>
      </c>
      <c r="AH84" s="209">
        <f t="shared" si="14"/>
        <v>3.7625345689554588E-3</v>
      </c>
      <c r="AI84" s="209">
        <f t="shared" si="11"/>
        <v>3.6949977329847105E-3</v>
      </c>
      <c r="AJ84" s="179">
        <f t="shared" si="12"/>
        <v>3.6946769092880347E-3</v>
      </c>
    </row>
    <row r="85" spans="10:36" x14ac:dyDescent="0.2">
      <c r="J85" s="190"/>
      <c r="K85" s="190"/>
      <c r="AF85" s="208">
        <f>_xll.qlCalendarAdvance(Calendar,AF84,"1d","mf",,Trigger)</f>
        <v>42073</v>
      </c>
      <c r="AG85" s="219">
        <f>_xll.qlDayCounterYearFraction(DayCounterON,SettlementDate,AF85,,,Trigger)</f>
        <v>0.32602739726027397</v>
      </c>
      <c r="AH85" s="209">
        <f t="shared" si="14"/>
        <v>3.7625345689554588E-3</v>
      </c>
      <c r="AI85" s="209">
        <f t="shared" si="11"/>
        <v>3.6960448157129389E-3</v>
      </c>
      <c r="AJ85" s="179">
        <f t="shared" si="12"/>
        <v>3.6956539593918851E-3</v>
      </c>
    </row>
    <row r="86" spans="10:36" x14ac:dyDescent="0.2">
      <c r="J86" s="190"/>
      <c r="K86" s="190"/>
      <c r="AF86" s="208">
        <f>_xll.qlCalendarAdvance(Calendar,AF85,"1d","mf",,Trigger)</f>
        <v>42074</v>
      </c>
      <c r="AG86" s="219">
        <f>_xll.qlDayCounterYearFraction(DayCounterON,SettlementDate,AF86,,,Trigger)</f>
        <v>0.32876712328767121</v>
      </c>
      <c r="AH86" s="209">
        <f t="shared" si="14"/>
        <v>3.7625345689554588E-3</v>
      </c>
      <c r="AI86" s="209">
        <f t="shared" si="11"/>
        <v>3.6970918984411678E-3</v>
      </c>
      <c r="AJ86" s="179">
        <f t="shared" si="12"/>
        <v>3.6966316461559566E-3</v>
      </c>
    </row>
    <row r="87" spans="10:36" x14ac:dyDescent="0.2">
      <c r="J87" s="190"/>
      <c r="K87" s="190"/>
      <c r="AF87" s="208">
        <f>_xll.qlCalendarAdvance(Calendar,AF86,"1d","mf",,Trigger)</f>
        <v>42075</v>
      </c>
      <c r="AG87" s="219">
        <f>_xll.qlDayCounterYearFraction(DayCounterON,SettlementDate,AF87,,,Trigger)</f>
        <v>0.33150684931506852</v>
      </c>
      <c r="AH87" s="209">
        <f t="shared" si="14"/>
        <v>3.7625345689554588E-3</v>
      </c>
      <c r="AI87" s="209">
        <f t="shared" si="11"/>
        <v>3.6981389811693963E-3</v>
      </c>
      <c r="AJ87" s="179">
        <f t="shared" si="12"/>
        <v>3.69760996958025E-3</v>
      </c>
    </row>
    <row r="88" spans="10:36" x14ac:dyDescent="0.2">
      <c r="J88" s="190"/>
      <c r="K88" s="190"/>
      <c r="AF88" s="208">
        <f>_xll.qlCalendarAdvance(Calendar,AF87,"1d","mf",,Trigger)</f>
        <v>42076</v>
      </c>
      <c r="AG88" s="219">
        <f>_xll.qlDayCounterYearFraction(DayCounterON,SettlementDate,AF88,,,Trigger)</f>
        <v>0.33424657534246577</v>
      </c>
      <c r="AH88" s="209">
        <f t="shared" si="14"/>
        <v>3.7625345689554588E-3</v>
      </c>
      <c r="AI88" s="209">
        <f t="shared" si="11"/>
        <v>3.6991860638976252E-3</v>
      </c>
      <c r="AJ88" s="179">
        <f t="shared" si="12"/>
        <v>3.6985889296647658E-3</v>
      </c>
    </row>
    <row r="89" spans="10:36" x14ac:dyDescent="0.2">
      <c r="J89" s="190"/>
      <c r="K89" s="190"/>
      <c r="AF89" s="208">
        <f>_xll.qlCalendarAdvance(Calendar,AF88,"1d","mf",,Trigger)</f>
        <v>42079</v>
      </c>
      <c r="AG89" s="219">
        <f>_xll.qlDayCounterYearFraction(DayCounterON,SettlementDate,AF89,,,Trigger)</f>
        <v>0.34246575342465752</v>
      </c>
      <c r="AH89" s="209">
        <f t="shared" si="14"/>
        <v>3.7625345689554588E-3</v>
      </c>
      <c r="AI89" s="209">
        <f t="shared" ref="AI89:AI139" si="15">$W$10+$W$9*AG89</f>
        <v>3.702327312082311E-3</v>
      </c>
      <c r="AJ89" s="179">
        <f t="shared" ref="AJ89:AJ139" si="16">($W$5+$W$4*AG89+$W$3*AG89^2)</f>
        <v>3.7015296298796409E-3</v>
      </c>
    </row>
    <row r="90" spans="10:36" x14ac:dyDescent="0.2">
      <c r="J90" s="190"/>
      <c r="K90" s="190"/>
      <c r="AF90" s="208">
        <f>_xll.qlCalendarAdvance(Calendar,AF89,"1d","mf",,Trigger)</f>
        <v>42080</v>
      </c>
      <c r="AG90" s="219">
        <f>_xll.qlDayCounterYearFraction(DayCounterON,SettlementDate,AF90,,,Trigger)</f>
        <v>0.34520547945205482</v>
      </c>
      <c r="AH90" s="209">
        <f t="shared" si="14"/>
        <v>3.7625345689554588E-3</v>
      </c>
      <c r="AI90" s="209">
        <f t="shared" si="15"/>
        <v>3.7033743948105395E-3</v>
      </c>
      <c r="AJ90" s="179">
        <f t="shared" si="16"/>
        <v>3.7025111366050423E-3</v>
      </c>
    </row>
    <row r="91" spans="10:36" x14ac:dyDescent="0.2">
      <c r="J91" s="190"/>
      <c r="K91" s="190"/>
      <c r="AF91" s="208">
        <f>_xll.qlCalendarAdvance(Calendar,AF90,"1d","mf",,Trigger)</f>
        <v>42081</v>
      </c>
      <c r="AG91" s="219">
        <f>_xll.qlDayCounterYearFraction(DayCounterON,SettlementDate,AF91,,,Trigger)</f>
        <v>0.34794520547945207</v>
      </c>
      <c r="AH91" s="209">
        <f t="shared" si="14"/>
        <v>3.7625345689554588E-3</v>
      </c>
      <c r="AI91" s="209">
        <f t="shared" si="15"/>
        <v>3.7044214775387679E-3</v>
      </c>
      <c r="AJ91" s="179">
        <f t="shared" si="16"/>
        <v>3.7034932799906656E-3</v>
      </c>
    </row>
    <row r="92" spans="10:36" x14ac:dyDescent="0.2">
      <c r="J92" s="190"/>
      <c r="K92" s="190"/>
      <c r="AF92" s="208">
        <f>_xll.qlCalendarAdvance(Calendar,AF91,"1d","mf",,Trigger)</f>
        <v>42082</v>
      </c>
      <c r="AG92" s="219">
        <f>_xll.qlDayCounterYearFraction(DayCounterON,SettlementDate,AF92,,,Trigger)</f>
        <v>0.35068493150684932</v>
      </c>
      <c r="AH92" s="209">
        <f t="shared" si="14"/>
        <v>3.7625345689554588E-3</v>
      </c>
      <c r="AI92" s="209">
        <f t="shared" si="15"/>
        <v>3.7054685602669968E-3</v>
      </c>
      <c r="AJ92" s="179">
        <f t="shared" si="16"/>
        <v>3.7044760600365109E-3</v>
      </c>
    </row>
    <row r="93" spans="10:36" x14ac:dyDescent="0.2">
      <c r="J93" s="190"/>
      <c r="K93" s="190"/>
      <c r="AF93" s="208">
        <f>_xll.qlCalendarAdvance(Calendar,AF92,"1d","mf",,Trigger)</f>
        <v>42083</v>
      </c>
      <c r="AG93" s="219">
        <f>_xll.qlDayCounterYearFraction(DayCounterON,SettlementDate,AF93,,,Trigger)</f>
        <v>0.35342465753424657</v>
      </c>
      <c r="AH93" s="209">
        <f t="shared" si="14"/>
        <v>3.7625345689554588E-3</v>
      </c>
      <c r="AI93" s="209">
        <f t="shared" si="15"/>
        <v>3.7065156429952253E-3</v>
      </c>
      <c r="AJ93" s="179">
        <f t="shared" si="16"/>
        <v>3.7054594767425772E-3</v>
      </c>
    </row>
    <row r="94" spans="10:36" x14ac:dyDescent="0.2">
      <c r="J94" s="190"/>
      <c r="K94" s="190"/>
      <c r="AF94" s="208">
        <f>_xll.qlCalendarAdvance(Calendar,AF93,"1d","mf",,Trigger)</f>
        <v>42086</v>
      </c>
      <c r="AG94" s="219">
        <f>_xll.qlDayCounterYearFraction(DayCounterON,SettlementDate,AF94,,,Trigger)</f>
        <v>0.36164383561643837</v>
      </c>
      <c r="AH94" s="209">
        <f t="shared" si="14"/>
        <v>3.7625345689554588E-3</v>
      </c>
      <c r="AI94" s="209">
        <f t="shared" si="15"/>
        <v>3.7096568911799111E-3</v>
      </c>
      <c r="AJ94" s="179">
        <f t="shared" si="16"/>
        <v>3.7084135468221065E-3</v>
      </c>
    </row>
    <row r="95" spans="10:36" x14ac:dyDescent="0.2">
      <c r="J95" s="190"/>
      <c r="K95" s="190"/>
      <c r="AF95" s="208">
        <f>_xll.qlCalendarAdvance(Calendar,AF94,"1d","mf",,Trigger)</f>
        <v>42087</v>
      </c>
      <c r="AG95" s="219">
        <f>_xll.qlDayCounterYearFraction(DayCounterON,SettlementDate,AF95,,,Trigger)</f>
        <v>0.36438356164383562</v>
      </c>
      <c r="AH95" s="209">
        <f t="shared" si="14"/>
        <v>3.7625345689554588E-3</v>
      </c>
      <c r="AI95" s="209">
        <f t="shared" si="15"/>
        <v>3.71070397390814E-3</v>
      </c>
      <c r="AJ95" s="179">
        <f t="shared" si="16"/>
        <v>3.7093995101690593E-3</v>
      </c>
    </row>
    <row r="96" spans="10:36" x14ac:dyDescent="0.2">
      <c r="J96" s="190"/>
      <c r="K96" s="190"/>
      <c r="AF96" s="208">
        <f>_xll.qlCalendarAdvance(Calendar,AF95,"1d","mf",,Trigger)</f>
        <v>42088</v>
      </c>
      <c r="AG96" s="219">
        <f>_xll.qlDayCounterYearFraction(DayCounterON,SettlementDate,AF96,,,Trigger)</f>
        <v>0.36712328767123287</v>
      </c>
      <c r="AH96" s="209">
        <f t="shared" si="14"/>
        <v>3.7625345689554588E-3</v>
      </c>
      <c r="AI96" s="209">
        <f t="shared" si="15"/>
        <v>3.7117510566363685E-3</v>
      </c>
      <c r="AJ96" s="179">
        <f t="shared" si="16"/>
        <v>3.710386110176234E-3</v>
      </c>
    </row>
    <row r="97" spans="10:36" x14ac:dyDescent="0.2">
      <c r="J97" s="190"/>
      <c r="K97" s="190"/>
      <c r="AF97" s="208">
        <f>_xll.qlCalendarAdvance(Calendar,AF96,"1d","mf",,Trigger)</f>
        <v>42089</v>
      </c>
      <c r="AG97" s="219">
        <f>_xll.qlDayCounterYearFraction(DayCounterON,SettlementDate,AF97,,,Trigger)</f>
        <v>0.36986301369863012</v>
      </c>
      <c r="AH97" s="209">
        <f t="shared" si="14"/>
        <v>3.7625345689554588E-3</v>
      </c>
      <c r="AI97" s="209">
        <f t="shared" si="15"/>
        <v>3.7127981393645969E-3</v>
      </c>
      <c r="AJ97" s="179">
        <f t="shared" si="16"/>
        <v>3.7113733468436302E-3</v>
      </c>
    </row>
    <row r="98" spans="10:36" x14ac:dyDescent="0.2">
      <c r="J98" s="190"/>
      <c r="K98" s="190"/>
      <c r="AF98" s="208">
        <f>_xll.qlCalendarAdvance(Calendar,AF97,"1d","mf",,Trigger)</f>
        <v>42090</v>
      </c>
      <c r="AG98" s="219">
        <f>_xll.qlDayCounterYearFraction(DayCounterON,SettlementDate,AF98,,,Trigger)</f>
        <v>0.37260273972602742</v>
      </c>
      <c r="AH98" s="209">
        <f t="shared" si="14"/>
        <v>3.7625345689554588E-3</v>
      </c>
      <c r="AI98" s="209">
        <f t="shared" si="15"/>
        <v>3.7138452220928258E-3</v>
      </c>
      <c r="AJ98" s="179">
        <f t="shared" si="16"/>
        <v>3.7123612201712479E-3</v>
      </c>
    </row>
    <row r="99" spans="10:36" x14ac:dyDescent="0.2">
      <c r="J99" s="190"/>
      <c r="K99" s="190"/>
      <c r="AF99" s="208">
        <f>_xll.qlCalendarAdvance(Calendar,AF98,"1d","mf",,Trigger)</f>
        <v>42093</v>
      </c>
      <c r="AG99" s="219">
        <f>_xll.qlDayCounterYearFraction(DayCounterON,SettlementDate,AF99,,,Trigger)</f>
        <v>0.38082191780821917</v>
      </c>
      <c r="AH99" s="209">
        <f t="shared" si="14"/>
        <v>3.7625345689554588E-3</v>
      </c>
      <c r="AI99" s="209">
        <f t="shared" si="15"/>
        <v>3.7169864702775116E-3</v>
      </c>
      <c r="AJ99" s="179">
        <f t="shared" si="16"/>
        <v>3.7153286601154314E-3</v>
      </c>
    </row>
    <row r="100" spans="10:36" x14ac:dyDescent="0.2">
      <c r="J100" s="190"/>
      <c r="K100" s="190"/>
      <c r="AF100" s="208">
        <f>_xll.qlCalendarAdvance(Calendar,AF99,"1d","mf",,Trigger)</f>
        <v>42094</v>
      </c>
      <c r="AG100" s="219">
        <f>_xll.qlDayCounterYearFraction(DayCounterON,SettlementDate,AF100,,,Trigger)</f>
        <v>0.38356164383561642</v>
      </c>
      <c r="AH100" s="209">
        <f t="shared" si="14"/>
        <v>3.7625345689554588E-3</v>
      </c>
      <c r="AI100" s="209">
        <f t="shared" si="15"/>
        <v>3.7180335530057401E-3</v>
      </c>
      <c r="AJ100" s="179">
        <f t="shared" si="16"/>
        <v>3.7163190800839356E-3</v>
      </c>
    </row>
    <row r="101" spans="10:36" x14ac:dyDescent="0.2">
      <c r="J101" s="190"/>
      <c r="K101" s="190"/>
      <c r="AF101" s="208">
        <f>_xll.qlCalendarAdvance(Calendar,AF100,"1d","mf",,Trigger)</f>
        <v>42095</v>
      </c>
      <c r="AG101" s="219">
        <f>_xll.qlDayCounterYearFraction(DayCounterON,SettlementDate,AF101,,,Trigger)</f>
        <v>0.38630136986301372</v>
      </c>
      <c r="AH101" s="209">
        <f t="shared" si="14"/>
        <v>3.7625345689554588E-3</v>
      </c>
      <c r="AI101" s="209">
        <f t="shared" si="15"/>
        <v>3.719080635733969E-3</v>
      </c>
      <c r="AJ101" s="179">
        <f t="shared" si="16"/>
        <v>3.7173101367126617E-3</v>
      </c>
    </row>
    <row r="102" spans="10:36" x14ac:dyDescent="0.2">
      <c r="J102" s="190"/>
      <c r="K102" s="190"/>
      <c r="AF102" s="208">
        <f>_xll.qlCalendarAdvance(Calendar,AF101,"1d","mf",,Trigger)</f>
        <v>42096</v>
      </c>
      <c r="AG102" s="219">
        <f>_xll.qlDayCounterYearFraction(DayCounterON,SettlementDate,AF102,,,Trigger)</f>
        <v>0.38904109589041097</v>
      </c>
      <c r="AH102" s="209">
        <f t="shared" si="14"/>
        <v>3.7625345689554588E-3</v>
      </c>
      <c r="AI102" s="209">
        <f t="shared" si="15"/>
        <v>3.7201277184621974E-3</v>
      </c>
      <c r="AJ102" s="179">
        <f t="shared" si="16"/>
        <v>3.7183018300016094E-3</v>
      </c>
    </row>
    <row r="103" spans="10:36" x14ac:dyDescent="0.2">
      <c r="J103" s="190"/>
      <c r="K103" s="190"/>
      <c r="AF103" s="208">
        <f>_xll.qlCalendarAdvance(Calendar,AF102,"1d","mf",,Trigger)</f>
        <v>42101</v>
      </c>
      <c r="AG103" s="219">
        <f>_xll.qlDayCounterYearFraction(DayCounterON,SettlementDate,AF103,,,Trigger)</f>
        <v>0.40273972602739727</v>
      </c>
      <c r="AH103" s="209">
        <f t="shared" si="14"/>
        <v>3.7625345689554588E-3</v>
      </c>
      <c r="AI103" s="209">
        <f t="shared" si="15"/>
        <v>3.7253631321033406E-3</v>
      </c>
      <c r="AJ103" s="179">
        <f t="shared" si="16"/>
        <v>3.7232698463496717E-3</v>
      </c>
    </row>
    <row r="104" spans="10:36" x14ac:dyDescent="0.2">
      <c r="J104" s="190"/>
      <c r="K104" s="190"/>
      <c r="AF104" s="208">
        <f>_xll.qlCalendarAdvance(Calendar,AF103,"1d","mf",,Trigger)</f>
        <v>42102</v>
      </c>
      <c r="AG104" s="219">
        <f>_xll.qlDayCounterYearFraction(DayCounterON,SettlementDate,AF104,,,Trigger)</f>
        <v>0.40547945205479452</v>
      </c>
      <c r="AH104" s="209">
        <f t="shared" si="14"/>
        <v>3.7625345689554588E-3</v>
      </c>
      <c r="AI104" s="209">
        <f t="shared" si="15"/>
        <v>3.7264102148315695E-3</v>
      </c>
      <c r="AJ104" s="179">
        <f t="shared" si="16"/>
        <v>3.7242653595999488E-3</v>
      </c>
    </row>
    <row r="105" spans="10:36" x14ac:dyDescent="0.2">
      <c r="J105" s="190"/>
      <c r="K105" s="190"/>
      <c r="AF105" s="208">
        <f>_xll.qlCalendarAdvance(Calendar,AF104,"1d","mf",,Trigger)</f>
        <v>42103</v>
      </c>
      <c r="AG105" s="219">
        <f>_xll.qlDayCounterYearFraction(DayCounterON,SettlementDate,AF105,,,Trigger)</f>
        <v>0.40821917808219177</v>
      </c>
      <c r="AH105" s="209">
        <f t="shared" si="14"/>
        <v>3.7625345689554588E-3</v>
      </c>
      <c r="AI105" s="209">
        <f t="shared" si="15"/>
        <v>3.727457297559798E-3</v>
      </c>
      <c r="AJ105" s="179">
        <f t="shared" si="16"/>
        <v>3.7252615095104478E-3</v>
      </c>
    </row>
    <row r="106" spans="10:36" x14ac:dyDescent="0.2">
      <c r="J106" s="190"/>
      <c r="K106" s="190"/>
      <c r="AF106" s="208">
        <f>_xll.qlCalendarAdvance(Calendar,AF105,"1d","mf",,Trigger)</f>
        <v>42104</v>
      </c>
      <c r="AG106" s="219">
        <f>_xll.qlDayCounterYearFraction(DayCounterON,SettlementDate,AF106,,,Trigger)</f>
        <v>0.41095890410958902</v>
      </c>
      <c r="AH106" s="209">
        <f t="shared" si="14"/>
        <v>3.7625345689554588E-3</v>
      </c>
      <c r="AI106" s="209">
        <f t="shared" si="15"/>
        <v>3.7285043802880264E-3</v>
      </c>
      <c r="AJ106" s="179">
        <f t="shared" si="16"/>
        <v>3.7262582960811688E-3</v>
      </c>
    </row>
    <row r="107" spans="10:36" x14ac:dyDescent="0.2">
      <c r="J107" s="190"/>
      <c r="K107" s="190"/>
      <c r="AF107" s="208">
        <f>_xll.qlCalendarAdvance(Calendar,AF106,"1d","mf",,Trigger)</f>
        <v>42107</v>
      </c>
      <c r="AG107" s="219">
        <f>_xll.qlDayCounterYearFraction(DayCounterON,SettlementDate,AF107,,,Trigger)</f>
        <v>0.41917808219178082</v>
      </c>
      <c r="AH107" s="209">
        <f t="shared" si="14"/>
        <v>3.7625345689554588E-3</v>
      </c>
      <c r="AI107" s="209">
        <f t="shared" si="15"/>
        <v>3.7316456284727127E-3</v>
      </c>
      <c r="AJ107" s="179">
        <f t="shared" si="16"/>
        <v>3.7292524757546602E-3</v>
      </c>
    </row>
    <row r="108" spans="10:36" x14ac:dyDescent="0.2">
      <c r="J108" s="190"/>
      <c r="K108" s="190"/>
      <c r="AF108" s="208">
        <f>_xll.qlCalendarAdvance(Calendar,AF107,"1d","mf",,Trigger)</f>
        <v>42108</v>
      </c>
      <c r="AG108" s="219">
        <f>_xll.qlDayCounterYearFraction(DayCounterON,SettlementDate,AF108,,,Trigger)</f>
        <v>0.42191780821917807</v>
      </c>
      <c r="AH108" s="209">
        <f t="shared" si="14"/>
        <v>3.7625345689554588E-3</v>
      </c>
      <c r="AI108" s="209">
        <f t="shared" si="15"/>
        <v>3.7326927112009411E-3</v>
      </c>
      <c r="AJ108" s="179">
        <f t="shared" si="16"/>
        <v>3.7302518089662672E-3</v>
      </c>
    </row>
    <row r="109" spans="10:36" x14ac:dyDescent="0.2">
      <c r="J109" s="190"/>
      <c r="K109" s="190"/>
      <c r="AF109" s="208">
        <f>_xll.qlCalendarAdvance(Calendar,AF108,"1d","mf",,Trigger)</f>
        <v>42109</v>
      </c>
      <c r="AG109" s="219">
        <f>_xll.qlDayCounterYearFraction(DayCounterON,SettlementDate,AF109,,,Trigger)</f>
        <v>0.42465753424657532</v>
      </c>
      <c r="AH109" s="209">
        <f t="shared" si="14"/>
        <v>3.7625345689554588E-3</v>
      </c>
      <c r="AI109" s="209">
        <f t="shared" si="15"/>
        <v>3.7337397939291696E-3</v>
      </c>
      <c r="AJ109" s="179">
        <f t="shared" si="16"/>
        <v>3.7312517788380957E-3</v>
      </c>
    </row>
    <row r="110" spans="10:36" x14ac:dyDescent="0.2">
      <c r="J110" s="190"/>
      <c r="K110" s="190"/>
      <c r="AF110" s="208">
        <f>_xll.qlCalendarAdvance(Calendar,AF109,"1d","mf",,Trigger)</f>
        <v>42110</v>
      </c>
      <c r="AG110" s="219">
        <f>_xll.qlDayCounterYearFraction(DayCounterON,SettlementDate,AF110,,,Trigger)</f>
        <v>0.42739726027397262</v>
      </c>
      <c r="AH110" s="209">
        <f t="shared" si="14"/>
        <v>3.7625345689554588E-3</v>
      </c>
      <c r="AI110" s="209">
        <f t="shared" si="15"/>
        <v>3.7347868766573985E-3</v>
      </c>
      <c r="AJ110" s="179">
        <f t="shared" si="16"/>
        <v>3.7322523853701461E-3</v>
      </c>
    </row>
    <row r="111" spans="10:36" x14ac:dyDescent="0.2">
      <c r="J111" s="190"/>
      <c r="K111" s="190"/>
      <c r="AF111" s="208">
        <f>_xll.qlCalendarAdvance(Calendar,AF110,"1d","mf",,Trigger)</f>
        <v>42111</v>
      </c>
      <c r="AG111" s="219">
        <f>_xll.qlDayCounterYearFraction(DayCounterON,SettlementDate,AF111,,,Trigger)</f>
        <v>0.43013698630136987</v>
      </c>
      <c r="AH111" s="209">
        <f t="shared" si="14"/>
        <v>3.7625345689554588E-3</v>
      </c>
      <c r="AI111" s="209">
        <f t="shared" si="15"/>
        <v>3.735833959385627E-3</v>
      </c>
      <c r="AJ111" s="179">
        <f t="shared" si="16"/>
        <v>3.733253628562418E-3</v>
      </c>
    </row>
    <row r="112" spans="10:36" x14ac:dyDescent="0.2">
      <c r="J112" s="190"/>
      <c r="K112" s="190"/>
      <c r="AF112" s="208">
        <f>_xll.qlCalendarAdvance(Calendar,AF111,"1d","mf",,Trigger)</f>
        <v>42114</v>
      </c>
      <c r="AG112" s="219">
        <f>_xll.qlDayCounterYearFraction(DayCounterON,SettlementDate,AF112,,,Trigger)</f>
        <v>0.43835616438356162</v>
      </c>
      <c r="AH112" s="209">
        <f t="shared" si="14"/>
        <v>3.7625345689554588E-3</v>
      </c>
      <c r="AI112" s="209">
        <f t="shared" si="15"/>
        <v>3.7389752075703128E-3</v>
      </c>
      <c r="AJ112" s="179">
        <f t="shared" si="16"/>
        <v>3.7362611781005632E-3</v>
      </c>
    </row>
    <row r="113" spans="10:36" x14ac:dyDescent="0.2">
      <c r="J113" s="190"/>
      <c r="K113" s="190"/>
      <c r="AF113" s="208">
        <f>_xll.qlCalendarAdvance(Calendar,AF112,"1d","mf",,Trigger)</f>
        <v>42115</v>
      </c>
      <c r="AG113" s="219">
        <f>_xll.qlDayCounterYearFraction(DayCounterON,SettlementDate,AF113,,,Trigger)</f>
        <v>0.44109589041095892</v>
      </c>
      <c r="AH113" s="209">
        <f t="shared" si="14"/>
        <v>3.7625345689554588E-3</v>
      </c>
      <c r="AI113" s="209">
        <f t="shared" si="15"/>
        <v>3.7400222902985417E-3</v>
      </c>
      <c r="AJ113" s="179">
        <f t="shared" si="16"/>
        <v>3.7372649679337216E-3</v>
      </c>
    </row>
    <row r="114" spans="10:36" x14ac:dyDescent="0.2">
      <c r="J114" s="190"/>
      <c r="K114" s="190"/>
      <c r="AF114" s="208">
        <f>_xll.qlCalendarAdvance(Calendar,AF113,"1d","mf",,Trigger)</f>
        <v>42116</v>
      </c>
      <c r="AG114" s="219">
        <f>_xll.qlDayCounterYearFraction(DayCounterON,SettlementDate,AF114,,,Trigger)</f>
        <v>0.44383561643835617</v>
      </c>
      <c r="AH114" s="209">
        <f t="shared" si="14"/>
        <v>3.7625345689554588E-3</v>
      </c>
      <c r="AI114" s="209">
        <f t="shared" si="15"/>
        <v>3.7410693730267701E-3</v>
      </c>
      <c r="AJ114" s="179">
        <f t="shared" si="16"/>
        <v>3.7382693944271019E-3</v>
      </c>
    </row>
    <row r="115" spans="10:36" x14ac:dyDescent="0.2">
      <c r="J115" s="190"/>
      <c r="K115" s="190"/>
      <c r="AF115" s="208">
        <f>_xll.qlCalendarAdvance(Calendar,AF114,"1d","mf",,Trigger)</f>
        <v>42117</v>
      </c>
      <c r="AG115" s="219">
        <f>_xll.qlDayCounterYearFraction(DayCounterON,SettlementDate,AF115,,,Trigger)</f>
        <v>0.44657534246575342</v>
      </c>
      <c r="AH115" s="209">
        <f t="shared" si="14"/>
        <v>3.7625345689554588E-3</v>
      </c>
      <c r="AI115" s="209">
        <f t="shared" si="15"/>
        <v>3.7421164557549986E-3</v>
      </c>
      <c r="AJ115" s="179">
        <f t="shared" si="16"/>
        <v>3.7392744575807037E-3</v>
      </c>
    </row>
    <row r="116" spans="10:36" x14ac:dyDescent="0.2">
      <c r="J116" s="190"/>
      <c r="K116" s="190"/>
      <c r="AF116" s="208">
        <f>_xll.qlCalendarAdvance(Calendar,AF115,"1d","mf",,Trigger)</f>
        <v>42118</v>
      </c>
      <c r="AG116" s="219">
        <f>_xll.qlDayCounterYearFraction(DayCounterON,SettlementDate,AF116,,,Trigger)</f>
        <v>0.44931506849315067</v>
      </c>
      <c r="AH116" s="209">
        <f t="shared" si="14"/>
        <v>3.7625345689554588E-3</v>
      </c>
      <c r="AI116" s="209">
        <f t="shared" si="15"/>
        <v>3.7431635384832275E-3</v>
      </c>
      <c r="AJ116" s="179">
        <f t="shared" si="16"/>
        <v>3.7402801573945266E-3</v>
      </c>
    </row>
    <row r="117" spans="10:36" x14ac:dyDescent="0.2">
      <c r="J117" s="190"/>
      <c r="K117" s="190"/>
      <c r="AF117" s="208">
        <f>_xll.qlCalendarAdvance(Calendar,AF116,"1d","mf",,Trigger)</f>
        <v>42121</v>
      </c>
      <c r="AG117" s="219">
        <f>_xll.qlDayCounterYearFraction(DayCounterON,SettlementDate,AF117,,,Trigger)</f>
        <v>0.45753424657534247</v>
      </c>
      <c r="AH117" s="209">
        <f t="shared" si="14"/>
        <v>3.7625345689554588E-3</v>
      </c>
      <c r="AI117" s="209">
        <f t="shared" si="15"/>
        <v>3.7463047866679133E-3</v>
      </c>
      <c r="AJ117" s="179">
        <f t="shared" si="16"/>
        <v>3.743301076797326E-3</v>
      </c>
    </row>
    <row r="118" spans="10:36" x14ac:dyDescent="0.2">
      <c r="J118" s="190"/>
      <c r="K118" s="190"/>
      <c r="AF118" s="208">
        <f>_xll.qlCalendarAdvance(Calendar,AF117,"1d","mf",,Trigger)</f>
        <v>42122</v>
      </c>
      <c r="AG118" s="219">
        <f>_xll.qlDayCounterYearFraction(DayCounterON,SettlementDate,AF118,,,Trigger)</f>
        <v>0.46027397260273972</v>
      </c>
      <c r="AH118" s="209">
        <f t="shared" si="14"/>
        <v>3.7625345689554588E-3</v>
      </c>
      <c r="AI118" s="209">
        <f t="shared" si="15"/>
        <v>3.7473518693961418E-3</v>
      </c>
      <c r="AJ118" s="179">
        <f t="shared" si="16"/>
        <v>3.7443093232520357E-3</v>
      </c>
    </row>
    <row r="119" spans="10:36" x14ac:dyDescent="0.2">
      <c r="J119" s="190"/>
      <c r="K119" s="190"/>
      <c r="AF119" s="208">
        <f>_xll.qlCalendarAdvance(Calendar,AF118,"1d","mf",,Trigger)</f>
        <v>42123</v>
      </c>
      <c r="AG119" s="219">
        <f>_xll.qlDayCounterYearFraction(DayCounterON,SettlementDate,AF119,,,Trigger)</f>
        <v>0.46301369863013697</v>
      </c>
      <c r="AH119" s="209">
        <f t="shared" si="14"/>
        <v>3.7625345689554588E-3</v>
      </c>
      <c r="AI119" s="209">
        <f t="shared" si="15"/>
        <v>3.7483989521243707E-3</v>
      </c>
      <c r="AJ119" s="179">
        <f t="shared" si="16"/>
        <v>3.7453182063669674E-3</v>
      </c>
    </row>
    <row r="120" spans="10:36" x14ac:dyDescent="0.2">
      <c r="J120" s="190"/>
      <c r="K120" s="190"/>
      <c r="AF120" s="208">
        <f>_xll.qlCalendarAdvance(Calendar,AF119,"1d","mf",,Trigger)</f>
        <v>42124</v>
      </c>
      <c r="AG120" s="219">
        <f>_xll.qlDayCounterYearFraction(DayCounterON,SettlementDate,AF120,,,Trigger)</f>
        <v>0.46575342465753422</v>
      </c>
      <c r="AH120" s="209">
        <f t="shared" si="14"/>
        <v>3.7625345689554588E-3</v>
      </c>
      <c r="AI120" s="209">
        <f t="shared" si="15"/>
        <v>3.7494460348525991E-3</v>
      </c>
      <c r="AJ120" s="179">
        <f t="shared" si="16"/>
        <v>3.7463277261421202E-3</v>
      </c>
    </row>
    <row r="121" spans="10:36" x14ac:dyDescent="0.2">
      <c r="J121" s="190"/>
      <c r="K121" s="190"/>
      <c r="AF121" s="208">
        <f>_xll.qlCalendarAdvance(Calendar,AF120,"1d","mf",,Trigger)</f>
        <v>42128</v>
      </c>
      <c r="AG121" s="219">
        <f>_xll.qlDayCounterYearFraction(DayCounterON,SettlementDate,AF121,,,Trigger)</f>
        <v>0.47671232876712327</v>
      </c>
      <c r="AH121" s="209">
        <f t="shared" si="14"/>
        <v>3.7625345689554588E-3</v>
      </c>
      <c r="AI121" s="209">
        <f t="shared" si="15"/>
        <v>3.7536343657655138E-3</v>
      </c>
      <c r="AJ121" s="179">
        <f t="shared" si="16"/>
        <v>3.7503721718449485E-3</v>
      </c>
    </row>
    <row r="122" spans="10:36" x14ac:dyDescent="0.2">
      <c r="J122" s="174"/>
      <c r="K122" s="190"/>
      <c r="AF122" s="208">
        <f>_xll.qlCalendarAdvance(Calendar,AF121,"1d","mf",,Trigger)</f>
        <v>42129</v>
      </c>
      <c r="AG122" s="219">
        <f>_xll.qlDayCounterYearFraction(DayCounterON,SettlementDate,AF122,,,Trigger)</f>
        <v>0.47945205479452052</v>
      </c>
      <c r="AH122" s="209">
        <f t="shared" si="14"/>
        <v>3.7625345689554588E-3</v>
      </c>
      <c r="AI122" s="209">
        <f t="shared" si="15"/>
        <v>3.7546814484937423E-3</v>
      </c>
      <c r="AJ122" s="179">
        <f t="shared" si="16"/>
        <v>3.7513848749212097E-3</v>
      </c>
    </row>
    <row r="123" spans="10:36" x14ac:dyDescent="0.2">
      <c r="J123" s="174"/>
      <c r="K123" s="190"/>
      <c r="AF123" s="208">
        <f>_xll.qlCalendarAdvance(Calendar,AF122,"1d","mf",,Trigger)</f>
        <v>42130</v>
      </c>
      <c r="AG123" s="219">
        <f>_xll.qlDayCounterYearFraction(DayCounterON,SettlementDate,AF123,,,Trigger)</f>
        <v>0.48219178082191783</v>
      </c>
      <c r="AH123" s="209">
        <f t="shared" si="14"/>
        <v>3.7625345689554588E-3</v>
      </c>
      <c r="AI123" s="209">
        <f t="shared" si="15"/>
        <v>3.7557285312219708E-3</v>
      </c>
      <c r="AJ123" s="179">
        <f t="shared" si="16"/>
        <v>3.7523982146576923E-3</v>
      </c>
    </row>
    <row r="124" spans="10:36" x14ac:dyDescent="0.2">
      <c r="J124" s="174"/>
      <c r="K124" s="190"/>
      <c r="AF124" s="208">
        <f>_xll.qlCalendarAdvance(Calendar,AF123,"1d","mf",,Trigger)</f>
        <v>42131</v>
      </c>
      <c r="AG124" s="219">
        <f>_xll.qlDayCounterYearFraction(DayCounterON,SettlementDate,AF124,,,Trigger)</f>
        <v>0.48493150684931507</v>
      </c>
      <c r="AH124" s="209">
        <f t="shared" si="14"/>
        <v>3.7625345689554588E-3</v>
      </c>
      <c r="AI124" s="209">
        <f t="shared" si="15"/>
        <v>3.7567756139501997E-3</v>
      </c>
      <c r="AJ124" s="179">
        <f t="shared" si="16"/>
        <v>3.7534121910543965E-3</v>
      </c>
    </row>
    <row r="125" spans="10:36" x14ac:dyDescent="0.2">
      <c r="J125" s="174"/>
      <c r="K125" s="190"/>
      <c r="AF125" s="208">
        <f>_xll.qlCalendarAdvance(Calendar,AF124,"1d","mf",,Trigger)</f>
        <v>42132</v>
      </c>
      <c r="AG125" s="219">
        <f>_xll.qlDayCounterYearFraction(DayCounterON,SettlementDate,AF125,,,Trigger)</f>
        <v>0.48767123287671232</v>
      </c>
      <c r="AH125" s="209">
        <f t="shared" si="14"/>
        <v>3.7625345689554588E-3</v>
      </c>
      <c r="AI125" s="209">
        <f t="shared" si="15"/>
        <v>3.7578226966784281E-3</v>
      </c>
      <c r="AJ125" s="179">
        <f t="shared" si="16"/>
        <v>3.7544268041113226E-3</v>
      </c>
    </row>
    <row r="126" spans="10:36" x14ac:dyDescent="0.2">
      <c r="J126" s="174"/>
      <c r="K126" s="190"/>
      <c r="AF126" s="208">
        <f>_xll.qlCalendarAdvance(Calendar,AF125,"1d","mf",,Trigger)</f>
        <v>42135</v>
      </c>
      <c r="AG126" s="219">
        <f>_xll.qlDayCounterYearFraction(DayCounterON,SettlementDate,AF126,,,Trigger)</f>
        <v>0.49589041095890413</v>
      </c>
      <c r="AH126" s="209">
        <f t="shared" si="14"/>
        <v>3.7625345689554588E-3</v>
      </c>
      <c r="AI126" s="209">
        <f t="shared" si="15"/>
        <v>3.7609639448631139E-3</v>
      </c>
      <c r="AJ126" s="179">
        <f t="shared" si="16"/>
        <v>3.7574744632434304E-3</v>
      </c>
    </row>
    <row r="127" spans="10:36" x14ac:dyDescent="0.2">
      <c r="J127" s="174"/>
      <c r="K127" s="190"/>
      <c r="AF127" s="208">
        <f>_xll.qlCalendarAdvance(Calendar,AF126,"1d","mf",,Trigger)</f>
        <v>42136</v>
      </c>
      <c r="AG127" s="219">
        <f>_xll.qlDayCounterYearFraction(DayCounterON,SettlementDate,AF127,,,Trigger)</f>
        <v>0.49863013698630138</v>
      </c>
      <c r="AH127" s="209">
        <f t="shared" si="14"/>
        <v>3.7625345689554588E-3</v>
      </c>
      <c r="AI127" s="209">
        <f t="shared" si="15"/>
        <v>3.7620110275913428E-3</v>
      </c>
      <c r="AJ127" s="179">
        <f t="shared" si="16"/>
        <v>3.7584916229412425E-3</v>
      </c>
    </row>
    <row r="128" spans="10:36" x14ac:dyDescent="0.2">
      <c r="J128" s="174"/>
      <c r="K128" s="174"/>
      <c r="AF128" s="208">
        <f>_xll.qlCalendarAdvance(Calendar,AF127,"1d","mf",,Trigger)</f>
        <v>42137</v>
      </c>
      <c r="AG128" s="219">
        <f>_xll.qlDayCounterYearFraction(DayCounterON,SettlementDate,AF128,,,Trigger)</f>
        <v>0.50136986301369868</v>
      </c>
      <c r="AH128" s="209">
        <f t="shared" si="14"/>
        <v>3.7625345689554588E-3</v>
      </c>
      <c r="AI128" s="209">
        <f t="shared" si="15"/>
        <v>3.7630581103195713E-3</v>
      </c>
      <c r="AJ128" s="179">
        <f t="shared" si="16"/>
        <v>3.7595094192992766E-3</v>
      </c>
    </row>
    <row r="129" spans="10:36" x14ac:dyDescent="0.2">
      <c r="J129" s="174"/>
      <c r="K129" s="174"/>
      <c r="AF129" s="208">
        <f>_xll.qlCalendarAdvance(Calendar,AF128,"1d","mf",,Trigger)</f>
        <v>42138</v>
      </c>
      <c r="AG129" s="219">
        <f>_xll.qlDayCounterYearFraction(DayCounterON,SettlementDate,AF129,,,Trigger)</f>
        <v>0.50410958904109593</v>
      </c>
      <c r="AH129" s="209">
        <f t="shared" si="14"/>
        <v>3.7625345689554588E-3</v>
      </c>
      <c r="AI129" s="209">
        <f t="shared" si="15"/>
        <v>3.7641051930478002E-3</v>
      </c>
      <c r="AJ129" s="179">
        <f t="shared" si="16"/>
        <v>3.7605278523175321E-3</v>
      </c>
    </row>
    <row r="130" spans="10:36" x14ac:dyDescent="0.2">
      <c r="J130" s="174"/>
      <c r="K130" s="174"/>
      <c r="AF130" s="208">
        <f>_xll.qlCalendarAdvance(Calendar,AF129,"1d","mf",,Trigger)</f>
        <v>42139</v>
      </c>
      <c r="AG130" s="219">
        <f>_xll.qlDayCounterYearFraction(DayCounterON,SettlementDate,AF130,,,Trigger)</f>
        <v>0.50684931506849318</v>
      </c>
      <c r="AH130" s="209">
        <f t="shared" si="14"/>
        <v>3.7625345689554588E-3</v>
      </c>
      <c r="AI130" s="209">
        <f t="shared" si="15"/>
        <v>3.7651522757760287E-3</v>
      </c>
      <c r="AJ130" s="179">
        <f t="shared" si="16"/>
        <v>3.7615469219960096E-3</v>
      </c>
    </row>
    <row r="131" spans="10:36" x14ac:dyDescent="0.2">
      <c r="J131" s="174"/>
      <c r="K131" s="174"/>
      <c r="AF131" s="208">
        <f>_xll.qlCalendarAdvance(Calendar,AF130,"1d","mf",,Trigger)</f>
        <v>42142</v>
      </c>
      <c r="AG131" s="219">
        <f>_xll.qlDayCounterYearFraction(DayCounterON,SettlementDate,AF131,,,Trigger)</f>
        <v>0.51506849315068493</v>
      </c>
      <c r="AH131" s="209">
        <f t="shared" ref="AH131:AH194" si="17">$W$13</f>
        <v>3.7625345689554588E-3</v>
      </c>
      <c r="AI131" s="209">
        <f t="shared" si="15"/>
        <v>3.7682935239607145E-3</v>
      </c>
      <c r="AJ131" s="179">
        <f t="shared" si="16"/>
        <v>3.7646079509927712E-3</v>
      </c>
    </row>
    <row r="132" spans="10:36" x14ac:dyDescent="0.2">
      <c r="J132" s="174"/>
      <c r="K132" s="174"/>
      <c r="AF132" s="208">
        <f>_xll.qlCalendarAdvance(Calendar,AF131,"1d","mf",,Trigger)</f>
        <v>42143</v>
      </c>
      <c r="AG132" s="219">
        <f>_xll.qlDayCounterYearFraction(DayCounterON,SettlementDate,AF132,,,Trigger)</f>
        <v>0.51780821917808217</v>
      </c>
      <c r="AH132" s="209">
        <f t="shared" si="17"/>
        <v>3.7625345689554588E-3</v>
      </c>
      <c r="AI132" s="209">
        <f t="shared" si="15"/>
        <v>3.7693406066889434E-3</v>
      </c>
      <c r="AJ132" s="179">
        <f t="shared" si="16"/>
        <v>3.7656295673121351E-3</v>
      </c>
    </row>
    <row r="133" spans="10:36" x14ac:dyDescent="0.2">
      <c r="J133" s="174"/>
      <c r="K133" s="174"/>
      <c r="AF133" s="208">
        <f>_xll.qlCalendarAdvance(Calendar,AF132,"1d","mf",,Trigger)</f>
        <v>42144</v>
      </c>
      <c r="AG133" s="219">
        <f>_xll.qlDayCounterYearFraction(DayCounterON,SettlementDate,AF133,,,Trigger)</f>
        <v>0.52054794520547942</v>
      </c>
      <c r="AH133" s="209">
        <f t="shared" si="17"/>
        <v>3.7625345689554588E-3</v>
      </c>
      <c r="AI133" s="209">
        <f t="shared" si="15"/>
        <v>3.7703876894171718E-3</v>
      </c>
      <c r="AJ133" s="179">
        <f t="shared" si="16"/>
        <v>3.7666518202917202E-3</v>
      </c>
    </row>
    <row r="134" spans="10:36" x14ac:dyDescent="0.2">
      <c r="J134" s="174"/>
      <c r="K134" s="174"/>
      <c r="AF134" s="208">
        <f>_xll.qlCalendarAdvance(Calendar,AF133,"1d","mf",,Trigger)</f>
        <v>42145</v>
      </c>
      <c r="AG134" s="219">
        <f>_xll.qlDayCounterYearFraction(DayCounterON,SettlementDate,AF134,,,Trigger)</f>
        <v>0.52328767123287667</v>
      </c>
      <c r="AH134" s="209">
        <f t="shared" si="17"/>
        <v>3.7625345689554588E-3</v>
      </c>
      <c r="AI134" s="209">
        <f t="shared" si="15"/>
        <v>3.7714347721454003E-3</v>
      </c>
      <c r="AJ134" s="179">
        <f t="shared" si="16"/>
        <v>3.7676747099315276E-3</v>
      </c>
    </row>
    <row r="135" spans="10:36" x14ac:dyDescent="0.2">
      <c r="J135" s="174"/>
      <c r="K135" s="174"/>
      <c r="AF135" s="208">
        <f>_xll.qlCalendarAdvance(Calendar,AF134,"1d","mf",,Trigger)</f>
        <v>42146</v>
      </c>
      <c r="AG135" s="219">
        <f>_xll.qlDayCounterYearFraction(DayCounterON,SettlementDate,AF135,,,Trigger)</f>
        <v>0.52602739726027392</v>
      </c>
      <c r="AH135" s="209">
        <f t="shared" si="17"/>
        <v>3.7625345689554588E-3</v>
      </c>
      <c r="AI135" s="209">
        <f t="shared" si="15"/>
        <v>3.7724818548736292E-3</v>
      </c>
      <c r="AJ135" s="179">
        <f t="shared" si="16"/>
        <v>3.768698236231556E-3</v>
      </c>
    </row>
    <row r="136" spans="10:36" x14ac:dyDescent="0.2">
      <c r="J136" s="174"/>
      <c r="K136" s="174"/>
      <c r="AF136" s="208">
        <f>_xll.qlCalendarAdvance(Calendar,AF135,"1d","mf",,Trigger)</f>
        <v>42149</v>
      </c>
      <c r="AG136" s="219">
        <f>_xll.qlDayCounterYearFraction(DayCounterON,SettlementDate,AF136,,,Trigger)</f>
        <v>0.53424657534246578</v>
      </c>
      <c r="AH136" s="209">
        <f t="shared" si="17"/>
        <v>3.7625345689554588E-3</v>
      </c>
      <c r="AI136" s="209">
        <f t="shared" si="15"/>
        <v>3.775623103058315E-3</v>
      </c>
      <c r="AJ136" s="179">
        <f t="shared" si="16"/>
        <v>3.7717726350929718E-3</v>
      </c>
    </row>
    <row r="137" spans="10:36" x14ac:dyDescent="0.2">
      <c r="J137" s="174"/>
      <c r="K137" s="174"/>
      <c r="AF137" s="208">
        <f>_xll.qlCalendarAdvance(Calendar,AF136,"1d","mf",,Trigger)</f>
        <v>42150</v>
      </c>
      <c r="AG137" s="219">
        <f>_xll.qlDayCounterYearFraction(DayCounterON,SettlementDate,AF137,,,Trigger)</f>
        <v>0.53698630136986303</v>
      </c>
      <c r="AH137" s="209">
        <f t="shared" si="17"/>
        <v>3.7625345689554588E-3</v>
      </c>
      <c r="AI137" s="209">
        <f t="shared" si="15"/>
        <v>3.7766701857865435E-3</v>
      </c>
      <c r="AJ137" s="179">
        <f t="shared" si="16"/>
        <v>3.7727987080338867E-3</v>
      </c>
    </row>
    <row r="138" spans="10:36" x14ac:dyDescent="0.2">
      <c r="K138" s="174"/>
      <c r="AF138" s="208">
        <f>_xll.qlCalendarAdvance(Calendar,AF137,"1d","mf",,Trigger)</f>
        <v>42151</v>
      </c>
      <c r="AG138" s="219">
        <f>_xll.qlDayCounterYearFraction(DayCounterON,SettlementDate,AF138,,,Trigger)</f>
        <v>0.53972602739726028</v>
      </c>
      <c r="AH138" s="209">
        <f t="shared" si="17"/>
        <v>3.7625345689554588E-3</v>
      </c>
      <c r="AI138" s="209">
        <f t="shared" si="15"/>
        <v>3.7777172685147724E-3</v>
      </c>
      <c r="AJ138" s="179">
        <f t="shared" si="16"/>
        <v>3.773825417635024E-3</v>
      </c>
    </row>
    <row r="139" spans="10:36" x14ac:dyDescent="0.2">
      <c r="K139" s="174"/>
      <c r="AF139" s="208">
        <f>_xll.qlCalendarAdvance(Calendar,AF138,"1d","mf",,Trigger)</f>
        <v>42152</v>
      </c>
      <c r="AG139" s="219">
        <f>_xll.qlDayCounterYearFraction(DayCounterON,SettlementDate,AF139,,,Trigger)</f>
        <v>0.54246575342465753</v>
      </c>
      <c r="AH139" s="209">
        <f t="shared" si="17"/>
        <v>3.7625345689554588E-3</v>
      </c>
      <c r="AI139" s="209">
        <f t="shared" si="15"/>
        <v>3.7787643512430008E-3</v>
      </c>
      <c r="AJ139" s="179">
        <f t="shared" si="16"/>
        <v>3.7748527638963823E-3</v>
      </c>
    </row>
    <row r="140" spans="10:36" x14ac:dyDescent="0.2">
      <c r="K140" s="174"/>
      <c r="AF140" s="208">
        <f>_xll.qlCalendarAdvance(Calendar,AF139,"1d","mf",,Trigger)</f>
        <v>42153</v>
      </c>
      <c r="AG140" s="219">
        <f>_xll.qlDayCounterYearFraction(DayCounterON,SettlementDate,AF140,,,Trigger)</f>
        <v>0.54520547945205478</v>
      </c>
      <c r="AH140" s="209">
        <f t="shared" si="17"/>
        <v>3.7625345689554588E-3</v>
      </c>
      <c r="AI140" s="209">
        <f t="shared" ref="AI140:AI203" si="18">$W$10+$W$9*AG140</f>
        <v>3.7798114339712293E-3</v>
      </c>
      <c r="AJ140" s="179">
        <f t="shared" ref="AJ140:AJ203" si="19">($W$5+$W$4*AG140+$W$3*AG140^2)</f>
        <v>3.7758807468179622E-3</v>
      </c>
    </row>
    <row r="141" spans="10:36" x14ac:dyDescent="0.2">
      <c r="K141" s="174"/>
      <c r="AF141" s="208">
        <f>_xll.qlCalendarAdvance(Calendar,AF140,"1d","mf",,Trigger)</f>
        <v>42156</v>
      </c>
      <c r="AG141" s="219">
        <f>_xll.qlDayCounterYearFraction(DayCounterON,SettlementDate,AF141,,,Trigger)</f>
        <v>0.55342465753424652</v>
      </c>
      <c r="AH141" s="209">
        <f t="shared" si="17"/>
        <v>3.7625345689554588E-3</v>
      </c>
      <c r="AI141" s="209">
        <f t="shared" si="18"/>
        <v>3.7829526821559155E-3</v>
      </c>
      <c r="AJ141" s="179">
        <f t="shared" si="19"/>
        <v>3.7789685155440317E-3</v>
      </c>
    </row>
    <row r="142" spans="10:36" x14ac:dyDescent="0.2">
      <c r="K142" s="174"/>
      <c r="AF142" s="208">
        <f>_xll.qlCalendarAdvance(Calendar,AF141,"1d","mf",,Trigger)</f>
        <v>42157</v>
      </c>
      <c r="AG142" s="219">
        <f>_xll.qlDayCounterYearFraction(DayCounterON,SettlementDate,AF142,,,Trigger)</f>
        <v>0.55616438356164388</v>
      </c>
      <c r="AH142" s="209">
        <f t="shared" si="17"/>
        <v>3.7625345689554588E-3</v>
      </c>
      <c r="AI142" s="209">
        <f t="shared" si="18"/>
        <v>3.783999764884144E-3</v>
      </c>
      <c r="AJ142" s="179">
        <f t="shared" si="19"/>
        <v>3.7799990451064984E-3</v>
      </c>
    </row>
    <row r="143" spans="10:36" x14ac:dyDescent="0.2">
      <c r="K143" s="174"/>
      <c r="AF143" s="208">
        <f>_xll.qlCalendarAdvance(Calendar,AF142,"1d","mf",,Trigger)</f>
        <v>42158</v>
      </c>
      <c r="AG143" s="219">
        <f>_xll.qlDayCounterYearFraction(DayCounterON,SettlementDate,AF143,,,Trigger)</f>
        <v>0.55890410958904113</v>
      </c>
      <c r="AH143" s="209">
        <f t="shared" si="17"/>
        <v>3.7625345689554588E-3</v>
      </c>
      <c r="AI143" s="209">
        <f t="shared" si="18"/>
        <v>3.7850468476123725E-3</v>
      </c>
      <c r="AJ143" s="179">
        <f t="shared" si="19"/>
        <v>3.7810302113291867E-3</v>
      </c>
    </row>
    <row r="144" spans="10:36" x14ac:dyDescent="0.2">
      <c r="AF144" s="208">
        <f>_xll.qlCalendarAdvance(Calendar,AF143,"1d","mf",,Trigger)</f>
        <v>42159</v>
      </c>
      <c r="AG144" s="219">
        <f>_xll.qlDayCounterYearFraction(DayCounterON,SettlementDate,AF144,,,Trigger)</f>
        <v>0.56164383561643838</v>
      </c>
      <c r="AH144" s="209">
        <f t="shared" si="17"/>
        <v>3.7625345689554588E-3</v>
      </c>
      <c r="AI144" s="209">
        <f t="shared" si="18"/>
        <v>3.7860939303406014E-3</v>
      </c>
      <c r="AJ144" s="179">
        <f t="shared" si="19"/>
        <v>3.782062014212096E-3</v>
      </c>
    </row>
    <row r="145" spans="32:36" x14ac:dyDescent="0.2">
      <c r="AF145" s="208">
        <f>_xll.qlCalendarAdvance(Calendar,AF144,"1d","mf",,Trigger)</f>
        <v>42160</v>
      </c>
      <c r="AG145" s="219">
        <f>_xll.qlDayCounterYearFraction(DayCounterON,SettlementDate,AF145,,,Trigger)</f>
        <v>0.56438356164383563</v>
      </c>
      <c r="AH145" s="209">
        <f t="shared" si="17"/>
        <v>3.7625345689554588E-3</v>
      </c>
      <c r="AI145" s="209">
        <f t="shared" si="18"/>
        <v>3.7871410130688298E-3</v>
      </c>
      <c r="AJ145" s="179">
        <f t="shared" si="19"/>
        <v>3.7830944537552277E-3</v>
      </c>
    </row>
    <row r="146" spans="32:36" x14ac:dyDescent="0.2">
      <c r="AF146" s="208">
        <f>_xll.qlCalendarAdvance(Calendar,AF145,"1d","mf",,Trigger)</f>
        <v>42163</v>
      </c>
      <c r="AG146" s="219">
        <f>_xll.qlDayCounterYearFraction(DayCounterON,SettlementDate,AF146,,,Trigger)</f>
        <v>0.57260273972602738</v>
      </c>
      <c r="AH146" s="209">
        <f t="shared" si="17"/>
        <v>3.7625345689554588E-3</v>
      </c>
      <c r="AI146" s="209">
        <f t="shared" si="18"/>
        <v>3.7902822612535156E-3</v>
      </c>
      <c r="AJ146" s="179">
        <f t="shared" si="19"/>
        <v>3.7861955923459509E-3</v>
      </c>
    </row>
    <row r="147" spans="32:36" x14ac:dyDescent="0.2">
      <c r="AF147" s="208">
        <f>_xll.qlCalendarAdvance(Calendar,AF146,"1d","mf",,Trigger)</f>
        <v>42164</v>
      </c>
      <c r="AG147" s="219">
        <f>_xll.qlDayCounterYearFraction(DayCounterON,SettlementDate,AF147,,,Trigger)</f>
        <v>0.57534246575342463</v>
      </c>
      <c r="AH147" s="209">
        <f t="shared" si="17"/>
        <v>3.7625345689554588E-3</v>
      </c>
      <c r="AI147" s="209">
        <f t="shared" si="18"/>
        <v>3.7913293439817445E-3</v>
      </c>
      <c r="AJ147" s="179">
        <f t="shared" si="19"/>
        <v>3.7872305785299691E-3</v>
      </c>
    </row>
    <row r="148" spans="32:36" x14ac:dyDescent="0.2">
      <c r="AF148" s="208">
        <f>_xll.qlCalendarAdvance(Calendar,AF147,"1d","mf",,Trigger)</f>
        <v>42165</v>
      </c>
      <c r="AG148" s="219">
        <f>_xll.qlDayCounterYearFraction(DayCounterON,SettlementDate,AF148,,,Trigger)</f>
        <v>0.57808219178082187</v>
      </c>
      <c r="AH148" s="209">
        <f t="shared" si="17"/>
        <v>3.7625345689554588E-3</v>
      </c>
      <c r="AI148" s="209">
        <f t="shared" si="18"/>
        <v>3.792376426709973E-3</v>
      </c>
      <c r="AJ148" s="179">
        <f t="shared" si="19"/>
        <v>3.7882662013742087E-3</v>
      </c>
    </row>
    <row r="149" spans="32:36" x14ac:dyDescent="0.2">
      <c r="AF149" s="208">
        <f>_xll.qlCalendarAdvance(Calendar,AF148,"1d","mf",,Trigger)</f>
        <v>42166</v>
      </c>
      <c r="AG149" s="219">
        <f>_xll.qlDayCounterYearFraction(DayCounterON,SettlementDate,AF149,,,Trigger)</f>
        <v>0.58082191780821912</v>
      </c>
      <c r="AH149" s="209">
        <f t="shared" si="17"/>
        <v>3.7625345689554588E-3</v>
      </c>
      <c r="AI149" s="209">
        <f t="shared" si="18"/>
        <v>3.7934235094382015E-3</v>
      </c>
      <c r="AJ149" s="179">
        <f t="shared" si="19"/>
        <v>3.7893024608786695E-3</v>
      </c>
    </row>
    <row r="150" spans="32:36" x14ac:dyDescent="0.2">
      <c r="AF150" s="208">
        <f>_xll.qlCalendarAdvance(Calendar,AF149,"1d","mf",,Trigger)</f>
        <v>42167</v>
      </c>
      <c r="AG150" s="219">
        <f>_xll.qlDayCounterYearFraction(DayCounterON,SettlementDate,AF150,,,Trigger)</f>
        <v>0.58356164383561648</v>
      </c>
      <c r="AH150" s="209">
        <f t="shared" si="17"/>
        <v>3.7625345689554588E-3</v>
      </c>
      <c r="AI150" s="209">
        <f t="shared" si="18"/>
        <v>3.7944705921664303E-3</v>
      </c>
      <c r="AJ150" s="179">
        <f t="shared" si="19"/>
        <v>3.7903393570433526E-3</v>
      </c>
    </row>
    <row r="151" spans="32:36" x14ac:dyDescent="0.2">
      <c r="AF151" s="208">
        <f>_xll.qlCalendarAdvance(Calendar,AF150,"1d","mf",,Trigger)</f>
        <v>42170</v>
      </c>
      <c r="AG151" s="219">
        <f>_xll.qlDayCounterYearFraction(DayCounterON,SettlementDate,AF151,,,Trigger)</f>
        <v>0.59178082191780823</v>
      </c>
      <c r="AH151" s="209">
        <f t="shared" si="17"/>
        <v>3.7625345689554588E-3</v>
      </c>
      <c r="AI151" s="209">
        <f t="shared" si="18"/>
        <v>3.7976118403511162E-3</v>
      </c>
      <c r="AJ151" s="179">
        <f t="shared" si="19"/>
        <v>3.7934538654987304E-3</v>
      </c>
    </row>
    <row r="152" spans="32:36" x14ac:dyDescent="0.2">
      <c r="AF152" s="208">
        <f>_xll.qlCalendarAdvance(Calendar,AF151,"1d","mf",,Trigger)</f>
        <v>42171</v>
      </c>
      <c r="AG152" s="219">
        <f>_xll.qlDayCounterYearFraction(DayCounterON,SettlementDate,AF152,,,Trigger)</f>
        <v>0.59452054794520548</v>
      </c>
      <c r="AH152" s="209">
        <f t="shared" si="17"/>
        <v>3.7625345689554588E-3</v>
      </c>
      <c r="AI152" s="209">
        <f t="shared" si="18"/>
        <v>3.7986589230793446E-3</v>
      </c>
      <c r="AJ152" s="179">
        <f t="shared" si="19"/>
        <v>3.7944933083042995E-3</v>
      </c>
    </row>
    <row r="153" spans="32:36" x14ac:dyDescent="0.2">
      <c r="AF153" s="208">
        <f>_xll.qlCalendarAdvance(Calendar,AF152,"1d","mf",,Trigger)</f>
        <v>42172</v>
      </c>
      <c r="AG153" s="219">
        <f>_xll.qlDayCounterYearFraction(DayCounterON,SettlementDate,AF153,,,Trigger)</f>
        <v>0.59726027397260273</v>
      </c>
      <c r="AH153" s="209">
        <f t="shared" si="17"/>
        <v>3.7625345689554588E-3</v>
      </c>
      <c r="AI153" s="209">
        <f t="shared" si="18"/>
        <v>3.7997060058075735E-3</v>
      </c>
      <c r="AJ153" s="179">
        <f t="shared" si="19"/>
        <v>3.7955333877700901E-3</v>
      </c>
    </row>
    <row r="154" spans="32:36" x14ac:dyDescent="0.2">
      <c r="AF154" s="208">
        <f>_xll.qlCalendarAdvance(Calendar,AF153,"1d","mf",,Trigger)</f>
        <v>42173</v>
      </c>
      <c r="AG154" s="219">
        <f>_xll.qlDayCounterYearFraction(DayCounterON,SettlementDate,AF154,,,Trigger)</f>
        <v>0.6</v>
      </c>
      <c r="AH154" s="209">
        <f t="shared" si="17"/>
        <v>3.7625345689554588E-3</v>
      </c>
      <c r="AI154" s="209">
        <f t="shared" si="18"/>
        <v>3.800753088535802E-3</v>
      </c>
      <c r="AJ154" s="179">
        <f t="shared" si="19"/>
        <v>3.7965741038961027E-3</v>
      </c>
    </row>
    <row r="155" spans="32:36" x14ac:dyDescent="0.2">
      <c r="AF155" s="208">
        <f>_xll.qlCalendarAdvance(Calendar,AF154,"1d","mf",,Trigger)</f>
        <v>42174</v>
      </c>
      <c r="AG155" s="219">
        <f>_xll.qlDayCounterYearFraction(DayCounterON,SettlementDate,AF155,,,Trigger)</f>
        <v>0.60273972602739723</v>
      </c>
      <c r="AH155" s="209">
        <f t="shared" si="17"/>
        <v>3.7625345689554588E-3</v>
      </c>
      <c r="AI155" s="209">
        <f t="shared" si="18"/>
        <v>3.8018001712640309E-3</v>
      </c>
      <c r="AJ155" s="179">
        <f t="shared" si="19"/>
        <v>3.7976154566823368E-3</v>
      </c>
    </row>
    <row r="156" spans="32:36" x14ac:dyDescent="0.2">
      <c r="AF156" s="208">
        <f>_xll.qlCalendarAdvance(Calendar,AF155,"1d","mf",,Trigger)</f>
        <v>42177</v>
      </c>
      <c r="AG156" s="219">
        <f>_xll.qlDayCounterYearFraction(DayCounterON,SettlementDate,AF156,,,Trigger)</f>
        <v>0.61095890410958908</v>
      </c>
      <c r="AH156" s="209">
        <f t="shared" si="17"/>
        <v>3.7625345689554588E-3</v>
      </c>
      <c r="AI156" s="209">
        <f t="shared" si="18"/>
        <v>3.8049414194487167E-3</v>
      </c>
      <c r="AJ156" s="179">
        <f t="shared" si="19"/>
        <v>3.8007433350023684E-3</v>
      </c>
    </row>
    <row r="157" spans="32:36" x14ac:dyDescent="0.2">
      <c r="AF157" s="208">
        <f>_xll.qlCalendarAdvance(Calendar,AF156,"1d","mf",,Trigger)</f>
        <v>42178</v>
      </c>
      <c r="AG157" s="219">
        <f>_xll.qlDayCounterYearFraction(DayCounterON,SettlementDate,AF157,,,Trigger)</f>
        <v>0.61369863013698633</v>
      </c>
      <c r="AH157" s="209">
        <f t="shared" si="17"/>
        <v>3.7625345689554588E-3</v>
      </c>
      <c r="AI157" s="209">
        <f t="shared" si="18"/>
        <v>3.8059885021769452E-3</v>
      </c>
      <c r="AJ157" s="179">
        <f t="shared" si="19"/>
        <v>3.8017872344294889E-3</v>
      </c>
    </row>
    <row r="158" spans="32:36" x14ac:dyDescent="0.2">
      <c r="AF158" s="208">
        <f>_xll.qlCalendarAdvance(Calendar,AF157,"1d","mf",,Trigger)</f>
        <v>42179</v>
      </c>
      <c r="AG158" s="219">
        <f>_xll.qlDayCounterYearFraction(DayCounterON,SettlementDate,AF158,,,Trigger)</f>
        <v>0.61643835616438358</v>
      </c>
      <c r="AH158" s="209">
        <f t="shared" si="17"/>
        <v>3.7625345689554588E-3</v>
      </c>
      <c r="AI158" s="209">
        <f t="shared" si="18"/>
        <v>3.8070355849051741E-3</v>
      </c>
      <c r="AJ158" s="179">
        <f t="shared" si="19"/>
        <v>3.8028317705168313E-3</v>
      </c>
    </row>
    <row r="159" spans="32:36" x14ac:dyDescent="0.2">
      <c r="AF159" s="208">
        <f>_xll.qlCalendarAdvance(Calendar,AF158,"1d","mf",,Trigger)</f>
        <v>42180</v>
      </c>
      <c r="AG159" s="219">
        <f>_xll.qlDayCounterYearFraction(DayCounterON,SettlementDate,AF159,,,Trigger)</f>
        <v>0.61917808219178083</v>
      </c>
      <c r="AH159" s="209">
        <f t="shared" si="17"/>
        <v>3.7625345689554588E-3</v>
      </c>
      <c r="AI159" s="209">
        <f t="shared" si="18"/>
        <v>3.8080826676334025E-3</v>
      </c>
      <c r="AJ159" s="179">
        <f t="shared" si="19"/>
        <v>3.8038769432643948E-3</v>
      </c>
    </row>
    <row r="160" spans="32:36" x14ac:dyDescent="0.2">
      <c r="AF160" s="208">
        <f>_xll.qlCalendarAdvance(Calendar,AF159,"1d","mf",,Trigger)</f>
        <v>42181</v>
      </c>
      <c r="AG160" s="219">
        <f>_xll.qlDayCounterYearFraction(DayCounterON,SettlementDate,AF160,,,Trigger)</f>
        <v>0.62191780821917808</v>
      </c>
      <c r="AH160" s="209">
        <f t="shared" si="17"/>
        <v>3.7625345689554588E-3</v>
      </c>
      <c r="AI160" s="209">
        <f t="shared" si="18"/>
        <v>3.809129750361631E-3</v>
      </c>
      <c r="AJ160" s="179">
        <f t="shared" si="19"/>
        <v>3.8049227526721803E-3</v>
      </c>
    </row>
    <row r="161" spans="32:36" x14ac:dyDescent="0.2">
      <c r="AF161" s="208">
        <f>_xll.qlCalendarAdvance(Calendar,AF160,"1d","mf",,Trigger)</f>
        <v>42184</v>
      </c>
      <c r="AG161" s="219">
        <f>_xll.qlDayCounterYearFraction(DayCounterON,SettlementDate,AF161,,,Trigger)</f>
        <v>0.63013698630136983</v>
      </c>
      <c r="AH161" s="209">
        <f t="shared" si="17"/>
        <v>3.7625345689554588E-3</v>
      </c>
      <c r="AI161" s="209">
        <f t="shared" si="18"/>
        <v>3.8122709985463168E-3</v>
      </c>
      <c r="AJ161" s="179">
        <f t="shared" si="19"/>
        <v>3.8080640008568661E-3</v>
      </c>
    </row>
    <row r="162" spans="32:36" x14ac:dyDescent="0.2">
      <c r="AF162" s="208">
        <f>_xll.qlCalendarAdvance(Calendar,AF161,"1d","mf",,Trigger)</f>
        <v>42185</v>
      </c>
      <c r="AG162" s="219">
        <f>_xll.qlDayCounterYearFraction(DayCounterON,SettlementDate,AF162,,,Trigger)</f>
        <v>0.63287671232876708</v>
      </c>
      <c r="AH162" s="209">
        <f t="shared" si="17"/>
        <v>3.7625345689554588E-3</v>
      </c>
      <c r="AI162" s="209">
        <f t="shared" si="18"/>
        <v>3.8133180812745457E-3</v>
      </c>
      <c r="AJ162" s="179">
        <f t="shared" si="19"/>
        <v>3.809112356905538E-3</v>
      </c>
    </row>
    <row r="163" spans="32:36" x14ac:dyDescent="0.2">
      <c r="AF163" s="208">
        <f>_xll.qlCalendarAdvance(Calendar,AF162,"1d","mf",,Trigger)</f>
        <v>42186</v>
      </c>
      <c r="AG163" s="219">
        <f>_xll.qlDayCounterYearFraction(DayCounterON,SettlementDate,AF163,,,Trigger)</f>
        <v>0.63561643835616444</v>
      </c>
      <c r="AH163" s="209">
        <f t="shared" si="17"/>
        <v>3.7625345689554588E-3</v>
      </c>
      <c r="AI163" s="209">
        <f t="shared" si="18"/>
        <v>3.8143651640027742E-3</v>
      </c>
      <c r="AJ163" s="179">
        <f t="shared" si="19"/>
        <v>3.8101613496144319E-3</v>
      </c>
    </row>
    <row r="164" spans="32:36" x14ac:dyDescent="0.2">
      <c r="AF164" s="208">
        <f>_xll.qlCalendarAdvance(Calendar,AF163,"1d","mf",,Trigger)</f>
        <v>42187</v>
      </c>
      <c r="AG164" s="219">
        <f>_xll.qlDayCounterYearFraction(DayCounterON,SettlementDate,AF164,,,Trigger)</f>
        <v>0.63835616438356169</v>
      </c>
      <c r="AH164" s="209">
        <f t="shared" si="17"/>
        <v>3.7625345689554588E-3</v>
      </c>
      <c r="AI164" s="209">
        <f t="shared" si="18"/>
        <v>3.815412246731003E-3</v>
      </c>
      <c r="AJ164" s="179">
        <f t="shared" si="19"/>
        <v>3.8112109789835468E-3</v>
      </c>
    </row>
    <row r="165" spans="32:36" x14ac:dyDescent="0.2">
      <c r="AF165" s="208">
        <f>_xll.qlCalendarAdvance(Calendar,AF164,"1d","mf",,Trigger)</f>
        <v>42188</v>
      </c>
      <c r="AG165" s="219">
        <f>_xll.qlDayCounterYearFraction(DayCounterON,SettlementDate,AF165,,,Trigger)</f>
        <v>0.64109589041095894</v>
      </c>
      <c r="AH165" s="209">
        <f t="shared" si="17"/>
        <v>3.7625345689554588E-3</v>
      </c>
      <c r="AI165" s="209">
        <f t="shared" si="18"/>
        <v>3.8164593294592315E-3</v>
      </c>
      <c r="AJ165" s="179">
        <f t="shared" si="19"/>
        <v>3.8122612450128832E-3</v>
      </c>
    </row>
    <row r="166" spans="32:36" x14ac:dyDescent="0.2">
      <c r="AF166" s="208">
        <f>_xll.qlCalendarAdvance(Calendar,AF165,"1d","mf",,Trigger)</f>
        <v>42191</v>
      </c>
      <c r="AG166" s="219">
        <f>_xll.qlDayCounterYearFraction(DayCounterON,SettlementDate,AF166,,,Trigger)</f>
        <v>0.64931506849315068</v>
      </c>
      <c r="AH166" s="209">
        <f t="shared" si="17"/>
        <v>3.7625345689554588E-3</v>
      </c>
      <c r="AI166" s="209">
        <f t="shared" si="18"/>
        <v>3.8196005776439173E-3</v>
      </c>
      <c r="AJ166" s="179">
        <f t="shared" si="19"/>
        <v>3.8154158630622232E-3</v>
      </c>
    </row>
    <row r="167" spans="32:36" x14ac:dyDescent="0.2">
      <c r="AF167" s="208">
        <f>_xll.qlCalendarAdvance(Calendar,AF166,"1d","mf",,Trigger)</f>
        <v>42192</v>
      </c>
      <c r="AG167" s="219">
        <f>_xll.qlDayCounterYearFraction(DayCounterON,SettlementDate,AF167,,,Trigger)</f>
        <v>0.65205479452054793</v>
      </c>
      <c r="AH167" s="209">
        <f t="shared" si="17"/>
        <v>3.7625345689554588E-3</v>
      </c>
      <c r="AI167" s="209">
        <f t="shared" si="18"/>
        <v>3.8206476603721462E-3</v>
      </c>
      <c r="AJ167" s="179">
        <f t="shared" si="19"/>
        <v>3.8164686757324469E-3</v>
      </c>
    </row>
    <row r="168" spans="32:36" x14ac:dyDescent="0.2">
      <c r="AF168" s="208">
        <f>_xll.qlCalendarAdvance(Calendar,AF167,"1d","mf",,Trigger)</f>
        <v>42193</v>
      </c>
      <c r="AG168" s="219">
        <f>_xll.qlDayCounterYearFraction(DayCounterON,SettlementDate,AF168,,,Trigger)</f>
        <v>0.65479452054794518</v>
      </c>
      <c r="AH168" s="209">
        <f t="shared" si="17"/>
        <v>3.7625345689554588E-3</v>
      </c>
      <c r="AI168" s="209">
        <f t="shared" si="18"/>
        <v>3.8216947431003747E-3</v>
      </c>
      <c r="AJ168" s="179">
        <f t="shared" si="19"/>
        <v>3.8175221250628913E-3</v>
      </c>
    </row>
    <row r="169" spans="32:36" x14ac:dyDescent="0.2">
      <c r="AF169" s="208">
        <f>_xll.qlCalendarAdvance(Calendar,AF168,"1d","mf",,Trigger)</f>
        <v>42194</v>
      </c>
      <c r="AG169" s="219">
        <f>_xll.qlDayCounterYearFraction(DayCounterON,SettlementDate,AF169,,,Trigger)</f>
        <v>0.65753424657534243</v>
      </c>
      <c r="AH169" s="209">
        <f t="shared" si="17"/>
        <v>3.7625345689554588E-3</v>
      </c>
      <c r="AI169" s="209">
        <f t="shared" si="18"/>
        <v>3.8227418258286031E-3</v>
      </c>
      <c r="AJ169" s="179">
        <f t="shared" si="19"/>
        <v>3.8185762110535576E-3</v>
      </c>
    </row>
    <row r="170" spans="32:36" x14ac:dyDescent="0.2">
      <c r="AF170" s="208">
        <f>_xll.qlCalendarAdvance(Calendar,AF169,"1d","mf",,Trigger)</f>
        <v>42195</v>
      </c>
      <c r="AG170" s="219">
        <f>_xll.qlDayCounterYearFraction(DayCounterON,SettlementDate,AF170,,,Trigger)</f>
        <v>0.66027397260273968</v>
      </c>
      <c r="AH170" s="209">
        <f t="shared" si="17"/>
        <v>3.7625345689554588E-3</v>
      </c>
      <c r="AI170" s="209">
        <f t="shared" si="18"/>
        <v>3.823788908556832E-3</v>
      </c>
      <c r="AJ170" s="179">
        <f t="shared" si="19"/>
        <v>3.8196309337044463E-3</v>
      </c>
    </row>
    <row r="171" spans="32:36" x14ac:dyDescent="0.2">
      <c r="AF171" s="208">
        <f>_xll.qlCalendarAdvance(Calendar,AF170,"1d","mf",,Trigger)</f>
        <v>42198</v>
      </c>
      <c r="AG171" s="219">
        <f>_xll.qlDayCounterYearFraction(DayCounterON,SettlementDate,AF171,,,Trigger)</f>
        <v>0.66849315068493154</v>
      </c>
      <c r="AH171" s="209">
        <f t="shared" si="17"/>
        <v>3.7625345689554588E-3</v>
      </c>
      <c r="AI171" s="209">
        <f t="shared" si="18"/>
        <v>3.8269301567415179E-3</v>
      </c>
      <c r="AJ171" s="179">
        <f t="shared" si="19"/>
        <v>3.8227989216184401E-3</v>
      </c>
    </row>
    <row r="172" spans="32:36" x14ac:dyDescent="0.2">
      <c r="AF172" s="208">
        <f>_xll.qlCalendarAdvance(Calendar,AF171,"1d","mf",,Trigger)</f>
        <v>42199</v>
      </c>
      <c r="AG172" s="219">
        <f>_xll.qlDayCounterYearFraction(DayCounterON,SettlementDate,AF172,,,Trigger)</f>
        <v>0.67123287671232879</v>
      </c>
      <c r="AH172" s="209">
        <f t="shared" si="17"/>
        <v>3.7625345689554588E-3</v>
      </c>
      <c r="AI172" s="209">
        <f t="shared" si="18"/>
        <v>3.8279772394697463E-3</v>
      </c>
      <c r="AJ172" s="179">
        <f t="shared" si="19"/>
        <v>3.8238561909102148E-3</v>
      </c>
    </row>
    <row r="173" spans="32:36" x14ac:dyDescent="0.2">
      <c r="AF173" s="208">
        <f>_xll.qlCalendarAdvance(Calendar,AF172,"1d","mf",,Trigger)</f>
        <v>42200</v>
      </c>
      <c r="AG173" s="219">
        <f>_xll.qlDayCounterYearFraction(DayCounterON,SettlementDate,AF173,,,Trigger)</f>
        <v>0.67397260273972603</v>
      </c>
      <c r="AH173" s="209">
        <f t="shared" si="17"/>
        <v>3.7625345689554588E-3</v>
      </c>
      <c r="AI173" s="209">
        <f t="shared" si="18"/>
        <v>3.8290243221979752E-3</v>
      </c>
      <c r="AJ173" s="179">
        <f t="shared" si="19"/>
        <v>3.8249140968622105E-3</v>
      </c>
    </row>
    <row r="174" spans="32:36" x14ac:dyDescent="0.2">
      <c r="AF174" s="208">
        <f>_xll.qlCalendarAdvance(Calendar,AF173,"1d","mf",,Trigger)</f>
        <v>42201</v>
      </c>
      <c r="AG174" s="219">
        <f>_xll.qlDayCounterYearFraction(DayCounterON,SettlementDate,AF174,,,Trigger)</f>
        <v>0.67671232876712328</v>
      </c>
      <c r="AH174" s="209">
        <f t="shared" si="17"/>
        <v>3.7625345689554588E-3</v>
      </c>
      <c r="AI174" s="209">
        <f t="shared" si="18"/>
        <v>3.8300714049262037E-3</v>
      </c>
      <c r="AJ174" s="179">
        <f t="shared" si="19"/>
        <v>3.8259726394744282E-3</v>
      </c>
    </row>
    <row r="175" spans="32:36" x14ac:dyDescent="0.2">
      <c r="AF175" s="208">
        <f>_xll.qlCalendarAdvance(Calendar,AF174,"1d","mf",,Trigger)</f>
        <v>42202</v>
      </c>
      <c r="AG175" s="219">
        <f>_xll.qlDayCounterYearFraction(DayCounterON,SettlementDate,AF175,,,Trigger)</f>
        <v>0.67945205479452053</v>
      </c>
      <c r="AH175" s="209">
        <f t="shared" si="17"/>
        <v>3.7625345689554588E-3</v>
      </c>
      <c r="AI175" s="209">
        <f t="shared" si="18"/>
        <v>3.8311184876544321E-3</v>
      </c>
      <c r="AJ175" s="179">
        <f t="shared" si="19"/>
        <v>3.8270318187468679E-3</v>
      </c>
    </row>
    <row r="176" spans="32:36" x14ac:dyDescent="0.2">
      <c r="AF176" s="208">
        <f>_xll.qlCalendarAdvance(Calendar,AF175,"1d","mf",,Trigger)</f>
        <v>42205</v>
      </c>
      <c r="AG176" s="219">
        <f>_xll.qlDayCounterYearFraction(DayCounterON,SettlementDate,AF176,,,Trigger)</f>
        <v>0.68767123287671228</v>
      </c>
      <c r="AH176" s="209">
        <f t="shared" si="17"/>
        <v>3.7625345689554588E-3</v>
      </c>
      <c r="AI176" s="209">
        <f t="shared" si="18"/>
        <v>3.8342597358391184E-3</v>
      </c>
      <c r="AJ176" s="179">
        <f t="shared" si="19"/>
        <v>3.8302131765255163E-3</v>
      </c>
    </row>
    <row r="177" spans="32:36" x14ac:dyDescent="0.2">
      <c r="AF177" s="208">
        <f>_xll.qlCalendarAdvance(Calendar,AF176,"1d","mf",,Trigger)</f>
        <v>42206</v>
      </c>
      <c r="AG177" s="219">
        <f>_xll.qlDayCounterYearFraction(DayCounterON,SettlementDate,AF177,,,Trigger)</f>
        <v>0.69041095890410964</v>
      </c>
      <c r="AH177" s="209">
        <f t="shared" si="17"/>
        <v>3.7625345689554588E-3</v>
      </c>
      <c r="AI177" s="209">
        <f t="shared" si="18"/>
        <v>3.8353068185673468E-3</v>
      </c>
      <c r="AJ177" s="179">
        <f t="shared" si="19"/>
        <v>3.8312749024388419E-3</v>
      </c>
    </row>
    <row r="178" spans="32:36" x14ac:dyDescent="0.2">
      <c r="AF178" s="208">
        <f>_xll.qlCalendarAdvance(Calendar,AF177,"1d","mf",,Trigger)</f>
        <v>42207</v>
      </c>
      <c r="AG178" s="219">
        <f>_xll.qlDayCounterYearFraction(DayCounterON,SettlementDate,AF178,,,Trigger)</f>
        <v>0.69315068493150689</v>
      </c>
      <c r="AH178" s="209">
        <f t="shared" si="17"/>
        <v>3.7625345689554588E-3</v>
      </c>
      <c r="AI178" s="209">
        <f t="shared" si="18"/>
        <v>3.8363539012955753E-3</v>
      </c>
      <c r="AJ178" s="179">
        <f t="shared" si="19"/>
        <v>3.8323372650123891E-3</v>
      </c>
    </row>
    <row r="179" spans="32:36" x14ac:dyDescent="0.2">
      <c r="AF179" s="208">
        <f>_xll.qlCalendarAdvance(Calendar,AF178,"1d","mf",,Trigger)</f>
        <v>42208</v>
      </c>
      <c r="AG179" s="219">
        <f>_xll.qlDayCounterYearFraction(DayCounterON,SettlementDate,AF179,,,Trigger)</f>
        <v>0.69589041095890414</v>
      </c>
      <c r="AH179" s="209">
        <f t="shared" si="17"/>
        <v>3.7625345689554588E-3</v>
      </c>
      <c r="AI179" s="209">
        <f t="shared" si="18"/>
        <v>3.8374009840238042E-3</v>
      </c>
      <c r="AJ179" s="179">
        <f t="shared" si="19"/>
        <v>3.8334002642461586E-3</v>
      </c>
    </row>
    <row r="180" spans="32:36" x14ac:dyDescent="0.2">
      <c r="AF180" s="208">
        <f>_xll.qlCalendarAdvance(Calendar,AF179,"1d","mf",,Trigger)</f>
        <v>42209</v>
      </c>
      <c r="AG180" s="219">
        <f>_xll.qlDayCounterYearFraction(DayCounterON,SettlementDate,AF180,,,Trigger)</f>
        <v>0.69863013698630139</v>
      </c>
      <c r="AH180" s="209">
        <f t="shared" si="17"/>
        <v>3.7625345689554588E-3</v>
      </c>
      <c r="AI180" s="209">
        <f t="shared" si="18"/>
        <v>3.8384480667520327E-3</v>
      </c>
      <c r="AJ180" s="179">
        <f t="shared" si="19"/>
        <v>3.8344639001401492E-3</v>
      </c>
    </row>
    <row r="181" spans="32:36" x14ac:dyDescent="0.2">
      <c r="AF181" s="208">
        <f>_xll.qlCalendarAdvance(Calendar,AF180,"1d","mf",,Trigger)</f>
        <v>42212</v>
      </c>
      <c r="AG181" s="219">
        <f>_xll.qlDayCounterYearFraction(DayCounterON,SettlementDate,AF181,,,Trigger)</f>
        <v>0.70684931506849313</v>
      </c>
      <c r="AH181" s="209">
        <f t="shared" si="17"/>
        <v>3.7625345689554588E-3</v>
      </c>
      <c r="AI181" s="209">
        <f t="shared" si="18"/>
        <v>3.8415893149367185E-3</v>
      </c>
      <c r="AJ181" s="179">
        <f t="shared" si="19"/>
        <v>3.8376586277834514E-3</v>
      </c>
    </row>
    <row r="182" spans="32:36" x14ac:dyDescent="0.2">
      <c r="AF182" s="208">
        <f>_xll.qlCalendarAdvance(Calendar,AF181,"1d","mf",,Trigger)</f>
        <v>42213</v>
      </c>
      <c r="AG182" s="219">
        <f>_xll.qlDayCounterYearFraction(DayCounterON,SettlementDate,AF182,,,Trigger)</f>
        <v>0.70958904109589038</v>
      </c>
      <c r="AH182" s="209">
        <f t="shared" si="17"/>
        <v>3.7625345689554588E-3</v>
      </c>
      <c r="AI182" s="209">
        <f t="shared" si="18"/>
        <v>3.8426363976649474E-3</v>
      </c>
      <c r="AJ182" s="179">
        <f t="shared" si="19"/>
        <v>3.8387248103183285E-3</v>
      </c>
    </row>
    <row r="183" spans="32:36" x14ac:dyDescent="0.2">
      <c r="AF183" s="208">
        <f>_xll.qlCalendarAdvance(Calendar,AF182,"1d","mf",,Trigger)</f>
        <v>42214</v>
      </c>
      <c r="AG183" s="219">
        <f>_xll.qlDayCounterYearFraction(DayCounterON,SettlementDate,AF183,,,Trigger)</f>
        <v>0.71232876712328763</v>
      </c>
      <c r="AH183" s="209">
        <f t="shared" si="17"/>
        <v>3.7625345689554588E-3</v>
      </c>
      <c r="AI183" s="209">
        <f t="shared" si="18"/>
        <v>3.8436834803931758E-3</v>
      </c>
      <c r="AJ183" s="179">
        <f t="shared" si="19"/>
        <v>3.8397916295134279E-3</v>
      </c>
    </row>
    <row r="184" spans="32:36" x14ac:dyDescent="0.2">
      <c r="AF184" s="208">
        <f>_xll.qlCalendarAdvance(Calendar,AF183,"1d","mf",,Trigger)</f>
        <v>42215</v>
      </c>
      <c r="AG184" s="219">
        <f>_xll.qlDayCounterYearFraction(DayCounterON,SettlementDate,AF184,,,Trigger)</f>
        <v>0.71506849315068488</v>
      </c>
      <c r="AH184" s="209">
        <f t="shared" si="17"/>
        <v>3.7625345689554588E-3</v>
      </c>
      <c r="AI184" s="209">
        <f t="shared" si="18"/>
        <v>3.8447305631214047E-3</v>
      </c>
      <c r="AJ184" s="179">
        <f t="shared" si="19"/>
        <v>3.8408590853687484E-3</v>
      </c>
    </row>
    <row r="185" spans="32:36" x14ac:dyDescent="0.2">
      <c r="AF185" s="208">
        <f>_xll.qlCalendarAdvance(Calendar,AF184,"1d","mf",,Trigger)</f>
        <v>42216</v>
      </c>
      <c r="AG185" s="219">
        <f>_xll.qlDayCounterYearFraction(DayCounterON,SettlementDate,AF185,,,Trigger)</f>
        <v>0.71780821917808224</v>
      </c>
      <c r="AH185" s="209">
        <f t="shared" si="17"/>
        <v>3.7625345689554588E-3</v>
      </c>
      <c r="AI185" s="209">
        <f t="shared" si="18"/>
        <v>3.8457776458496332E-3</v>
      </c>
      <c r="AJ185" s="179">
        <f t="shared" si="19"/>
        <v>3.84192717788429E-3</v>
      </c>
    </row>
    <row r="186" spans="32:36" x14ac:dyDescent="0.2">
      <c r="AF186" s="208">
        <f>_xll.qlCalendarAdvance(Calendar,AF185,"1d","mf",,Trigger)</f>
        <v>42219</v>
      </c>
      <c r="AG186" s="219">
        <f>_xll.qlDayCounterYearFraction(DayCounterON,SettlementDate,AF186,,,Trigger)</f>
        <v>0.72602739726027399</v>
      </c>
      <c r="AH186" s="209">
        <f t="shared" si="17"/>
        <v>3.7625345689554588E-3</v>
      </c>
      <c r="AI186" s="209">
        <f t="shared" si="18"/>
        <v>3.848918894034319E-3</v>
      </c>
      <c r="AJ186" s="179">
        <f t="shared" si="19"/>
        <v>3.8451352753922463E-3</v>
      </c>
    </row>
    <row r="187" spans="32:36" x14ac:dyDescent="0.2">
      <c r="AF187" s="208">
        <f>_xll.qlCalendarAdvance(Calendar,AF186,"1d","mf",,Trigger)</f>
        <v>42220</v>
      </c>
      <c r="AG187" s="219">
        <f>_xll.qlDayCounterYearFraction(DayCounterON,SettlementDate,AF187,,,Trigger)</f>
        <v>0.72876712328767124</v>
      </c>
      <c r="AH187" s="209">
        <f t="shared" si="17"/>
        <v>3.7625345689554588E-3</v>
      </c>
      <c r="AI187" s="209">
        <f t="shared" si="18"/>
        <v>3.8499659767625479E-3</v>
      </c>
      <c r="AJ187" s="179">
        <f t="shared" si="19"/>
        <v>3.8462059145486752E-3</v>
      </c>
    </row>
    <row r="188" spans="32:36" x14ac:dyDescent="0.2">
      <c r="AF188" s="208">
        <f>_xll.qlCalendarAdvance(Calendar,AF187,"1d","mf",,Trigger)</f>
        <v>42221</v>
      </c>
      <c r="AG188" s="219">
        <f>_xll.qlDayCounterYearFraction(DayCounterON,SettlementDate,AF188,,,Trigger)</f>
        <v>0.73150684931506849</v>
      </c>
      <c r="AH188" s="209">
        <f t="shared" si="17"/>
        <v>3.7625345689554588E-3</v>
      </c>
      <c r="AI188" s="209">
        <f t="shared" si="18"/>
        <v>3.8510130594907764E-3</v>
      </c>
      <c r="AJ188" s="179">
        <f t="shared" si="19"/>
        <v>3.8472771903653251E-3</v>
      </c>
    </row>
    <row r="189" spans="32:36" x14ac:dyDescent="0.2">
      <c r="AF189" s="208">
        <f>_xll.qlCalendarAdvance(Calendar,AF188,"1d","mf",,Trigger)</f>
        <v>42222</v>
      </c>
      <c r="AG189" s="219">
        <f>_xll.qlDayCounterYearFraction(DayCounterON,SettlementDate,AF189,,,Trigger)</f>
        <v>0.73424657534246573</v>
      </c>
      <c r="AH189" s="209">
        <f t="shared" si="17"/>
        <v>3.7625345689554588E-3</v>
      </c>
      <c r="AI189" s="209">
        <f t="shared" si="18"/>
        <v>3.8520601422190048E-3</v>
      </c>
      <c r="AJ189" s="179">
        <f t="shared" si="19"/>
        <v>3.848349102842197E-3</v>
      </c>
    </row>
    <row r="190" spans="32:36" x14ac:dyDescent="0.2">
      <c r="AF190" s="208">
        <f>_xll.qlCalendarAdvance(Calendar,AF189,"1d","mf",,Trigger)</f>
        <v>42223</v>
      </c>
      <c r="AG190" s="219">
        <f>_xll.qlDayCounterYearFraction(DayCounterON,SettlementDate,AF190,,,Trigger)</f>
        <v>0.73698630136986298</v>
      </c>
      <c r="AH190" s="209">
        <f t="shared" si="17"/>
        <v>3.7625345689554588E-3</v>
      </c>
      <c r="AI190" s="209">
        <f t="shared" si="18"/>
        <v>3.8531072249472337E-3</v>
      </c>
      <c r="AJ190" s="179">
        <f t="shared" si="19"/>
        <v>3.8494216519792904E-3</v>
      </c>
    </row>
    <row r="191" spans="32:36" x14ac:dyDescent="0.2">
      <c r="AF191" s="208">
        <f>_xll.qlCalendarAdvance(Calendar,AF190,"1d","mf",,Trigger)</f>
        <v>42226</v>
      </c>
      <c r="AG191" s="219">
        <f>_xll.qlDayCounterYearFraction(DayCounterON,SettlementDate,AF191,,,Trigger)</f>
        <v>0.74520547945205484</v>
      </c>
      <c r="AH191" s="209">
        <f t="shared" si="17"/>
        <v>3.7625345689554588E-3</v>
      </c>
      <c r="AI191" s="209">
        <f t="shared" si="18"/>
        <v>3.8562484731319195E-3</v>
      </c>
      <c r="AJ191" s="179">
        <f t="shared" si="19"/>
        <v>3.8526431193519005E-3</v>
      </c>
    </row>
    <row r="192" spans="32:36" x14ac:dyDescent="0.2">
      <c r="AF192" s="208">
        <f>_xll.qlCalendarAdvance(Calendar,AF191,"1d","mf",,Trigger)</f>
        <v>42227</v>
      </c>
      <c r="AG192" s="219">
        <f>_xll.qlDayCounterYearFraction(DayCounterON,SettlementDate,AF192,,,Trigger)</f>
        <v>0.74794520547945209</v>
      </c>
      <c r="AH192" s="209">
        <f t="shared" si="17"/>
        <v>3.7625345689554588E-3</v>
      </c>
      <c r="AI192" s="209">
        <f t="shared" si="18"/>
        <v>3.857295555860148E-3</v>
      </c>
      <c r="AJ192" s="179">
        <f t="shared" si="19"/>
        <v>3.8537182151298808E-3</v>
      </c>
    </row>
    <row r="193" spans="32:36" x14ac:dyDescent="0.2">
      <c r="AF193" s="208">
        <f>_xll.qlCalendarAdvance(Calendar,AF192,"1d","mf",,Trigger)</f>
        <v>42228</v>
      </c>
      <c r="AG193" s="219">
        <f>_xll.qlDayCounterYearFraction(DayCounterON,SettlementDate,AF193,,,Trigger)</f>
        <v>0.75068493150684934</v>
      </c>
      <c r="AH193" s="209">
        <f t="shared" si="17"/>
        <v>3.7625345689554588E-3</v>
      </c>
      <c r="AI193" s="209">
        <f t="shared" si="18"/>
        <v>3.8583426385883769E-3</v>
      </c>
      <c r="AJ193" s="179">
        <f t="shared" si="19"/>
        <v>3.8547939475680822E-3</v>
      </c>
    </row>
    <row r="194" spans="32:36" x14ac:dyDescent="0.2">
      <c r="AF194" s="208">
        <f>_xll.qlCalendarAdvance(Calendar,AF193,"1d","mf",,Trigger)</f>
        <v>42229</v>
      </c>
      <c r="AG194" s="219">
        <f>_xll.qlDayCounterYearFraction(DayCounterON,SettlementDate,AF194,,,Trigger)</f>
        <v>0.75342465753424659</v>
      </c>
      <c r="AH194" s="209">
        <f t="shared" si="17"/>
        <v>3.7625345689554588E-3</v>
      </c>
      <c r="AI194" s="209">
        <f t="shared" si="18"/>
        <v>3.8593897213166054E-3</v>
      </c>
      <c r="AJ194" s="179">
        <f t="shared" si="19"/>
        <v>3.8558703166665055E-3</v>
      </c>
    </row>
    <row r="195" spans="32:36" x14ac:dyDescent="0.2">
      <c r="AF195" s="208">
        <f>_xll.qlCalendarAdvance(Calendar,AF194,"1d","mf",,Trigger)</f>
        <v>42230</v>
      </c>
      <c r="AG195" s="219">
        <f>_xll.qlDayCounterYearFraction(DayCounterON,SettlementDate,AF195,,,Trigger)</f>
        <v>0.75616438356164384</v>
      </c>
      <c r="AH195" s="209">
        <f t="shared" ref="AH195:AH257" si="20">$W$13</f>
        <v>3.7625345689554588E-3</v>
      </c>
      <c r="AI195" s="209">
        <f t="shared" si="18"/>
        <v>3.8604368040448338E-3</v>
      </c>
      <c r="AJ195" s="179">
        <f t="shared" si="19"/>
        <v>3.8569473224251503E-3</v>
      </c>
    </row>
    <row r="196" spans="32:36" x14ac:dyDescent="0.2">
      <c r="AF196" s="208">
        <f>_xll.qlCalendarAdvance(Calendar,AF195,"1d","mf",,Trigger)</f>
        <v>42233</v>
      </c>
      <c r="AG196" s="219">
        <f>_xll.qlDayCounterYearFraction(DayCounterON,SettlementDate,AF196,,,Trigger)</f>
        <v>0.76438356164383559</v>
      </c>
      <c r="AH196" s="209">
        <f t="shared" si="20"/>
        <v>3.7625345689554588E-3</v>
      </c>
      <c r="AI196" s="209">
        <f t="shared" si="18"/>
        <v>3.8635780522295196E-3</v>
      </c>
      <c r="AJ196" s="179">
        <f t="shared" si="19"/>
        <v>3.8601821596624146E-3</v>
      </c>
    </row>
    <row r="197" spans="32:36" x14ac:dyDescent="0.2">
      <c r="AF197" s="208">
        <f>_xll.qlCalendarAdvance(Calendar,AF196,"1d","mf",,Trigger)</f>
        <v>42234</v>
      </c>
      <c r="AG197" s="219">
        <f>_xll.qlDayCounterYearFraction(DayCounterON,SettlementDate,AF197,,,Trigger)</f>
        <v>0.76712328767123283</v>
      </c>
      <c r="AH197" s="209">
        <f t="shared" si="20"/>
        <v>3.7625345689554588E-3</v>
      </c>
      <c r="AI197" s="209">
        <f t="shared" si="18"/>
        <v>3.8646251349577485E-3</v>
      </c>
      <c r="AJ197" s="179">
        <f t="shared" si="19"/>
        <v>3.8612617120619458E-3</v>
      </c>
    </row>
    <row r="198" spans="32:36" x14ac:dyDescent="0.2">
      <c r="AF198" s="208">
        <f>_xll.qlCalendarAdvance(Calendar,AF197,"1d","mf",,Trigger)</f>
        <v>42235</v>
      </c>
      <c r="AG198" s="219">
        <f>_xll.qlDayCounterYearFraction(DayCounterON,SettlementDate,AF198,,,Trigger)</f>
        <v>0.76986301369863008</v>
      </c>
      <c r="AH198" s="209">
        <f t="shared" si="20"/>
        <v>3.7625345689554588E-3</v>
      </c>
      <c r="AI198" s="209">
        <f t="shared" si="18"/>
        <v>3.865672217685977E-3</v>
      </c>
      <c r="AJ198" s="179">
        <f t="shared" si="19"/>
        <v>3.8623419011216986E-3</v>
      </c>
    </row>
    <row r="199" spans="32:36" x14ac:dyDescent="0.2">
      <c r="AF199" s="208">
        <f>_xll.qlCalendarAdvance(Calendar,AF198,"1d","mf",,Trigger)</f>
        <v>42236</v>
      </c>
      <c r="AG199" s="219">
        <f>_xll.qlDayCounterYearFraction(DayCounterON,SettlementDate,AF199,,,Trigger)</f>
        <v>0.77260273972602744</v>
      </c>
      <c r="AH199" s="209">
        <f t="shared" si="20"/>
        <v>3.7625345689554588E-3</v>
      </c>
      <c r="AI199" s="209">
        <f t="shared" si="18"/>
        <v>3.8667193004142059E-3</v>
      </c>
      <c r="AJ199" s="179">
        <f t="shared" si="19"/>
        <v>3.8634227268416737E-3</v>
      </c>
    </row>
    <row r="200" spans="32:36" x14ac:dyDescent="0.2">
      <c r="AF200" s="208">
        <f>_xll.qlCalendarAdvance(Calendar,AF199,"1d","mf",,Trigger)</f>
        <v>42237</v>
      </c>
      <c r="AG200" s="219">
        <f>_xll.qlDayCounterYearFraction(DayCounterON,SettlementDate,AF200,,,Trigger)</f>
        <v>0.77534246575342469</v>
      </c>
      <c r="AH200" s="209">
        <f t="shared" si="20"/>
        <v>3.7625345689554588E-3</v>
      </c>
      <c r="AI200" s="209">
        <f t="shared" si="18"/>
        <v>3.8677663831424344E-3</v>
      </c>
      <c r="AJ200" s="179">
        <f t="shared" si="19"/>
        <v>3.8645041892218695E-3</v>
      </c>
    </row>
    <row r="201" spans="32:36" x14ac:dyDescent="0.2">
      <c r="AF201" s="208">
        <f>_xll.qlCalendarAdvance(Calendar,AF200,"1d","mf",,Trigger)</f>
        <v>42240</v>
      </c>
      <c r="AG201" s="219">
        <f>_xll.qlDayCounterYearFraction(DayCounterON,SettlementDate,AF201,,,Trigger)</f>
        <v>0.78356164383561644</v>
      </c>
      <c r="AH201" s="209">
        <f t="shared" si="20"/>
        <v>3.7625345689554588E-3</v>
      </c>
      <c r="AI201" s="209">
        <f t="shared" si="18"/>
        <v>3.8709076313271202E-3</v>
      </c>
      <c r="AJ201" s="179">
        <f t="shared" si="19"/>
        <v>3.8677523963237879E-3</v>
      </c>
    </row>
    <row r="202" spans="32:36" x14ac:dyDescent="0.2">
      <c r="AF202" s="208">
        <f>_xll.qlCalendarAdvance(Calendar,AF201,"1d","mf",,Trigger)</f>
        <v>42241</v>
      </c>
      <c r="AG202" s="219">
        <f>_xll.qlDayCounterYearFraction(DayCounterON,SettlementDate,AF202,,,Trigger)</f>
        <v>0.78630136986301369</v>
      </c>
      <c r="AH202" s="209">
        <f t="shared" si="20"/>
        <v>3.7625345689554588E-3</v>
      </c>
      <c r="AI202" s="209">
        <f t="shared" si="18"/>
        <v>3.8719547140553491E-3</v>
      </c>
      <c r="AJ202" s="179">
        <f t="shared" si="19"/>
        <v>3.8688364053448701E-3</v>
      </c>
    </row>
    <row r="203" spans="32:36" x14ac:dyDescent="0.2">
      <c r="AF203" s="208">
        <f>_xll.qlCalendarAdvance(Calendar,AF202,"1d","mf",,Trigger)</f>
        <v>42242</v>
      </c>
      <c r="AG203" s="219">
        <f>_xll.qlDayCounterYearFraction(DayCounterON,SettlementDate,AF203,,,Trigger)</f>
        <v>0.78904109589041094</v>
      </c>
      <c r="AH203" s="209">
        <f t="shared" si="20"/>
        <v>3.7625345689554588E-3</v>
      </c>
      <c r="AI203" s="209">
        <f t="shared" si="18"/>
        <v>3.8730017967835775E-3</v>
      </c>
      <c r="AJ203" s="179">
        <f t="shared" si="19"/>
        <v>3.8699210510261747E-3</v>
      </c>
    </row>
    <row r="204" spans="32:36" x14ac:dyDescent="0.2">
      <c r="AF204" s="208">
        <f>_xll.qlCalendarAdvance(Calendar,AF203,"1d","mf",,Trigger)</f>
        <v>42243</v>
      </c>
      <c r="AG204" s="219">
        <f>_xll.qlDayCounterYearFraction(DayCounterON,SettlementDate,AF204,,,Trigger)</f>
        <v>0.79178082191780819</v>
      </c>
      <c r="AH204" s="209">
        <f t="shared" si="20"/>
        <v>3.7625345689554588E-3</v>
      </c>
      <c r="AI204" s="209">
        <f t="shared" ref="AI204:AI257" si="21">$W$10+$W$9*AG204</f>
        <v>3.874048879511806E-3</v>
      </c>
      <c r="AJ204" s="179">
        <f t="shared" ref="AJ204:AJ257" si="22">($W$5+$W$4*AG204+$W$3*AG204^2)</f>
        <v>3.8710063333677008E-3</v>
      </c>
    </row>
    <row r="205" spans="32:36" x14ac:dyDescent="0.2">
      <c r="AF205" s="208">
        <f>_xll.qlCalendarAdvance(Calendar,AF204,"1d","mf",,Trigger)</f>
        <v>42244</v>
      </c>
      <c r="AG205" s="219">
        <f>_xll.qlDayCounterYearFraction(DayCounterON,SettlementDate,AF205,,,Trigger)</f>
        <v>0.79452054794520544</v>
      </c>
      <c r="AH205" s="209">
        <f t="shared" si="20"/>
        <v>3.7625345689554588E-3</v>
      </c>
      <c r="AI205" s="209">
        <f t="shared" si="21"/>
        <v>3.8750959622400349E-3</v>
      </c>
      <c r="AJ205" s="179">
        <f t="shared" si="22"/>
        <v>3.872092252369448E-3</v>
      </c>
    </row>
    <row r="206" spans="32:36" x14ac:dyDescent="0.2">
      <c r="AF206" s="208">
        <f>_xll.qlCalendarAdvance(Calendar,AF205,"1d","mf",,Trigger)</f>
        <v>42247</v>
      </c>
      <c r="AG206" s="219">
        <f>_xll.qlDayCounterYearFraction(DayCounterON,SettlementDate,AF206,,,Trigger)</f>
        <v>0.80273972602739729</v>
      </c>
      <c r="AH206" s="209">
        <f t="shared" si="20"/>
        <v>3.7625345689554588E-3</v>
      </c>
      <c r="AI206" s="209">
        <f t="shared" si="21"/>
        <v>3.8782372104247207E-3</v>
      </c>
      <c r="AJ206" s="179">
        <f t="shared" si="22"/>
        <v>3.8753538293360202E-3</v>
      </c>
    </row>
    <row r="207" spans="32:36" x14ac:dyDescent="0.2">
      <c r="AF207" s="208">
        <f>_xll.qlCalendarAdvance(Calendar,AF206,"1d","mf",,Trigger)</f>
        <v>42248</v>
      </c>
      <c r="AG207" s="219">
        <f>_xll.qlDayCounterYearFraction(DayCounterON,SettlementDate,AF207,,,Trigger)</f>
        <v>0.80547945205479454</v>
      </c>
      <c r="AH207" s="209">
        <f t="shared" si="20"/>
        <v>3.7625345689554588E-3</v>
      </c>
      <c r="AI207" s="209">
        <f t="shared" si="21"/>
        <v>3.8792842931529492E-3</v>
      </c>
      <c r="AJ207" s="179">
        <f t="shared" si="22"/>
        <v>3.8764422949786547E-3</v>
      </c>
    </row>
    <row r="208" spans="32:36" x14ac:dyDescent="0.2">
      <c r="AF208" s="208">
        <f>_xll.qlCalendarAdvance(Calendar,AF207,"1d","mf",,Trigger)</f>
        <v>42249</v>
      </c>
      <c r="AG208" s="219">
        <f>_xll.qlDayCounterYearFraction(DayCounterON,SettlementDate,AF208,,,Trigger)</f>
        <v>0.80821917808219179</v>
      </c>
      <c r="AH208" s="209">
        <f t="shared" si="20"/>
        <v>3.7625345689554588E-3</v>
      </c>
      <c r="AI208" s="209">
        <f t="shared" si="21"/>
        <v>3.8803313758811781E-3</v>
      </c>
      <c r="AJ208" s="179">
        <f t="shared" si="22"/>
        <v>3.8775313972815102E-3</v>
      </c>
    </row>
    <row r="209" spans="32:36" x14ac:dyDescent="0.2">
      <c r="AF209" s="208">
        <f>_xll.qlCalendarAdvance(Calendar,AF208,"1d","mf",,Trigger)</f>
        <v>42250</v>
      </c>
      <c r="AG209" s="219">
        <f>_xll.qlDayCounterYearFraction(DayCounterON,SettlementDate,AF209,,,Trigger)</f>
        <v>0.81095890410958904</v>
      </c>
      <c r="AH209" s="209">
        <f t="shared" si="20"/>
        <v>3.7625345689554588E-3</v>
      </c>
      <c r="AI209" s="209">
        <f t="shared" si="21"/>
        <v>3.8813784586094065E-3</v>
      </c>
      <c r="AJ209" s="179">
        <f t="shared" si="22"/>
        <v>3.8786211362445873E-3</v>
      </c>
    </row>
    <row r="210" spans="32:36" x14ac:dyDescent="0.2">
      <c r="AF210" s="208">
        <f>_xll.qlCalendarAdvance(Calendar,AF209,"1d","mf",,Trigger)</f>
        <v>42251</v>
      </c>
      <c r="AG210" s="219">
        <f>_xll.qlDayCounterYearFraction(DayCounterON,SettlementDate,AF210,,,Trigger)</f>
        <v>0.81369863013698629</v>
      </c>
      <c r="AH210" s="209">
        <f t="shared" si="20"/>
        <v>3.7625345689554588E-3</v>
      </c>
      <c r="AI210" s="209">
        <f t="shared" si="21"/>
        <v>3.8824255413376354E-3</v>
      </c>
      <c r="AJ210" s="179">
        <f t="shared" si="22"/>
        <v>3.8797115118678858E-3</v>
      </c>
    </row>
    <row r="211" spans="32:36" x14ac:dyDescent="0.2">
      <c r="AF211" s="208">
        <f>_xll.qlCalendarAdvance(Calendar,AF210,"1d","mf",,Trigger)</f>
        <v>42254</v>
      </c>
      <c r="AG211" s="219">
        <f>_xll.qlDayCounterYearFraction(DayCounterON,SettlementDate,AF211,,,Trigger)</f>
        <v>0.82191780821917804</v>
      </c>
      <c r="AH211" s="209">
        <f t="shared" si="20"/>
        <v>3.7625345689554588E-3</v>
      </c>
      <c r="AI211" s="209">
        <f t="shared" si="21"/>
        <v>3.8855667895223212E-3</v>
      </c>
      <c r="AJ211" s="179">
        <f t="shared" si="22"/>
        <v>3.8829864586991123E-3</v>
      </c>
    </row>
    <row r="212" spans="32:36" x14ac:dyDescent="0.2">
      <c r="AF212" s="208">
        <f>_xll.qlCalendarAdvance(Calendar,AF211,"1d","mf",,Trigger)</f>
        <v>42255</v>
      </c>
      <c r="AG212" s="219">
        <f>_xll.qlDayCounterYearFraction(DayCounterON,SettlementDate,AF212,,,Trigger)</f>
        <v>0.8246575342465754</v>
      </c>
      <c r="AH212" s="209">
        <f t="shared" si="20"/>
        <v>3.7625345689554588E-3</v>
      </c>
      <c r="AI212" s="209">
        <f t="shared" si="21"/>
        <v>3.8866138722505497E-3</v>
      </c>
      <c r="AJ212" s="179">
        <f t="shared" si="22"/>
        <v>3.8840793809632982E-3</v>
      </c>
    </row>
    <row r="213" spans="32:36" x14ac:dyDescent="0.2">
      <c r="AF213" s="208">
        <f>_xll.qlCalendarAdvance(Calendar,AF212,"1d","mf",,Trigger)</f>
        <v>42256</v>
      </c>
      <c r="AG213" s="219">
        <f>_xll.qlDayCounterYearFraction(DayCounterON,SettlementDate,AF213,,,Trigger)</f>
        <v>0.82739726027397265</v>
      </c>
      <c r="AH213" s="209">
        <f t="shared" si="20"/>
        <v>3.7625345689554588E-3</v>
      </c>
      <c r="AI213" s="209">
        <f t="shared" si="21"/>
        <v>3.8876609549787786E-3</v>
      </c>
      <c r="AJ213" s="179">
        <f t="shared" si="22"/>
        <v>3.8851729398877047E-3</v>
      </c>
    </row>
    <row r="214" spans="32:36" x14ac:dyDescent="0.2">
      <c r="AF214" s="208">
        <f>_xll.qlCalendarAdvance(Calendar,AF213,"1d","mf",,Trigger)</f>
        <v>42257</v>
      </c>
      <c r="AG214" s="219">
        <f>_xll.qlDayCounterYearFraction(DayCounterON,SettlementDate,AF214,,,Trigger)</f>
        <v>0.83013698630136989</v>
      </c>
      <c r="AH214" s="209">
        <f t="shared" si="20"/>
        <v>3.7625345689554588E-3</v>
      </c>
      <c r="AI214" s="209">
        <f t="shared" si="21"/>
        <v>3.8887080377070071E-3</v>
      </c>
      <c r="AJ214" s="179">
        <f t="shared" si="22"/>
        <v>3.8862671354723331E-3</v>
      </c>
    </row>
    <row r="215" spans="32:36" x14ac:dyDescent="0.2">
      <c r="AF215" s="208">
        <f>_xll.qlCalendarAdvance(Calendar,AF214,"1d","mf",,Trigger)</f>
        <v>42258</v>
      </c>
      <c r="AG215" s="219">
        <f>_xll.qlDayCounterYearFraction(DayCounterON,SettlementDate,AF215,,,Trigger)</f>
        <v>0.83287671232876714</v>
      </c>
      <c r="AH215" s="209">
        <f t="shared" si="20"/>
        <v>3.7625345689554588E-3</v>
      </c>
      <c r="AI215" s="209">
        <f t="shared" si="21"/>
        <v>3.8897551204352355E-3</v>
      </c>
      <c r="AJ215" s="179">
        <f t="shared" si="22"/>
        <v>3.8873619677171839E-3</v>
      </c>
    </row>
    <row r="216" spans="32:36" x14ac:dyDescent="0.2">
      <c r="AF216" s="208">
        <f>_xll.qlCalendarAdvance(Calendar,AF215,"1d","mf",,Trigger)</f>
        <v>42261</v>
      </c>
      <c r="AG216" s="219">
        <f>_xll.qlDayCounterYearFraction(DayCounterON,SettlementDate,AF216,,,Trigger)</f>
        <v>0.84109589041095889</v>
      </c>
      <c r="AH216" s="209">
        <f t="shared" si="20"/>
        <v>3.7625345689554588E-3</v>
      </c>
      <c r="AI216" s="209">
        <f t="shared" si="21"/>
        <v>3.8928963686199213E-3</v>
      </c>
      <c r="AJ216" s="179">
        <f t="shared" si="22"/>
        <v>3.8906502844130641E-3</v>
      </c>
    </row>
    <row r="217" spans="32:36" x14ac:dyDescent="0.2">
      <c r="AF217" s="208">
        <f>_xll.qlCalendarAdvance(Calendar,AF216,"1d","mf",,Trigger)</f>
        <v>42262</v>
      </c>
      <c r="AG217" s="219">
        <f>_xll.qlDayCounterYearFraction(DayCounterON,SettlementDate,AF217,,,Trigger)</f>
        <v>0.84383561643835614</v>
      </c>
      <c r="AH217" s="209">
        <f t="shared" si="20"/>
        <v>3.7625345689554588E-3</v>
      </c>
      <c r="AI217" s="209">
        <f t="shared" si="21"/>
        <v>3.8939434513481502E-3</v>
      </c>
      <c r="AJ217" s="179">
        <f t="shared" si="22"/>
        <v>3.891747663298801E-3</v>
      </c>
    </row>
    <row r="218" spans="32:36" x14ac:dyDescent="0.2">
      <c r="AF218" s="208">
        <f>_xll.qlCalendarAdvance(Calendar,AF217,"1d","mf",,Trigger)</f>
        <v>42263</v>
      </c>
      <c r="AG218" s="219">
        <f>_xll.qlDayCounterYearFraction(DayCounterON,SettlementDate,AF218,,,Trigger)</f>
        <v>0.84657534246575339</v>
      </c>
      <c r="AH218" s="209">
        <f t="shared" si="20"/>
        <v>3.7625345689554588E-3</v>
      </c>
      <c r="AI218" s="209">
        <f t="shared" si="21"/>
        <v>3.8949905340763787E-3</v>
      </c>
      <c r="AJ218" s="179">
        <f t="shared" si="22"/>
        <v>3.8928456788447589E-3</v>
      </c>
    </row>
    <row r="219" spans="32:36" x14ac:dyDescent="0.2">
      <c r="AF219" s="208">
        <f>_xll.qlCalendarAdvance(Calendar,AF218,"1d","mf",,Trigger)</f>
        <v>42264</v>
      </c>
      <c r="AG219" s="219">
        <f>_xll.qlDayCounterYearFraction(DayCounterON,SettlementDate,AF219,,,Trigger)</f>
        <v>0.84931506849315064</v>
      </c>
      <c r="AH219" s="209">
        <f t="shared" si="20"/>
        <v>3.7625345689554588E-3</v>
      </c>
      <c r="AI219" s="209">
        <f t="shared" si="21"/>
        <v>3.8960376168046072E-3</v>
      </c>
      <c r="AJ219" s="179">
        <f t="shared" si="22"/>
        <v>3.8939443310509387E-3</v>
      </c>
    </row>
    <row r="220" spans="32:36" x14ac:dyDescent="0.2">
      <c r="AF220" s="208">
        <f>_xll.qlCalendarAdvance(Calendar,AF219,"1d","mf",,Trigger)</f>
        <v>42265</v>
      </c>
      <c r="AG220" s="219">
        <f>_xll.qlDayCounterYearFraction(DayCounterON,SettlementDate,AF220,,,Trigger)</f>
        <v>0.852054794520548</v>
      </c>
      <c r="AH220" s="209">
        <f t="shared" si="20"/>
        <v>3.7625345689554588E-3</v>
      </c>
      <c r="AI220" s="209">
        <f t="shared" si="21"/>
        <v>3.897084699532836E-3</v>
      </c>
      <c r="AJ220" s="179">
        <f t="shared" si="22"/>
        <v>3.8950436199173405E-3</v>
      </c>
    </row>
    <row r="221" spans="32:36" x14ac:dyDescent="0.2">
      <c r="AF221" s="208">
        <f>_xll.qlCalendarAdvance(Calendar,AF220,"1d","mf",,Trigger)</f>
        <v>42268</v>
      </c>
      <c r="AG221" s="219">
        <f>_xll.qlDayCounterYearFraction(DayCounterON,SettlementDate,AF221,,,Trigger)</f>
        <v>0.86027397260273974</v>
      </c>
      <c r="AH221" s="209">
        <f t="shared" si="20"/>
        <v>3.7625345689554588E-3</v>
      </c>
      <c r="AI221" s="209">
        <f t="shared" si="21"/>
        <v>3.9002259477175219E-3</v>
      </c>
      <c r="AJ221" s="179">
        <f t="shared" si="22"/>
        <v>3.8983453064778749E-3</v>
      </c>
    </row>
    <row r="222" spans="32:36" x14ac:dyDescent="0.2">
      <c r="AF222" s="208">
        <f>_xll.qlCalendarAdvance(Calendar,AF221,"1d","mf",,Trigger)</f>
        <v>42269</v>
      </c>
      <c r="AG222" s="219">
        <f>_xll.qlDayCounterYearFraction(DayCounterON,SettlementDate,AF222,,,Trigger)</f>
        <v>0.86301369863013699</v>
      </c>
      <c r="AH222" s="209">
        <f t="shared" si="20"/>
        <v>3.7625345689554588E-3</v>
      </c>
      <c r="AI222" s="209">
        <f t="shared" si="21"/>
        <v>3.9012730304457503E-3</v>
      </c>
      <c r="AJ222" s="179">
        <f t="shared" si="22"/>
        <v>3.8994471419851631E-3</v>
      </c>
    </row>
    <row r="223" spans="32:36" x14ac:dyDescent="0.2">
      <c r="AF223" s="208">
        <f>_xll.qlCalendarAdvance(Calendar,AF222,"1d","mf",,Trigger)</f>
        <v>42270</v>
      </c>
      <c r="AG223" s="219">
        <f>_xll.qlDayCounterYearFraction(DayCounterON,SettlementDate,AF223,,,Trigger)</f>
        <v>0.86575342465753424</v>
      </c>
      <c r="AH223" s="209">
        <f t="shared" si="20"/>
        <v>3.7625345689554588E-3</v>
      </c>
      <c r="AI223" s="209">
        <f t="shared" si="21"/>
        <v>3.9023201131739792E-3</v>
      </c>
      <c r="AJ223" s="179">
        <f t="shared" si="22"/>
        <v>3.9005496141526724E-3</v>
      </c>
    </row>
    <row r="224" spans="32:36" x14ac:dyDescent="0.2">
      <c r="AF224" s="208">
        <f>_xll.qlCalendarAdvance(Calendar,AF223,"1d","mf",,Trigger)</f>
        <v>42271</v>
      </c>
      <c r="AG224" s="219">
        <f>_xll.qlDayCounterYearFraction(DayCounterON,SettlementDate,AF224,,,Trigger)</f>
        <v>0.86849315068493149</v>
      </c>
      <c r="AH224" s="209">
        <f t="shared" si="20"/>
        <v>3.7625345689554588E-3</v>
      </c>
      <c r="AI224" s="209">
        <f t="shared" si="21"/>
        <v>3.9033671959022077E-3</v>
      </c>
      <c r="AJ224" s="179">
        <f t="shared" si="22"/>
        <v>3.9016527229804041E-3</v>
      </c>
    </row>
    <row r="225" spans="32:36" x14ac:dyDescent="0.2">
      <c r="AF225" s="208">
        <f>_xll.qlCalendarAdvance(Calendar,AF224,"1d","mf",,Trigger)</f>
        <v>42272</v>
      </c>
      <c r="AG225" s="219">
        <f>_xll.qlDayCounterYearFraction(DayCounterON,SettlementDate,AF225,,,Trigger)</f>
        <v>0.87123287671232874</v>
      </c>
      <c r="AH225" s="209">
        <f t="shared" si="20"/>
        <v>3.7625345689554588E-3</v>
      </c>
      <c r="AI225" s="209">
        <f t="shared" si="21"/>
        <v>3.9044142786304366E-3</v>
      </c>
      <c r="AJ225" s="179">
        <f t="shared" si="22"/>
        <v>3.9027564684683568E-3</v>
      </c>
    </row>
    <row r="226" spans="32:36" x14ac:dyDescent="0.2">
      <c r="AF226" s="208">
        <f>_xll.qlCalendarAdvance(Calendar,AF225,"1d","mf",,Trigger)</f>
        <v>42275</v>
      </c>
      <c r="AG226" s="219">
        <f>_xll.qlDayCounterYearFraction(DayCounterON,SettlementDate,AF226,,,Trigger)</f>
        <v>0.8794520547945206</v>
      </c>
      <c r="AH226" s="209">
        <f t="shared" si="20"/>
        <v>3.7625345689554588E-3</v>
      </c>
      <c r="AI226" s="209">
        <f t="shared" si="21"/>
        <v>3.907555526815122E-3</v>
      </c>
      <c r="AJ226" s="179">
        <f t="shared" si="22"/>
        <v>3.9060715248935454E-3</v>
      </c>
    </row>
    <row r="227" spans="32:36" x14ac:dyDescent="0.2">
      <c r="AF227" s="208">
        <f>_xll.qlCalendarAdvance(Calendar,AF226,"1d","mf",,Trigger)</f>
        <v>42276</v>
      </c>
      <c r="AG227" s="219">
        <f>_xll.qlDayCounterYearFraction(DayCounterON,SettlementDate,AF227,,,Trigger)</f>
        <v>0.88219178082191785</v>
      </c>
      <c r="AH227" s="209">
        <f t="shared" si="20"/>
        <v>3.7625345689554588E-3</v>
      </c>
      <c r="AI227" s="209">
        <f t="shared" si="21"/>
        <v>3.9086026095433513E-3</v>
      </c>
      <c r="AJ227" s="179">
        <f t="shared" si="22"/>
        <v>3.9071778170223842E-3</v>
      </c>
    </row>
    <row r="228" spans="32:36" x14ac:dyDescent="0.2">
      <c r="AF228" s="208">
        <f>_xll.qlCalendarAdvance(Calendar,AF227,"1d","mf",,Trigger)</f>
        <v>42277</v>
      </c>
      <c r="AG228" s="219">
        <f>_xll.qlDayCounterYearFraction(DayCounterON,SettlementDate,AF228,,,Trigger)</f>
        <v>0.8849315068493151</v>
      </c>
      <c r="AH228" s="209">
        <f t="shared" si="20"/>
        <v>3.7625345689554588E-3</v>
      </c>
      <c r="AI228" s="209">
        <f t="shared" si="21"/>
        <v>3.9096496922715798E-3</v>
      </c>
      <c r="AJ228" s="179">
        <f t="shared" si="22"/>
        <v>3.9082847458114462E-3</v>
      </c>
    </row>
    <row r="229" spans="32:36" x14ac:dyDescent="0.2">
      <c r="AF229" s="208">
        <f>_xll.qlCalendarAdvance(Calendar,AF228,"1d","mf",,Trigger)</f>
        <v>42278</v>
      </c>
      <c r="AG229" s="219">
        <f>_xll.qlDayCounterYearFraction(DayCounterON,SettlementDate,AF229,,,Trigger)</f>
        <v>0.88767123287671235</v>
      </c>
      <c r="AH229" s="209">
        <f t="shared" si="20"/>
        <v>3.7625345689554588E-3</v>
      </c>
      <c r="AI229" s="209">
        <f t="shared" si="21"/>
        <v>3.9106967749998082E-3</v>
      </c>
      <c r="AJ229" s="179">
        <f t="shared" si="22"/>
        <v>3.9093923112607284E-3</v>
      </c>
    </row>
    <row r="230" spans="32:36" x14ac:dyDescent="0.2">
      <c r="AF230" s="208">
        <f>_xll.qlCalendarAdvance(Calendar,AF229,"1d","mf",,Trigger)</f>
        <v>42279</v>
      </c>
      <c r="AG230" s="219">
        <f>_xll.qlDayCounterYearFraction(DayCounterON,SettlementDate,AF230,,,Trigger)</f>
        <v>0.8904109589041096</v>
      </c>
      <c r="AH230" s="209">
        <f t="shared" si="20"/>
        <v>3.7625345689554588E-3</v>
      </c>
      <c r="AI230" s="209">
        <f t="shared" si="21"/>
        <v>3.9117438577280367E-3</v>
      </c>
      <c r="AJ230" s="179">
        <f t="shared" si="22"/>
        <v>3.9105005133702325E-3</v>
      </c>
    </row>
    <row r="231" spans="32:36" x14ac:dyDescent="0.2">
      <c r="AF231" s="208">
        <f>_xll.qlCalendarAdvance(Calendar,AF230,"1d","mf",,Trigger)</f>
        <v>42282</v>
      </c>
      <c r="AG231" s="219">
        <f>_xll.qlDayCounterYearFraction(DayCounterON,SettlementDate,AF231,,,Trigger)</f>
        <v>0.89863013698630134</v>
      </c>
      <c r="AH231" s="209">
        <f t="shared" si="20"/>
        <v>3.7625345689554588E-3</v>
      </c>
      <c r="AI231" s="209">
        <f t="shared" si="21"/>
        <v>3.9148851059127229E-3</v>
      </c>
      <c r="AJ231" s="179">
        <f t="shared" si="22"/>
        <v>3.9138289396600748E-3</v>
      </c>
    </row>
    <row r="232" spans="32:36" x14ac:dyDescent="0.2">
      <c r="AF232" s="208">
        <f>_xll.qlCalendarAdvance(Calendar,AF231,"1d","mf",,Trigger)</f>
        <v>42283</v>
      </c>
      <c r="AG232" s="219">
        <f>_xll.qlDayCounterYearFraction(DayCounterON,SettlementDate,AF232,,,Trigger)</f>
        <v>0.90136986301369859</v>
      </c>
      <c r="AH232" s="209">
        <f t="shared" si="20"/>
        <v>3.7625345689554588E-3</v>
      </c>
      <c r="AI232" s="209">
        <f t="shared" si="21"/>
        <v>3.9159321886409514E-3</v>
      </c>
      <c r="AJ232" s="179">
        <f t="shared" si="22"/>
        <v>3.9149396884104659E-3</v>
      </c>
    </row>
    <row r="233" spans="32:36" x14ac:dyDescent="0.2">
      <c r="AF233" s="208">
        <f>_xll.qlCalendarAdvance(Calendar,AF232,"1d","mf",,Trigger)</f>
        <v>42284</v>
      </c>
      <c r="AG233" s="219">
        <f>_xll.qlDayCounterYearFraction(DayCounterON,SettlementDate,AF233,,,Trigger)</f>
        <v>0.90410958904109584</v>
      </c>
      <c r="AH233" s="209">
        <f t="shared" si="20"/>
        <v>3.7625345689554588E-3</v>
      </c>
      <c r="AI233" s="209">
        <f t="shared" si="21"/>
        <v>3.9169792713691799E-3</v>
      </c>
      <c r="AJ233" s="179">
        <f t="shared" si="22"/>
        <v>3.916051073821078E-3</v>
      </c>
    </row>
    <row r="234" spans="32:36" x14ac:dyDescent="0.2">
      <c r="AF234" s="208">
        <f>_xll.qlCalendarAdvance(Calendar,AF233,"1d","mf",,Trigger)</f>
        <v>42285</v>
      </c>
      <c r="AG234" s="219">
        <f>_xll.qlDayCounterYearFraction(DayCounterON,SettlementDate,AF234,,,Trigger)</f>
        <v>0.9068493150684932</v>
      </c>
      <c r="AH234" s="209">
        <f t="shared" si="20"/>
        <v>3.7625345689554588E-3</v>
      </c>
      <c r="AI234" s="209">
        <f t="shared" si="21"/>
        <v>3.9180263540974083E-3</v>
      </c>
      <c r="AJ234" s="179">
        <f t="shared" si="22"/>
        <v>3.917163095891912E-3</v>
      </c>
    </row>
    <row r="235" spans="32:36" x14ac:dyDescent="0.2">
      <c r="AF235" s="208">
        <f>_xll.qlCalendarAdvance(Calendar,AF234,"1d","mf",,Trigger)</f>
        <v>42286</v>
      </c>
      <c r="AG235" s="219">
        <f>_xll.qlDayCounterYearFraction(DayCounterON,SettlementDate,AF235,,,Trigger)</f>
        <v>0.90958904109589045</v>
      </c>
      <c r="AH235" s="209">
        <f t="shared" si="20"/>
        <v>3.7625345689554588E-3</v>
      </c>
      <c r="AI235" s="209">
        <f t="shared" si="21"/>
        <v>3.9190734368256376E-3</v>
      </c>
      <c r="AJ235" s="179">
        <f t="shared" si="22"/>
        <v>3.918275754622968E-3</v>
      </c>
    </row>
    <row r="236" spans="32:36" x14ac:dyDescent="0.2">
      <c r="AF236" s="208">
        <f>_xll.qlCalendarAdvance(Calendar,AF235,"1d","mf",,Trigger)</f>
        <v>42289</v>
      </c>
      <c r="AG236" s="219">
        <f>_xll.qlDayCounterYearFraction(DayCounterON,SettlementDate,AF236,,,Trigger)</f>
        <v>0.9178082191780822</v>
      </c>
      <c r="AH236" s="209">
        <f t="shared" si="20"/>
        <v>3.7625345689554588E-3</v>
      </c>
      <c r="AI236" s="209">
        <f t="shared" si="21"/>
        <v>3.922214685010323E-3</v>
      </c>
      <c r="AJ236" s="179">
        <f t="shared" si="22"/>
        <v>3.9216175507774641E-3</v>
      </c>
    </row>
    <row r="237" spans="32:36" x14ac:dyDescent="0.2">
      <c r="AF237" s="208">
        <f>_xll.qlCalendarAdvance(Calendar,AF236,"1d","mf",,Trigger)</f>
        <v>42290</v>
      </c>
      <c r="AG237" s="219">
        <f>_xll.qlDayCounterYearFraction(DayCounterON,SettlementDate,AF237,,,Trigger)</f>
        <v>0.92054794520547945</v>
      </c>
      <c r="AH237" s="209">
        <f t="shared" si="20"/>
        <v>3.7625345689554588E-3</v>
      </c>
      <c r="AI237" s="209">
        <f t="shared" si="21"/>
        <v>3.9232617677385515E-3</v>
      </c>
      <c r="AJ237" s="179">
        <f t="shared" si="22"/>
        <v>3.9227327561494069E-3</v>
      </c>
    </row>
    <row r="238" spans="32:36" x14ac:dyDescent="0.2">
      <c r="AF238" s="208">
        <f>_xll.qlCalendarAdvance(Calendar,AF237,"1d","mf",,Trigger)</f>
        <v>42291</v>
      </c>
      <c r="AG238" s="219">
        <f>_xll.qlDayCounterYearFraction(DayCounterON,SettlementDate,AF238,,,Trigger)</f>
        <v>0.92328767123287669</v>
      </c>
      <c r="AH238" s="209">
        <f t="shared" si="20"/>
        <v>3.7625345689554588E-3</v>
      </c>
      <c r="AI238" s="209">
        <f t="shared" si="21"/>
        <v>3.9243088504667808E-3</v>
      </c>
      <c r="AJ238" s="179">
        <f t="shared" si="22"/>
        <v>3.92384859818157E-3</v>
      </c>
    </row>
    <row r="239" spans="32:36" x14ac:dyDescent="0.2">
      <c r="AF239" s="208">
        <f>_xll.qlCalendarAdvance(Calendar,AF238,"1d","mf",,Trigger)</f>
        <v>42292</v>
      </c>
      <c r="AG239" s="219">
        <f>_xll.qlDayCounterYearFraction(DayCounterON,SettlementDate,AF239,,,Trigger)</f>
        <v>0.92602739726027394</v>
      </c>
      <c r="AH239" s="209">
        <f t="shared" si="20"/>
        <v>3.7625345689554588E-3</v>
      </c>
      <c r="AI239" s="209">
        <f t="shared" si="21"/>
        <v>3.9253559331950093E-3</v>
      </c>
      <c r="AJ239" s="179">
        <f t="shared" si="22"/>
        <v>3.924965076873955E-3</v>
      </c>
    </row>
    <row r="240" spans="32:36" x14ac:dyDescent="0.2">
      <c r="AF240" s="208">
        <f>_xll.qlCalendarAdvance(Calendar,AF239,"1d","mf",,Trigger)</f>
        <v>42293</v>
      </c>
      <c r="AG240" s="219">
        <f>_xll.qlDayCounterYearFraction(DayCounterON,SettlementDate,AF240,,,Trigger)</f>
        <v>0.92876712328767119</v>
      </c>
      <c r="AH240" s="209">
        <f t="shared" si="20"/>
        <v>3.7625345689554588E-3</v>
      </c>
      <c r="AI240" s="209">
        <f t="shared" si="21"/>
        <v>3.9264030159232377E-3</v>
      </c>
      <c r="AJ240" s="179">
        <f t="shared" si="22"/>
        <v>3.9260821922265628E-3</v>
      </c>
    </row>
    <row r="241" spans="32:36" x14ac:dyDescent="0.2">
      <c r="AF241" s="208">
        <f>_xll.qlCalendarAdvance(Calendar,AF240,"1d","mf",,Trigger)</f>
        <v>42296</v>
      </c>
      <c r="AG241" s="219">
        <f>_xll.qlDayCounterYearFraction(DayCounterON,SettlementDate,AF241,,,Trigger)</f>
        <v>0.93698630136986305</v>
      </c>
      <c r="AH241" s="209">
        <f t="shared" si="20"/>
        <v>3.7625345689554588E-3</v>
      </c>
      <c r="AI241" s="209">
        <f t="shared" si="21"/>
        <v>3.929544264107924E-3</v>
      </c>
      <c r="AJ241" s="179">
        <f t="shared" si="22"/>
        <v>3.9294373582457135E-3</v>
      </c>
    </row>
    <row r="242" spans="32:36" x14ac:dyDescent="0.2">
      <c r="AF242" s="208">
        <f>_xll.qlCalendarAdvance(Calendar,AF241,"1d","mf",,Trigger)</f>
        <v>42297</v>
      </c>
      <c r="AG242" s="219">
        <f>_xll.qlDayCounterYearFraction(DayCounterON,SettlementDate,AF242,,,Trigger)</f>
        <v>0.9397260273972603</v>
      </c>
      <c r="AH242" s="209">
        <f t="shared" si="20"/>
        <v>3.7625345689554588E-3</v>
      </c>
      <c r="AI242" s="209">
        <f t="shared" si="21"/>
        <v>3.9305913468361525E-3</v>
      </c>
      <c r="AJ242" s="179">
        <f t="shared" si="22"/>
        <v>3.9305570202392065E-3</v>
      </c>
    </row>
    <row r="243" spans="32:36" x14ac:dyDescent="0.2">
      <c r="AF243" s="208">
        <f>_xll.qlCalendarAdvance(Calendar,AF242,"1d","mf",,Trigger)</f>
        <v>42298</v>
      </c>
      <c r="AG243" s="219">
        <f>_xll.qlDayCounterYearFraction(DayCounterON,SettlementDate,AF243,,,Trigger)</f>
        <v>0.94246575342465755</v>
      </c>
      <c r="AH243" s="209">
        <f t="shared" si="20"/>
        <v>3.7625345689554588E-3</v>
      </c>
      <c r="AI243" s="209">
        <f t="shared" si="21"/>
        <v>3.9316384295643809E-3</v>
      </c>
      <c r="AJ243" s="179">
        <f t="shared" si="22"/>
        <v>3.9316773188929214E-3</v>
      </c>
    </row>
    <row r="244" spans="32:36" x14ac:dyDescent="0.2">
      <c r="AF244" s="208">
        <f>_xll.qlCalendarAdvance(Calendar,AF243,"1d","mf",,Trigger)</f>
        <v>42299</v>
      </c>
      <c r="AG244" s="219">
        <f>_xll.qlDayCounterYearFraction(DayCounterON,SettlementDate,AF244,,,Trigger)</f>
        <v>0.9452054794520548</v>
      </c>
      <c r="AH244" s="209">
        <f t="shared" si="20"/>
        <v>3.7625345689554588E-3</v>
      </c>
      <c r="AI244" s="209">
        <f t="shared" si="21"/>
        <v>3.9326855122926094E-3</v>
      </c>
      <c r="AJ244" s="179">
        <f t="shared" si="22"/>
        <v>3.9327982542068582E-3</v>
      </c>
    </row>
    <row r="245" spans="32:36" x14ac:dyDescent="0.2">
      <c r="AF245" s="208">
        <f>_xll.qlCalendarAdvance(Calendar,AF244,"1d","mf",,Trigger)</f>
        <v>42300</v>
      </c>
      <c r="AG245" s="219">
        <f>_xll.qlDayCounterYearFraction(DayCounterON,SettlementDate,AF245,,,Trigger)</f>
        <v>0.94794520547945205</v>
      </c>
      <c r="AH245" s="209">
        <f t="shared" si="20"/>
        <v>3.7625345689554588E-3</v>
      </c>
      <c r="AI245" s="209">
        <f t="shared" si="21"/>
        <v>3.9337325950208378E-3</v>
      </c>
      <c r="AJ245" s="179">
        <f t="shared" si="22"/>
        <v>3.933919826181017E-3</v>
      </c>
    </row>
    <row r="246" spans="32:36" x14ac:dyDescent="0.2">
      <c r="AF246" s="208">
        <f>_xll.qlCalendarAdvance(Calendar,AF245,"1d","mf",,Trigger)</f>
        <v>42303</v>
      </c>
      <c r="AG246" s="219">
        <f>_xll.qlDayCounterYearFraction(DayCounterON,SettlementDate,AF246,,,Trigger)</f>
        <v>0.95616438356164379</v>
      </c>
      <c r="AH246" s="209">
        <f t="shared" si="20"/>
        <v>3.7625345689554588E-3</v>
      </c>
      <c r="AI246" s="209">
        <f t="shared" si="21"/>
        <v>3.9368738432055241E-3</v>
      </c>
      <c r="AJ246" s="179">
        <f t="shared" si="22"/>
        <v>3.9372883620648214E-3</v>
      </c>
    </row>
    <row r="247" spans="32:36" x14ac:dyDescent="0.2">
      <c r="AF247" s="208">
        <f>_xll.qlCalendarAdvance(Calendar,AF246,"1d","mf",,Trigger)</f>
        <v>42304</v>
      </c>
      <c r="AG247" s="219">
        <f>_xll.qlDayCounterYearFraction(DayCounterON,SettlementDate,AF247,,,Trigger)</f>
        <v>0.95890410958904104</v>
      </c>
      <c r="AH247" s="209">
        <f t="shared" si="20"/>
        <v>3.7625345689554588E-3</v>
      </c>
      <c r="AI247" s="209">
        <f t="shared" si="21"/>
        <v>3.9379209259337526E-3</v>
      </c>
      <c r="AJ247" s="179">
        <f t="shared" si="22"/>
        <v>3.9384124806798662E-3</v>
      </c>
    </row>
    <row r="248" spans="32:36" x14ac:dyDescent="0.2">
      <c r="AF248" s="208">
        <f>_xll.qlCalendarAdvance(Calendar,AF247,"1d","mf",,Trigger)</f>
        <v>42305</v>
      </c>
      <c r="AG248" s="219">
        <f>_xll.qlDayCounterYearFraction(DayCounterON,SettlementDate,AF248,,,Trigger)</f>
        <v>0.9616438356164384</v>
      </c>
      <c r="AH248" s="209">
        <f t="shared" si="20"/>
        <v>3.7625345689554588E-3</v>
      </c>
      <c r="AI248" s="209">
        <f t="shared" si="21"/>
        <v>3.938968008661981E-3</v>
      </c>
      <c r="AJ248" s="179">
        <f t="shared" si="22"/>
        <v>3.9395372359551329E-3</v>
      </c>
    </row>
    <row r="249" spans="32:36" x14ac:dyDescent="0.2">
      <c r="AF249" s="208">
        <f>_xll.qlCalendarAdvance(Calendar,AF248,"1d","mf",,Trigger)</f>
        <v>42306</v>
      </c>
      <c r="AG249" s="219">
        <f>_xll.qlDayCounterYearFraction(DayCounterON,SettlementDate,AF249,,,Trigger)</f>
        <v>0.96438356164383565</v>
      </c>
      <c r="AH249" s="209">
        <f t="shared" si="20"/>
        <v>3.7625345689554588E-3</v>
      </c>
      <c r="AI249" s="209">
        <f t="shared" si="21"/>
        <v>3.9400150913902095E-3</v>
      </c>
      <c r="AJ249" s="179">
        <f t="shared" si="22"/>
        <v>3.9406626278906207E-3</v>
      </c>
    </row>
    <row r="250" spans="32:36" x14ac:dyDescent="0.2">
      <c r="AF250" s="208">
        <f>_xll.qlCalendarAdvance(Calendar,AF249,"1d","mf",,Trigger)</f>
        <v>42307</v>
      </c>
      <c r="AG250" s="219">
        <f>_xll.qlDayCounterYearFraction(DayCounterON,SettlementDate,AF250,,,Trigger)</f>
        <v>0.9671232876712329</v>
      </c>
      <c r="AH250" s="209">
        <f t="shared" si="20"/>
        <v>3.7625345689554588E-3</v>
      </c>
      <c r="AI250" s="209">
        <f t="shared" si="21"/>
        <v>3.9410621741184388E-3</v>
      </c>
      <c r="AJ250" s="179">
        <f t="shared" si="22"/>
        <v>3.9417886564863305E-3</v>
      </c>
    </row>
    <row r="251" spans="32:36" x14ac:dyDescent="0.2">
      <c r="AF251" s="208">
        <f>_xll.qlCalendarAdvance(Calendar,AF250,"1d","mf",,Trigger)</f>
        <v>42310</v>
      </c>
      <c r="AG251" s="219">
        <f>_xll.qlDayCounterYearFraction(DayCounterON,SettlementDate,AF251,,,Trigger)</f>
        <v>0.97534246575342465</v>
      </c>
      <c r="AH251" s="209">
        <f t="shared" si="20"/>
        <v>3.7625345689554588E-3</v>
      </c>
      <c r="AI251" s="209">
        <f t="shared" si="21"/>
        <v>3.9442034223031242E-3</v>
      </c>
      <c r="AJ251" s="179">
        <f t="shared" si="22"/>
        <v>3.9451705622347887E-3</v>
      </c>
    </row>
    <row r="252" spans="32:36" x14ac:dyDescent="0.2">
      <c r="AF252" s="208">
        <f>_xll.qlCalendarAdvance(Calendar,AF251,"1d","mf",,Trigger)</f>
        <v>42311</v>
      </c>
      <c r="AG252" s="219">
        <f>_xll.qlDayCounterYearFraction(DayCounterON,SettlementDate,AF252,,,Trigger)</f>
        <v>0.9780821917808219</v>
      </c>
      <c r="AH252" s="209">
        <f t="shared" si="20"/>
        <v>3.7625345689554588E-3</v>
      </c>
      <c r="AI252" s="209">
        <f t="shared" si="21"/>
        <v>3.9452505050313526E-3</v>
      </c>
      <c r="AJ252" s="179">
        <f t="shared" si="22"/>
        <v>3.9462991374713853E-3</v>
      </c>
    </row>
    <row r="253" spans="32:36" x14ac:dyDescent="0.2">
      <c r="AF253" s="208">
        <f>_xll.qlCalendarAdvance(Calendar,AF252,"1d","mf",,Trigger)</f>
        <v>42312</v>
      </c>
      <c r="AG253" s="219">
        <f>_xll.qlDayCounterYearFraction(DayCounterON,SettlementDate,AF253,,,Trigger)</f>
        <v>0.98082191780821915</v>
      </c>
      <c r="AH253" s="209">
        <f t="shared" si="20"/>
        <v>3.7625345689554588E-3</v>
      </c>
      <c r="AI253" s="209">
        <f t="shared" si="21"/>
        <v>3.946297587759582E-3</v>
      </c>
      <c r="AJ253" s="179">
        <f t="shared" si="22"/>
        <v>3.947428349368203E-3</v>
      </c>
    </row>
    <row r="254" spans="32:36" x14ac:dyDescent="0.2">
      <c r="AF254" s="208">
        <f>_xll.qlCalendarAdvance(Calendar,AF253,"1d","mf",,Trigger)</f>
        <v>42313</v>
      </c>
      <c r="AG254" s="219">
        <f>_xll.qlDayCounterYearFraction(DayCounterON,SettlementDate,AF254,,,Trigger)</f>
        <v>0.98356164383561639</v>
      </c>
      <c r="AH254" s="209">
        <f t="shared" si="20"/>
        <v>3.7625345689554588E-3</v>
      </c>
      <c r="AI254" s="209">
        <f t="shared" si="21"/>
        <v>3.9473446704878104E-3</v>
      </c>
      <c r="AJ254" s="179">
        <f t="shared" si="22"/>
        <v>3.9485581979252418E-3</v>
      </c>
    </row>
    <row r="255" spans="32:36" x14ac:dyDescent="0.2">
      <c r="AF255" s="208">
        <f>_xll.qlCalendarAdvance(Calendar,AF254,"1d","mf",,Trigger)</f>
        <v>42314</v>
      </c>
      <c r="AG255" s="219">
        <f>_xll.qlDayCounterYearFraction(DayCounterON,SettlementDate,AF255,,,Trigger)</f>
        <v>0.98630136986301364</v>
      </c>
      <c r="AH255" s="209">
        <f t="shared" si="20"/>
        <v>3.7625345689554588E-3</v>
      </c>
      <c r="AI255" s="209">
        <f t="shared" si="21"/>
        <v>3.9483917532160389E-3</v>
      </c>
      <c r="AJ255" s="179">
        <f t="shared" si="22"/>
        <v>3.9496886831425033E-3</v>
      </c>
    </row>
    <row r="256" spans="32:36" x14ac:dyDescent="0.2">
      <c r="AF256" s="208">
        <f>_xll.qlCalendarAdvance(Calendar,AF255,"1d","mf",,Trigger)</f>
        <v>42317</v>
      </c>
      <c r="AG256" s="219">
        <f>_xll.qlDayCounterYearFraction(DayCounterON,SettlementDate,AF256,,,Trigger)</f>
        <v>0.9945205479452055</v>
      </c>
      <c r="AH256" s="209">
        <f t="shared" si="20"/>
        <v>3.7625345689554588E-3</v>
      </c>
      <c r="AI256" s="209">
        <f t="shared" si="21"/>
        <v>3.9515330014007252E-3</v>
      </c>
      <c r="AJ256" s="179">
        <f t="shared" si="22"/>
        <v>3.9530839587556162E-3</v>
      </c>
    </row>
    <row r="257" spans="32:36" ht="12" thickBot="1" x14ac:dyDescent="0.25">
      <c r="AF257" s="210">
        <f>_xll.qlCalendarAdvance(Calendar,AF256,"1d","mf",,Trigger)</f>
        <v>42318</v>
      </c>
      <c r="AG257" s="221">
        <f>_xll.qlDayCounterYearFraction(DayCounterON,SettlementDate,AF257,,,Trigger)</f>
        <v>0.99726027397260275</v>
      </c>
      <c r="AH257" s="211">
        <f t="shared" si="20"/>
        <v>3.7625345689554588E-3</v>
      </c>
      <c r="AI257" s="211">
        <f t="shared" si="21"/>
        <v>3.9525800841289536E-3</v>
      </c>
      <c r="AJ257" s="184">
        <f t="shared" si="22"/>
        <v>3.9542169906137637E-3</v>
      </c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33" priority="6">
      <formula>$P$3</formula>
    </cfRule>
    <cfRule type="expression" dxfId="32" priority="7">
      <formula>$P$3</formula>
    </cfRule>
  </conditionalFormatting>
  <conditionalFormatting sqref="N5">
    <cfRule type="expression" dxfId="31" priority="4">
      <formula>$P$5</formula>
    </cfRule>
  </conditionalFormatting>
  <conditionalFormatting sqref="N6">
    <cfRule type="expression" dxfId="30" priority="3">
      <formula>$P$6</formula>
    </cfRule>
  </conditionalFormatting>
  <conditionalFormatting sqref="N7">
    <cfRule type="expression" dxfId="29" priority="2">
      <formula>$P$7</formula>
    </cfRule>
  </conditionalFormatting>
  <conditionalFormatting sqref="N4">
    <cfRule type="expression" dxfId="28" priority="1">
      <formula>$P$5</formula>
    </cfRule>
  </conditionalFormatting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D36">
      <formula1>"flat,linear,quadratic"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69" bestFit="1" customWidth="1"/>
    <col min="2" max="2" width="20.1640625" style="69" customWidth="1"/>
    <col min="3" max="3" width="17.6640625" style="69" hidden="1" customWidth="1" outlineLevel="1"/>
    <col min="4" max="4" width="20.1640625" style="69" customWidth="1" collapsed="1"/>
    <col min="5" max="5" width="20.1640625" style="69" customWidth="1"/>
    <col min="6" max="8" width="10.5" style="69" bestFit="1" customWidth="1"/>
    <col min="9" max="9" width="17.6640625" style="69" bestFit="1" customWidth="1"/>
    <col min="10" max="10" width="9.33203125" style="69"/>
    <col min="16" max="16" width="2.83203125" style="69" customWidth="1"/>
    <col min="17" max="17" width="27.5" style="69" bestFit="1" customWidth="1"/>
    <col min="18" max="18" width="20.1640625" style="69" hidden="1" customWidth="1"/>
    <col min="19" max="19" width="20.1640625" style="69" bestFit="1" customWidth="1"/>
    <col min="20" max="20" width="20.1640625" style="69" customWidth="1"/>
    <col min="21" max="21" width="20.1640625" style="69" hidden="1" customWidth="1"/>
    <col min="22" max="22" width="10" style="69" bestFit="1" customWidth="1"/>
    <col min="23" max="23" width="9.33203125" style="69" customWidth="1"/>
    <col min="24" max="24" width="10" style="69" bestFit="1" customWidth="1"/>
    <col min="25" max="25" width="9.33203125" style="69"/>
    <col min="26" max="26" width="2.83203125" style="69" customWidth="1"/>
    <col min="27" max="16384" width="9.33203125" style="69"/>
  </cols>
  <sheetData>
    <row r="1" spans="1:29" ht="22.5" x14ac:dyDescent="0.2">
      <c r="A1" s="377"/>
      <c r="B1" s="377" t="s">
        <v>93</v>
      </c>
      <c r="C1" s="377"/>
      <c r="D1" s="377" t="s">
        <v>94</v>
      </c>
      <c r="E1" s="377" t="s">
        <v>95</v>
      </c>
      <c r="F1" s="377" t="s">
        <v>37</v>
      </c>
      <c r="G1" s="377" t="s">
        <v>97</v>
      </c>
      <c r="H1" s="377" t="s">
        <v>98</v>
      </c>
    </row>
    <row r="2" spans="1:29" x14ac:dyDescent="0.2">
      <c r="A2" s="382">
        <v>0</v>
      </c>
      <c r="B2" s="383">
        <f>_xll.qlInterestRateIndexFixingDate(IborIndex,D2)</f>
        <v>41950</v>
      </c>
      <c r="C2" s="382" t="str">
        <f>_xll.qlMakeDatedOIS(,D2,E2,OvernightIndex,0,"Act/360",0)</f>
        <v>obj_005c4#0001</v>
      </c>
      <c r="D2" s="383">
        <f>_xll.qlCalendarAdvance(Calendar,SettlementDate,A2&amp;"M","mf")</f>
        <v>41954</v>
      </c>
      <c r="E2" s="383">
        <f>_xll.qlInterestRateIndexMaturity(IborIndex,D2)</f>
        <v>42319</v>
      </c>
      <c r="F2" s="384">
        <f>_xll.qlOvernightIndexedSwapFairRate(C2,_xll.ohTrigger(InterestRatesTrigger))</f>
        <v>-5.0557854652706537E-4</v>
      </c>
      <c r="G2" s="385">
        <f>_xll.qlInterpolationInterpolate(BasisInterpolator,D2,TRUE,F2)</f>
        <v>3.7109929995177132E-3</v>
      </c>
      <c r="H2" s="384">
        <f>F2+G2</f>
        <v>3.2054144529906478E-3</v>
      </c>
      <c r="AA2" s="70"/>
      <c r="AB2" s="70"/>
      <c r="AC2" s="171"/>
    </row>
    <row r="3" spans="1:29" x14ac:dyDescent="0.2">
      <c r="A3" s="368">
        <v>1</v>
      </c>
      <c r="B3" s="369">
        <f>_xll.qlInterestRateIndexFixingDate(IborIndex,D3)</f>
        <v>41982</v>
      </c>
      <c r="C3" s="368" t="str">
        <f>_xll.qlMakeDatedOIS(,D3,E3,OvernightIndex,0,"Act/360",0)</f>
        <v>obj_005f8#0001</v>
      </c>
      <c r="D3" s="369">
        <f>_xll.qlCalendarAdvance(Calendar,SettlementDate,A3&amp;"M","mf")</f>
        <v>41984</v>
      </c>
      <c r="E3" s="369">
        <f>_xll.qlInterestRateIndexMaturity(IborIndex,D3)</f>
        <v>42349</v>
      </c>
      <c r="F3" s="370">
        <f>_xll.qlOvernightIndexedSwapFairRate(C3,_xll.ohTrigger(InterestRatesTrigger))</f>
        <v>-5.5419268688418485E-4</v>
      </c>
      <c r="G3" s="371">
        <f>_xll.qlInterpolationInterpolate(BasisInterpolator,D3,TRUE,F3)</f>
        <v>3.7412049215616431E-3</v>
      </c>
      <c r="H3" s="370">
        <f>F3+G3</f>
        <v>3.1870122346774584E-3</v>
      </c>
      <c r="AA3" s="70"/>
      <c r="AB3" s="70"/>
      <c r="AC3" s="171"/>
    </row>
    <row r="4" spans="1:29" x14ac:dyDescent="0.2">
      <c r="A4" s="368">
        <v>2</v>
      </c>
      <c r="B4" s="369">
        <f>_xll.qlInterestRateIndexFixingDate(IborIndex,D4)</f>
        <v>42012</v>
      </c>
      <c r="C4" s="368" t="str">
        <f>_xll.qlMakeDatedOIS(,D4,E4,OvernightIndex,0,"Act/360",0)</f>
        <v>obj_005c5#0001</v>
      </c>
      <c r="D4" s="369">
        <f>_xll.qlCalendarAdvance(Calendar,SettlementDate,A4&amp;"M","mf")</f>
        <v>42016</v>
      </c>
      <c r="E4" s="369">
        <f>_xll.qlInterestRateIndexMaturity(IborIndex,D4)</f>
        <v>42381</v>
      </c>
      <c r="F4" s="370">
        <f>_xll.qlOvernightIndexedSwapFairRate(C4,_xll.ohTrigger(InterestRatesTrigger))</f>
        <v>-5.5732564295815211E-4</v>
      </c>
      <c r="G4" s="371">
        <f>_xll.qlInterpolationInterpolate(BasisInterpolator,D4,TRUE,F4)</f>
        <v>3.7742779057196862E-3</v>
      </c>
      <c r="H4" s="370">
        <f t="shared" ref="H4:H50" si="0">F4+G4</f>
        <v>3.2169522627615342E-3</v>
      </c>
      <c r="AA4" s="70"/>
      <c r="AB4" s="70"/>
      <c r="AC4" s="171"/>
    </row>
    <row r="5" spans="1:29" x14ac:dyDescent="0.2">
      <c r="A5" s="368">
        <v>3</v>
      </c>
      <c r="B5" s="369">
        <f>_xll.qlInterestRateIndexFixingDate(IborIndex,D5)</f>
        <v>42044</v>
      </c>
      <c r="C5" s="368" t="str">
        <f>_xll.qlMakeDatedOIS(,D5,E5,OvernightIndex,0,"Act/360",0)</f>
        <v>obj_005e6#0001</v>
      </c>
      <c r="D5" s="369">
        <f>_xll.qlCalendarAdvance(Calendar,SettlementDate,A5&amp;"M","mf")</f>
        <v>42046</v>
      </c>
      <c r="E5" s="369">
        <f>_xll.qlInterestRateIndexMaturity(IborIndex,D5)</f>
        <v>42411</v>
      </c>
      <c r="F5" s="370">
        <f>_xll.qlOvernightIndexedSwapFairRate(C5,_xll.ohTrigger(InterestRatesTrigger))</f>
        <v>-5.8755599095431396E-4</v>
      </c>
      <c r="G5" s="371">
        <f>_xll.qlInterpolationInterpolate(BasisInterpolator,D5,TRUE,F5)</f>
        <v>3.8060049994051983E-3</v>
      </c>
      <c r="H5" s="370">
        <f t="shared" si="0"/>
        <v>3.2184490084508845E-3</v>
      </c>
      <c r="AA5" s="70"/>
      <c r="AB5" s="70"/>
      <c r="AC5" s="171"/>
    </row>
    <row r="6" spans="1:29" x14ac:dyDescent="0.2">
      <c r="A6" s="368">
        <v>4</v>
      </c>
      <c r="B6" s="369">
        <f>_xll.qlInterestRateIndexFixingDate(IborIndex,D6)</f>
        <v>42072</v>
      </c>
      <c r="C6" s="368" t="str">
        <f>_xll.qlMakeDatedOIS(,D6,E6,OvernightIndex,0,"Act/360",0)</f>
        <v>obj_005db#0001</v>
      </c>
      <c r="D6" s="369">
        <f>_xll.qlCalendarAdvance(Calendar,SettlementDate,A6&amp;"M","mf")</f>
        <v>42074</v>
      </c>
      <c r="E6" s="369">
        <f>_xll.qlInterestRateIndexMaturity(IborIndex,D6)</f>
        <v>42440</v>
      </c>
      <c r="F6" s="370">
        <f>_xll.qlOvernightIndexedSwapFairRate(C6,_xll.ohTrigger(InterestRatesTrigger))</f>
        <v>-6.1882402504330773E-4</v>
      </c>
      <c r="G6" s="371">
        <f>_xll.qlInterpolationInterpolate(BasisInterpolator,D6,TRUE,F6)</f>
        <v>3.8361844146667223E-3</v>
      </c>
      <c r="H6" s="370">
        <f t="shared" si="0"/>
        <v>3.2173603896234145E-3</v>
      </c>
      <c r="AA6" s="70"/>
      <c r="AB6" s="70"/>
      <c r="AC6" s="171"/>
    </row>
    <row r="7" spans="1:29" x14ac:dyDescent="0.2">
      <c r="A7" s="368">
        <v>5</v>
      </c>
      <c r="B7" s="369">
        <f>_xll.qlInterestRateIndexFixingDate(IborIndex,D7)</f>
        <v>42103</v>
      </c>
      <c r="C7" s="368" t="str">
        <f>_xll.qlMakeDatedOIS(,D7,E7,OvernightIndex,0,"Act/360",0)</f>
        <v>obj_005c7#0001</v>
      </c>
      <c r="D7" s="369">
        <f>_xll.qlCalendarAdvance(Calendar,SettlementDate,A7&amp;"M","mf")</f>
        <v>42107</v>
      </c>
      <c r="E7" s="369">
        <f>_xll.qlInterestRateIndexMaturity(IborIndex,D7)</f>
        <v>42473</v>
      </c>
      <c r="F7" s="370">
        <f>_xll.qlOvernightIndexedSwapFairRate(C7,_xll.ohTrigger(InterestRatesTrigger))</f>
        <v>-6.4078924447067375E-4</v>
      </c>
      <c r="G7" s="371">
        <f>_xll.qlInterpolationInterpolate(BasisInterpolator,D7,TRUE,F7)</f>
        <v>3.8723784338537902E-3</v>
      </c>
      <c r="H7" s="370">
        <f t="shared" si="0"/>
        <v>3.2315891893831164E-3</v>
      </c>
      <c r="AA7" s="70"/>
      <c r="AB7" s="70"/>
      <c r="AC7" s="171"/>
    </row>
    <row r="8" spans="1:29" x14ac:dyDescent="0.2">
      <c r="A8" s="368">
        <v>6</v>
      </c>
      <c r="B8" s="369">
        <f>_xll.qlInterestRateIndexFixingDate(IborIndex,D8)</f>
        <v>42131</v>
      </c>
      <c r="C8" s="368" t="str">
        <f>_xll.qlMakeDatedOIS(,D8,E8,OvernightIndex,0,"Act/360",0)</f>
        <v>obj_005dc#0001</v>
      </c>
      <c r="D8" s="369">
        <f>_xll.qlCalendarAdvance(Calendar,SettlementDate,A8&amp;"M","mf")</f>
        <v>42135</v>
      </c>
      <c r="E8" s="369">
        <f>_xll.qlInterestRateIndexMaturity(IborIndex,D8)</f>
        <v>42501</v>
      </c>
      <c r="F8" s="370">
        <f>_xll.qlOvernightIndexedSwapFairRate(C8,_xll.ohTrigger(InterestRatesTrigger))</f>
        <v>-6.3647334452231858E-4</v>
      </c>
      <c r="G8" s="371">
        <f>_xll.qlInterpolationInterpolate(BasisInterpolator,D8,TRUE,F8)</f>
        <v>3.9035544752620993E-3</v>
      </c>
      <c r="H8" s="370">
        <f t="shared" si="0"/>
        <v>3.2670811307397808E-3</v>
      </c>
      <c r="AA8" s="70"/>
      <c r="AB8" s="70"/>
      <c r="AC8" s="171"/>
    </row>
    <row r="9" spans="1:29" x14ac:dyDescent="0.2">
      <c r="A9" s="368">
        <v>7</v>
      </c>
      <c r="B9" s="369">
        <f>_xll.qlInterestRateIndexFixingDate(IborIndex,D9)</f>
        <v>42164</v>
      </c>
      <c r="C9" s="368" t="str">
        <f>_xll.qlMakeDatedOIS(,D9,E9,OvernightIndex,0,"Act/360",0)</f>
        <v>obj_005cb#0001</v>
      </c>
      <c r="D9" s="369">
        <f>_xll.qlCalendarAdvance(Calendar,SettlementDate,A9&amp;"M","mf")</f>
        <v>42166</v>
      </c>
      <c r="E9" s="369">
        <f>_xll.qlInterestRateIndexMaturity(IborIndex,D9)</f>
        <v>42534</v>
      </c>
      <c r="F9" s="370">
        <f>_xll.qlOvernightIndexedSwapFairRate(C9,_xll.ohTrigger(InterestRatesTrigger))</f>
        <v>-6.2082304542839754E-4</v>
      </c>
      <c r="G9" s="371">
        <f>_xll.qlInterpolationInterpolate(BasisInterpolator,D9,TRUE,F9)</f>
        <v>3.9384981659700488E-3</v>
      </c>
      <c r="H9" s="370">
        <f t="shared" si="0"/>
        <v>3.3176751205416513E-3</v>
      </c>
      <c r="I9" s="171"/>
      <c r="AA9" s="70"/>
      <c r="AB9" s="70"/>
      <c r="AC9" s="171"/>
    </row>
    <row r="10" spans="1:29" x14ac:dyDescent="0.2">
      <c r="A10" s="368">
        <v>8</v>
      </c>
      <c r="B10" s="369">
        <f>_xll.qlInterestRateIndexFixingDate(IborIndex,D10)</f>
        <v>42194</v>
      </c>
      <c r="C10" s="368" t="str">
        <f>_xll.qlMakeDatedOIS(,D10,E10,OvernightIndex,0,"Act/360",0)</f>
        <v>obj_005e5#0001</v>
      </c>
      <c r="D10" s="369">
        <f>_xll.qlCalendarAdvance(Calendar,SettlementDate,A10&amp;"M","mf")</f>
        <v>42198</v>
      </c>
      <c r="E10" s="369">
        <f>_xll.qlInterestRateIndexMaturity(IborIndex,D10)</f>
        <v>42564</v>
      </c>
      <c r="F10" s="370">
        <f>_xll.qlOvernightIndexedSwapFairRate(C10,_xll.ohTrigger(InterestRatesTrigger))</f>
        <v>-5.99549508750122E-4</v>
      </c>
      <c r="G10" s="371">
        <f>_xll.qlInterpolationInterpolate(BasisInterpolator,D10,TRUE,F10)</f>
        <v>3.9749620457327226E-3</v>
      </c>
      <c r="H10" s="370">
        <f t="shared" si="0"/>
        <v>3.3754125369826007E-3</v>
      </c>
      <c r="I10" s="171"/>
      <c r="AA10" s="70"/>
      <c r="AB10" s="70"/>
      <c r="AC10" s="171"/>
    </row>
    <row r="11" spans="1:29" x14ac:dyDescent="0.2">
      <c r="A11" s="368">
        <v>9</v>
      </c>
      <c r="B11" s="369">
        <f>_xll.qlInterestRateIndexFixingDate(IborIndex,D11)</f>
        <v>42223</v>
      </c>
      <c r="C11" s="368" t="str">
        <f>_xll.qlMakeDatedOIS(,D11,E11,OvernightIndex,0,"Act/360",0)</f>
        <v>obj_005d8#0001</v>
      </c>
      <c r="D11" s="369">
        <f>_xll.qlCalendarAdvance(Calendar,SettlementDate,A11&amp;"M","mf")</f>
        <v>42227</v>
      </c>
      <c r="E11" s="369">
        <f>_xll.qlInterestRateIndexMaturity(IborIndex,D11)</f>
        <v>42593</v>
      </c>
      <c r="F11" s="370">
        <f>_xll.qlOvernightIndexedSwapFairRate(C11,_xll.ohTrigger(InterestRatesTrigger))</f>
        <v>-5.7125787678552942E-4</v>
      </c>
      <c r="G11" s="371">
        <f>_xll.qlInterpolationInterpolate(BasisInterpolator,D11,TRUE,F11)</f>
        <v>4.0082829965759712E-3</v>
      </c>
      <c r="H11" s="370">
        <f t="shared" si="0"/>
        <v>3.4370251197904417E-3</v>
      </c>
      <c r="I11" s="171"/>
      <c r="AA11" s="70"/>
      <c r="AB11" s="70"/>
      <c r="AC11" s="171"/>
    </row>
    <row r="12" spans="1:29" x14ac:dyDescent="0.2">
      <c r="A12" s="368">
        <v>10</v>
      </c>
      <c r="B12" s="369">
        <f>_xll.qlInterestRateIndexFixingDate(IborIndex,D12)</f>
        <v>42256</v>
      </c>
      <c r="C12" s="368" t="str">
        <f>_xll.qlMakeDatedOIS(,D12,E12,OvernightIndex,0,"Act/360",0)</f>
        <v>obj_005e9#0001</v>
      </c>
      <c r="D12" s="369">
        <f>_xll.qlCalendarAdvance(Calendar,SettlementDate,A12&amp;"M","mf")</f>
        <v>42258</v>
      </c>
      <c r="E12" s="369">
        <f>_xll.qlInterestRateIndexMaturity(IborIndex,D12)</f>
        <v>42625</v>
      </c>
      <c r="F12" s="370">
        <f>_xll.qlOvernightIndexedSwapFairRate(C12,_xll.ohTrigger(InterestRatesTrigger))</f>
        <v>-5.308747319417665E-4</v>
      </c>
      <c r="G12" s="371">
        <f>_xll.qlInterpolationInterpolate(BasisInterpolator,D12,TRUE,F12)</f>
        <v>4.0441188494783117E-3</v>
      </c>
      <c r="H12" s="370">
        <f t="shared" si="0"/>
        <v>3.5132441175365452E-3</v>
      </c>
      <c r="I12" s="171"/>
      <c r="AA12" s="70"/>
      <c r="AB12" s="70"/>
      <c r="AC12" s="171"/>
    </row>
    <row r="13" spans="1:29" x14ac:dyDescent="0.2">
      <c r="A13" s="372">
        <v>11</v>
      </c>
      <c r="B13" s="373">
        <f>_xll.qlInterestRateIndexFixingDate(IborIndex,D13)</f>
        <v>42285</v>
      </c>
      <c r="C13" s="372" t="str">
        <f>_xll.qlMakeDatedOIS(,D13,E13,OvernightIndex,0,"Act/360",0)</f>
        <v>obj_005e0#0001</v>
      </c>
      <c r="D13" s="373">
        <f>_xll.qlCalendarAdvance(Calendar,SettlementDate,A13&amp;"M","mf")</f>
        <v>42289</v>
      </c>
      <c r="E13" s="373">
        <f>_xll.qlInterestRateIndexMaturity(IborIndex,D13)</f>
        <v>42655</v>
      </c>
      <c r="F13" s="374">
        <f>_xll.qlOvernightIndexedSwapFairRate(C13,_xll.ohTrigger(InterestRatesTrigger))</f>
        <v>-4.8402188232405286E-4</v>
      </c>
      <c r="G13" s="375">
        <f>_xll.qlInterpolationInterpolate(BasisInterpolator,D13,TRUE,F13)</f>
        <v>4.0801043988056371E-3</v>
      </c>
      <c r="H13" s="374">
        <f t="shared" si="0"/>
        <v>3.5960825164815845E-3</v>
      </c>
      <c r="I13" s="171"/>
      <c r="AA13" s="70"/>
      <c r="AB13" s="70"/>
      <c r="AC13" s="171"/>
    </row>
    <row r="14" spans="1:29" x14ac:dyDescent="0.2">
      <c r="A14" s="386">
        <v>12</v>
      </c>
      <c r="B14" s="387">
        <f>_xll.qlInterestRateIndexFixingDate(IborIndex,D14)</f>
        <v>42317</v>
      </c>
      <c r="C14" s="386" t="str">
        <f>_xll.qlMakeDatedOIS(,D14,E14,OvernightIndex,0,"Act/360",0)</f>
        <v>obj_005ef#0001</v>
      </c>
      <c r="D14" s="387">
        <f>_xll.qlCalendarAdvance(Calendar,SettlementDate,A14&amp;"M","mf")</f>
        <v>42319</v>
      </c>
      <c r="E14" s="387">
        <f>_xll.qlInterestRateIndexMaturity(IborIndex,D14)</f>
        <v>42685</v>
      </c>
      <c r="F14" s="388">
        <f>_xll.qlOvernightIndexedSwapFairRate(C14,_xll.ohTrigger(InterestRatesTrigger))</f>
        <v>-4.3453433743835247E-4</v>
      </c>
      <c r="G14" s="389">
        <f>_xll.qlInterpolationInterpolate(BasisInterpolator,D14,TRUE,F14)</f>
        <v>4.1149999999999997E-3</v>
      </c>
      <c r="H14" s="388">
        <f t="shared" ref="H14" si="1">F14+G14</f>
        <v>3.6804656625616474E-3</v>
      </c>
      <c r="I14" s="171"/>
      <c r="AA14" s="70"/>
      <c r="AB14" s="70"/>
      <c r="AC14" s="171"/>
    </row>
    <row r="15" spans="1:29" x14ac:dyDescent="0.2">
      <c r="A15" s="368">
        <v>13</v>
      </c>
      <c r="B15" s="369">
        <f>_xll.qlInterestRateIndexFixingDate(IborIndex,D15)</f>
        <v>42347</v>
      </c>
      <c r="C15" s="368" t="str">
        <f>_xll.qlMakeDatedOIS(,D15,E15,OvernightIndex,0,"Act/360",0)</f>
        <v>obj_005ee#0001</v>
      </c>
      <c r="D15" s="369">
        <f>_xll.qlCalendarAdvance(Calendar,SettlementDate,A15&amp;"M","mf")</f>
        <v>42349</v>
      </c>
      <c r="E15" s="369">
        <f>_xll.qlInterestRateIndexMaturity(IborIndex,D15)</f>
        <v>42716</v>
      </c>
      <c r="F15" s="370">
        <f>_xll.qlOvernightIndexedSwapFairRate(C15,_xll.ohTrigger(InterestRatesTrigger))</f>
        <v>-3.8034502644186479E-4</v>
      </c>
      <c r="G15" s="371">
        <f>_xll.qlInterpolationInterpolate(BasisInterpolator,D15,TRUE,F15)</f>
        <v>4.1498956011943623E-3</v>
      </c>
      <c r="H15" s="370">
        <f t="shared" si="0"/>
        <v>3.7695505747524973E-3</v>
      </c>
      <c r="I15" s="171"/>
      <c r="AA15" s="70"/>
      <c r="AB15" s="70"/>
      <c r="AC15" s="171"/>
    </row>
    <row r="16" spans="1:29" x14ac:dyDescent="0.2">
      <c r="A16" s="368">
        <v>14</v>
      </c>
      <c r="B16" s="369">
        <f>_xll.qlInterestRateIndexFixingDate(IborIndex,D16)</f>
        <v>42376</v>
      </c>
      <c r="C16" s="368" t="str">
        <f>_xll.qlMakeDatedOIS(,D16,E16,OvernightIndex,0,"Act/360",0)</f>
        <v>obj_005e1#0001</v>
      </c>
      <c r="D16" s="369">
        <f>_xll.qlCalendarAdvance(Calendar,SettlementDate,A16&amp;"M","mf")</f>
        <v>42380</v>
      </c>
      <c r="E16" s="369">
        <f>_xll.qlInterestRateIndexMaturity(IborIndex,D16)</f>
        <v>42746</v>
      </c>
      <c r="F16" s="370">
        <f>_xll.qlOvernightIndexedSwapFairRate(C16,_xll.ohTrigger(InterestRatesTrigger))</f>
        <v>-3.5310479465132133E-4</v>
      </c>
      <c r="G16" s="371">
        <f>_xll.qlInterpolationInterpolate(BasisInterpolator,D16,TRUE,F16)</f>
        <v>4.1858811505216878E-3</v>
      </c>
      <c r="H16" s="370">
        <f t="shared" si="0"/>
        <v>3.8327763558703666E-3</v>
      </c>
      <c r="I16" s="171"/>
      <c r="AA16" s="70"/>
      <c r="AB16" s="70"/>
      <c r="AC16" s="171"/>
    </row>
    <row r="17" spans="1:29" x14ac:dyDescent="0.2">
      <c r="A17" s="368">
        <v>15</v>
      </c>
      <c r="B17" s="369">
        <f>_xll.qlInterestRateIndexFixingDate(IborIndex,D17)</f>
        <v>42409</v>
      </c>
      <c r="C17" s="368" t="str">
        <f>_xll.qlMakeDatedOIS(,D17,E17,OvernightIndex,0,"Act/360",0)</f>
        <v>obj_005f6#0001</v>
      </c>
      <c r="D17" s="369">
        <f>_xll.qlCalendarAdvance(Calendar,SettlementDate,A17&amp;"M","mf")</f>
        <v>42411</v>
      </c>
      <c r="E17" s="369">
        <f>_xll.qlInterestRateIndexMaturity(IborIndex,D17)</f>
        <v>42779</v>
      </c>
      <c r="F17" s="370">
        <f>_xll.qlOvernightIndexedSwapFairRate(C17,_xll.ohTrigger(InterestRatesTrigger))</f>
        <v>-2.8311135173469709E-4</v>
      </c>
      <c r="G17" s="371">
        <f>_xll.qlInterpolationInterpolate(BasisInterpolator,D17,TRUE,F17)</f>
        <v>4.2217170034240283E-3</v>
      </c>
      <c r="H17" s="370">
        <f t="shared" si="0"/>
        <v>3.9386056516893314E-3</v>
      </c>
      <c r="I17" s="171"/>
      <c r="AA17" s="70"/>
      <c r="AB17" s="70"/>
      <c r="AC17" s="171"/>
    </row>
    <row r="18" spans="1:29" x14ac:dyDescent="0.2">
      <c r="A18" s="368">
        <v>16</v>
      </c>
      <c r="B18" s="369">
        <f>_xll.qlInterestRateIndexFixingDate(IborIndex,D18)</f>
        <v>42438</v>
      </c>
      <c r="C18" s="368" t="str">
        <f>_xll.qlMakeDatedOIS(,D18,E18,OvernightIndex,0,"Act/360",0)</f>
        <v>obj_005c8#0001</v>
      </c>
      <c r="D18" s="369">
        <f>_xll.qlCalendarAdvance(Calendar,SettlementDate,A18&amp;"M","mf")</f>
        <v>42440</v>
      </c>
      <c r="E18" s="369">
        <f>_xll.qlInterestRateIndexMaturity(IborIndex,D18)</f>
        <v>42807</v>
      </c>
      <c r="F18" s="370">
        <f>_xll.qlOvernightIndexedSwapFairRate(C18,_xll.ohTrigger(InterestRatesTrigger))</f>
        <v>-2.1900535052234496E-4</v>
      </c>
      <c r="G18" s="371">
        <f>_xll.qlInterpolationInterpolate(BasisInterpolator,D18,TRUE,F18)</f>
        <v>4.2550379542672769E-3</v>
      </c>
      <c r="H18" s="370">
        <f t="shared" si="0"/>
        <v>4.0360326037449318E-3</v>
      </c>
      <c r="I18" s="171"/>
      <c r="AA18" s="70"/>
      <c r="AB18" s="70"/>
      <c r="AC18" s="171"/>
    </row>
    <row r="19" spans="1:29" x14ac:dyDescent="0.2">
      <c r="A19" s="368">
        <v>17</v>
      </c>
      <c r="B19" s="369">
        <f>_xll.qlInterestRateIndexFixingDate(IborIndex,D19)</f>
        <v>42467</v>
      </c>
      <c r="C19" s="368" t="str">
        <f>_xll.qlMakeDatedOIS(,D19,E19,OvernightIndex,0,"Act/360",0)</f>
        <v>obj_005cf#0001</v>
      </c>
      <c r="D19" s="369">
        <f>_xll.qlCalendarAdvance(Calendar,SettlementDate,A19&amp;"M","mf")</f>
        <v>42471</v>
      </c>
      <c r="E19" s="369">
        <f>_xll.qlInterestRateIndexMaturity(IborIndex,D19)</f>
        <v>42836</v>
      </c>
      <c r="F19" s="370">
        <f>_xll.qlOvernightIndexedSwapFairRate(C19,_xll.ohTrigger(InterestRatesTrigger))</f>
        <v>-1.4975440422718259E-4</v>
      </c>
      <c r="G19" s="371">
        <f>_xll.qlInterpolationInterpolate(BasisInterpolator,D19,TRUE,F19)</f>
        <v>4.2903679583300288E-3</v>
      </c>
      <c r="H19" s="370">
        <f t="shared" si="0"/>
        <v>4.1406135541028465E-3</v>
      </c>
      <c r="I19" s="171"/>
      <c r="AA19" s="70"/>
      <c r="AB19" s="70"/>
      <c r="AC19" s="171"/>
    </row>
    <row r="20" spans="1:29" x14ac:dyDescent="0.2">
      <c r="A20" s="368">
        <v>18</v>
      </c>
      <c r="B20" s="369">
        <f>_xll.qlInterestRateIndexFixingDate(IborIndex,D20)</f>
        <v>42499</v>
      </c>
      <c r="C20" s="368" t="str">
        <f>_xll.qlMakeDatedOIS(,D20,E20,OvernightIndex,0,"Act/360",0)</f>
        <v>obj_005d0#0001</v>
      </c>
      <c r="D20" s="369">
        <f>_xll.qlCalendarAdvance(Calendar,SettlementDate,A20&amp;"M","mf")</f>
        <v>42501</v>
      </c>
      <c r="E20" s="369">
        <f>_xll.qlInterestRateIndexMaturity(IborIndex,D20)</f>
        <v>42866</v>
      </c>
      <c r="F20" s="370">
        <f>_xll.qlOvernightIndexedSwapFairRate(C20,_xll.ohTrigger(InterestRatesTrigger))</f>
        <v>-7.7676357644845129E-5</v>
      </c>
      <c r="G20" s="371">
        <f>_xll.qlInterpolationInterpolate(BasisInterpolator,D20,TRUE,F20)</f>
        <v>4.3242039046479438E-3</v>
      </c>
      <c r="H20" s="370">
        <f t="shared" si="0"/>
        <v>4.246527547003099E-3</v>
      </c>
      <c r="I20" s="171"/>
      <c r="AA20" s="70"/>
      <c r="AB20" s="70"/>
      <c r="AC20" s="171"/>
    </row>
    <row r="21" spans="1:29" x14ac:dyDescent="0.2">
      <c r="A21" s="368">
        <v>19</v>
      </c>
      <c r="B21" s="369">
        <f>_xll.qlInterestRateIndexFixingDate(IborIndex,D21)</f>
        <v>42530</v>
      </c>
      <c r="C21" s="368" t="str">
        <f>_xll.qlMakeDatedOIS(,D21,E21,OvernightIndex,0,"Act/360",0)</f>
        <v>obj_005eb#0001</v>
      </c>
      <c r="D21" s="369">
        <f>_xll.qlCalendarAdvance(Calendar,SettlementDate,A21&amp;"M","mf")</f>
        <v>42534</v>
      </c>
      <c r="E21" s="369">
        <f>_xll.qlInterestRateIndexMaturity(IborIndex,D21)</f>
        <v>42899</v>
      </c>
      <c r="F21" s="370">
        <f>_xll.qlOvernightIndexedSwapFairRate(C21,_xll.ohTrigger(InterestRatesTrigger))</f>
        <v>5.5503893871126401E-6</v>
      </c>
      <c r="G21" s="371">
        <f>_xll.qlInterpolationInterpolate(BasisInterpolator,D21,TRUE,F21)</f>
        <v>4.3609376721311377E-3</v>
      </c>
      <c r="H21" s="370">
        <f t="shared" si="0"/>
        <v>4.3664880615182505E-3</v>
      </c>
      <c r="I21" s="171"/>
      <c r="AA21" s="70"/>
      <c r="AB21" s="70"/>
      <c r="AC21" s="171"/>
    </row>
    <row r="22" spans="1:29" x14ac:dyDescent="0.2">
      <c r="A22" s="368">
        <v>20</v>
      </c>
      <c r="B22" s="369">
        <f>_xll.qlInterestRateIndexFixingDate(IborIndex,D22)</f>
        <v>42558</v>
      </c>
      <c r="C22" s="368" t="str">
        <f>_xll.qlMakeDatedOIS(,D22,E22,OvernightIndex,0,"Act/360",0)</f>
        <v>obj_005f3#0001</v>
      </c>
      <c r="D22" s="369">
        <f>_xll.qlCalendarAdvance(Calendar,SettlementDate,A22&amp;"M","mf")</f>
        <v>42562</v>
      </c>
      <c r="E22" s="369">
        <f>_xll.qlInterestRateIndexMaturity(IborIndex,D22)</f>
        <v>42927</v>
      </c>
      <c r="F22" s="370">
        <f>_xll.qlOvernightIndexedSwapFairRate(C22,_xll.ohTrigger(InterestRatesTrigger))</f>
        <v>7.9799378674725419E-5</v>
      </c>
      <c r="G22" s="371">
        <f>_xll.qlInterpolationInterpolate(BasisInterpolator,D22,TRUE,F22)</f>
        <v>4.3916404796798137E-3</v>
      </c>
      <c r="H22" s="370">
        <f t="shared" si="0"/>
        <v>4.4714398583545392E-3</v>
      </c>
      <c r="I22" s="171"/>
      <c r="AA22" s="70"/>
      <c r="AB22" s="70"/>
      <c r="AC22" s="171"/>
    </row>
    <row r="23" spans="1:29" x14ac:dyDescent="0.2">
      <c r="A23" s="368">
        <v>21</v>
      </c>
      <c r="B23" s="369">
        <f>_xll.qlInterestRateIndexFixingDate(IborIndex,D23)</f>
        <v>42591</v>
      </c>
      <c r="C23" s="368" t="str">
        <f>_xll.qlMakeDatedOIS(,D23,E23,OvernightIndex,0,"Act/360",0)</f>
        <v>obj_005c9#0001</v>
      </c>
      <c r="D23" s="369">
        <f>_xll.qlCalendarAdvance(Calendar,SettlementDate,A23&amp;"M","mf")</f>
        <v>42593</v>
      </c>
      <c r="E23" s="369">
        <f>_xll.qlInterestRateIndexMaturity(IborIndex,D23)</f>
        <v>42958</v>
      </c>
      <c r="F23" s="370">
        <f>_xll.qlOvernightIndexedSwapFairRate(C23,_xll.ohTrigger(InterestRatesTrigger))</f>
        <v>1.6625304815243006E-4</v>
      </c>
      <c r="G23" s="371">
        <f>_xll.qlInterpolationInterpolate(BasisInterpolator,D23,TRUE,F23)</f>
        <v>4.4250630615532277E-3</v>
      </c>
      <c r="H23" s="370">
        <f t="shared" si="0"/>
        <v>4.5913161097056576E-3</v>
      </c>
      <c r="I23" s="171"/>
      <c r="AA23" s="70"/>
      <c r="AB23" s="70"/>
      <c r="AC23" s="171"/>
    </row>
    <row r="24" spans="1:29" x14ac:dyDescent="0.2">
      <c r="A24" s="368">
        <v>22</v>
      </c>
      <c r="B24" s="369">
        <f>_xll.qlInterestRateIndexFixingDate(IborIndex,D24)</f>
        <v>42621</v>
      </c>
      <c r="C24" s="368" t="str">
        <f>_xll.qlMakeDatedOIS(,D24,E24,OvernightIndex,0,"Act/360",0)</f>
        <v>obj_005e8#0001</v>
      </c>
      <c r="D24" s="369">
        <f>_xll.qlCalendarAdvance(Calendar,SettlementDate,A24&amp;"M","mf")</f>
        <v>42625</v>
      </c>
      <c r="E24" s="369">
        <f>_xll.qlInterestRateIndexMaturity(IborIndex,D24)</f>
        <v>42990</v>
      </c>
      <c r="F24" s="370">
        <f>_xll.qlOvernightIndexedSwapFairRate(C24,_xll.ohTrigger(InterestRatesTrigger))</f>
        <v>2.6061413357868234E-4</v>
      </c>
      <c r="G24" s="371">
        <f>_xll.qlInterpolationInterpolate(BasisInterpolator,D24,TRUE,F24)</f>
        <v>4.4588576406514261E-3</v>
      </c>
      <c r="H24" s="370">
        <f t="shared" si="0"/>
        <v>4.7194717742301082E-3</v>
      </c>
      <c r="I24" s="171"/>
      <c r="AA24" s="70"/>
      <c r="AB24" s="70"/>
      <c r="AC24" s="171"/>
    </row>
    <row r="25" spans="1:29" x14ac:dyDescent="0.2">
      <c r="A25" s="372">
        <v>23</v>
      </c>
      <c r="B25" s="373">
        <f>_xll.qlInterestRateIndexFixingDate(IborIndex,D25)</f>
        <v>42650</v>
      </c>
      <c r="C25" s="372" t="str">
        <f>_xll.qlMakeDatedOIS(,D25,E25,OvernightIndex,0,"Act/360",0)</f>
        <v>obj_005d1#0001</v>
      </c>
      <c r="D25" s="373">
        <f>_xll.qlCalendarAdvance(Calendar,SettlementDate,A25&amp;"M","mf")</f>
        <v>42654</v>
      </c>
      <c r="E25" s="373">
        <f>_xll.qlInterestRateIndexMaturity(IborIndex,D25)</f>
        <v>43019</v>
      </c>
      <c r="F25" s="374">
        <f>_xll.qlOvernightIndexedSwapFairRate(C25,_xll.ohTrigger(InterestRatesTrigger))</f>
        <v>3.5114379767218606E-4</v>
      </c>
      <c r="G25" s="375">
        <f>_xll.qlInterpolationInterpolate(BasisInterpolator,D25,TRUE,F25)</f>
        <v>4.4887950784383568E-3</v>
      </c>
      <c r="H25" s="374">
        <f t="shared" si="0"/>
        <v>4.8399388761105428E-3</v>
      </c>
      <c r="I25" s="171"/>
      <c r="AA25" s="70"/>
      <c r="AB25" s="70"/>
      <c r="AC25" s="171"/>
    </row>
    <row r="26" spans="1:29" x14ac:dyDescent="0.2">
      <c r="A26" s="382">
        <v>24</v>
      </c>
      <c r="B26" s="383">
        <f>_xll.qlInterestRateIndexFixingDate(IborIndex,D26)</f>
        <v>42683</v>
      </c>
      <c r="C26" s="382" t="str">
        <f>_xll.qlMakeDatedOIS(,D26,E26,OvernightIndex,0,"Act/360",0)</f>
        <v>obj_005d4#0001</v>
      </c>
      <c r="D26" s="383">
        <f>_xll.qlCalendarAdvance(Calendar,SettlementDate,A26&amp;"M","mf")</f>
        <v>42685</v>
      </c>
      <c r="E26" s="383">
        <f>_xll.qlInterestRateIndexMaturity(IborIndex,D26)</f>
        <v>43052</v>
      </c>
      <c r="F26" s="384">
        <f>_xll.qlOvernightIndexedSwapFairRate(C26,_xll.ohTrigger(InterestRatesTrigger))</f>
        <v>4.5761772974787932E-4</v>
      </c>
      <c r="G26" s="385">
        <f>_xll.qlInterpolationInterpolate(BasisInterpolator,D26,TRUE,F26)</f>
        <v>4.5199999999999997E-3</v>
      </c>
      <c r="H26" s="384">
        <f t="shared" ref="H26" si="2">F26+G26</f>
        <v>4.9776177297478786E-3</v>
      </c>
      <c r="I26" s="171"/>
      <c r="AA26" s="70"/>
      <c r="AB26" s="70"/>
      <c r="AC26" s="171"/>
    </row>
    <row r="27" spans="1:29" x14ac:dyDescent="0.2">
      <c r="A27" s="368">
        <v>25</v>
      </c>
      <c r="B27" s="369">
        <f>_xll.qlInterestRateIndexFixingDate(IborIndex,D27)</f>
        <v>42712</v>
      </c>
      <c r="C27" s="368" t="str">
        <f>_xll.qlMakeDatedOIS(,D27,E27,OvernightIndex,0,"Act/360",0)</f>
        <v>obj_005e3#0001</v>
      </c>
      <c r="D27" s="369">
        <f>_xll.qlCalendarAdvance(Calendar,SettlementDate,A27&amp;"M","mf")</f>
        <v>42716</v>
      </c>
      <c r="E27" s="369">
        <f>_xll.qlInterestRateIndexMaturity(IborIndex,D27)</f>
        <v>43081</v>
      </c>
      <c r="F27" s="370">
        <f>_xll.qlOvernightIndexedSwapFairRate(C27,_xll.ohTrigger(InterestRatesTrigger))</f>
        <v>5.629253636378499E-4</v>
      </c>
      <c r="G27" s="371">
        <f>_xll.qlInterpolationInterpolate(BasisInterpolator,D27,TRUE,F27)</f>
        <v>4.550342735484653E-3</v>
      </c>
      <c r="H27" s="370">
        <f t="shared" si="0"/>
        <v>5.1132680991225025E-3</v>
      </c>
      <c r="I27" s="171"/>
      <c r="AA27" s="70"/>
      <c r="AB27" s="70"/>
      <c r="AC27" s="171"/>
    </row>
    <row r="28" spans="1:29" x14ac:dyDescent="0.2">
      <c r="A28" s="368">
        <v>26</v>
      </c>
      <c r="B28" s="369">
        <f>_xll.qlInterestRateIndexFixingDate(IborIndex,D28)</f>
        <v>42744</v>
      </c>
      <c r="C28" s="368" t="str">
        <f>_xll.qlMakeDatedOIS(,D28,E28,OvernightIndex,0,"Act/360",0)</f>
        <v>obj_005d5#0001</v>
      </c>
      <c r="D28" s="369">
        <f>_xll.qlCalendarAdvance(Calendar,SettlementDate,A28&amp;"M","mf")</f>
        <v>42746</v>
      </c>
      <c r="E28" s="369">
        <f>_xll.qlInterestRateIndexMaturity(IborIndex,D28)</f>
        <v>43111</v>
      </c>
      <c r="F28" s="370">
        <f>_xll.qlOvernightIndexedSwapFairRate(C28,_xll.ohTrigger(InterestRatesTrigger))</f>
        <v>6.7463925517383919E-4</v>
      </c>
      <c r="G28" s="371">
        <f>_xll.qlInterpolationInterpolate(BasisInterpolator,D28,TRUE,F28)</f>
        <v>4.5789832393675579E-3</v>
      </c>
      <c r="H28" s="370">
        <f t="shared" si="0"/>
        <v>5.2536224945413969E-3</v>
      </c>
      <c r="I28" s="171"/>
      <c r="AA28" s="70"/>
      <c r="AB28" s="70"/>
      <c r="AC28" s="171"/>
    </row>
    <row r="29" spans="1:29" x14ac:dyDescent="0.2">
      <c r="A29" s="368">
        <v>27</v>
      </c>
      <c r="B29" s="369">
        <f>_xll.qlInterestRateIndexFixingDate(IborIndex,D29)</f>
        <v>42775</v>
      </c>
      <c r="C29" s="368" t="str">
        <f>_xll.qlMakeDatedOIS(,D29,E29,OvernightIndex,0,"Act/360",0)</f>
        <v>obj_005d9#0001</v>
      </c>
      <c r="D29" s="369">
        <f>_xll.qlCalendarAdvance(Calendar,SettlementDate,A29&amp;"M","mf")</f>
        <v>42779</v>
      </c>
      <c r="E29" s="369">
        <f>_xll.qlInterestRateIndexMaturity(IborIndex,D29)</f>
        <v>43144</v>
      </c>
      <c r="F29" s="370">
        <f>_xll.qlOvernightIndexedSwapFairRate(C29,_xll.ohTrigger(InterestRatesTrigger))</f>
        <v>8.0412741398186395E-4</v>
      </c>
      <c r="G29" s="371">
        <f>_xll.qlInterpolationInterpolate(BasisInterpolator,D29,TRUE,F29)</f>
        <v>4.6098188582553408E-3</v>
      </c>
      <c r="H29" s="370">
        <f t="shared" si="0"/>
        <v>5.4139462722372043E-3</v>
      </c>
      <c r="I29" s="171"/>
      <c r="AA29" s="70"/>
      <c r="AB29" s="70"/>
      <c r="AC29" s="171"/>
    </row>
    <row r="30" spans="1:29" x14ac:dyDescent="0.2">
      <c r="A30" s="368">
        <v>28</v>
      </c>
      <c r="B30" s="369">
        <f>_xll.qlInterestRateIndexFixingDate(IborIndex,D30)</f>
        <v>42803</v>
      </c>
      <c r="C30" s="368" t="str">
        <f>_xll.qlMakeDatedOIS(,D30,E30,OvernightIndex,0,"Act/360",0)</f>
        <v>obj_005c6#0001</v>
      </c>
      <c r="D30" s="369">
        <f>_xll.qlCalendarAdvance(Calendar,SettlementDate,A30&amp;"M","mf")</f>
        <v>42807</v>
      </c>
      <c r="E30" s="369">
        <f>_xll.qlInterestRateIndexMaturity(IborIndex,D30)</f>
        <v>43172</v>
      </c>
      <c r="F30" s="370">
        <f>_xll.qlOvernightIndexedSwapFairRate(C30,_xll.ohTrigger(InterestRatesTrigger))</f>
        <v>9.1917270708626855E-4</v>
      </c>
      <c r="G30" s="371">
        <f>_xll.qlInterpolationInterpolate(BasisInterpolator,D30,TRUE,F30)</f>
        <v>4.6355544824527809E-3</v>
      </c>
      <c r="H30" s="370">
        <f t="shared" si="0"/>
        <v>5.5547271895390491E-3</v>
      </c>
      <c r="I30" s="171"/>
      <c r="AA30" s="70"/>
      <c r="AB30" s="70"/>
      <c r="AC30" s="171"/>
    </row>
    <row r="31" spans="1:29" x14ac:dyDescent="0.2">
      <c r="A31" s="368">
        <v>29</v>
      </c>
      <c r="B31" s="369">
        <f>_xll.qlInterestRateIndexFixingDate(IborIndex,D31)</f>
        <v>42832</v>
      </c>
      <c r="C31" s="368" t="str">
        <f>_xll.qlMakeDatedOIS(,D31,E31,OvernightIndex,0,"Act/360",0)</f>
        <v>obj_005cd#0001</v>
      </c>
      <c r="D31" s="369">
        <f>_xll.qlCalendarAdvance(Calendar,SettlementDate,A31&amp;"M","mf")</f>
        <v>42836</v>
      </c>
      <c r="E31" s="369">
        <f>_xll.qlInterestRateIndexMaturity(IborIndex,D31)</f>
        <v>43201</v>
      </c>
      <c r="F31" s="370">
        <f>_xll.qlOvernightIndexedSwapFairRate(C31,_xll.ohTrigger(InterestRatesTrigger))</f>
        <v>1.0430991778147883E-3</v>
      </c>
      <c r="G31" s="371">
        <f>_xll.qlInterpolationInterpolate(BasisInterpolator,D31,TRUE,F31)</f>
        <v>4.661911506413932E-3</v>
      </c>
      <c r="H31" s="370">
        <f t="shared" si="0"/>
        <v>5.7050106842287205E-3</v>
      </c>
      <c r="I31" s="171"/>
      <c r="AA31" s="70"/>
      <c r="AB31" s="70"/>
      <c r="AC31" s="171"/>
    </row>
    <row r="32" spans="1:29" x14ac:dyDescent="0.2">
      <c r="A32" s="368">
        <v>30</v>
      </c>
      <c r="B32" s="369">
        <f>_xll.qlInterestRateIndexFixingDate(IborIndex,D32)</f>
        <v>42864</v>
      </c>
      <c r="C32" s="368" t="str">
        <f>_xll.qlMakeDatedOIS(,D32,E32,OvernightIndex,0,"Act/360",0)</f>
        <v>obj_005e2#0001</v>
      </c>
      <c r="D32" s="369">
        <f>_xll.qlCalendarAdvance(Calendar,SettlementDate,A32&amp;"M","mf")</f>
        <v>42866</v>
      </c>
      <c r="E32" s="369">
        <f>_xll.qlInterestRateIndexMaturity(IborIndex,D32)</f>
        <v>43231</v>
      </c>
      <c r="F32" s="370">
        <f>_xll.qlOvernightIndexedSwapFairRate(C32,_xll.ohTrigger(InterestRatesTrigger))</f>
        <v>1.1761633637734849E-3</v>
      </c>
      <c r="G32" s="371">
        <f>_xll.qlInterpolationInterpolate(BasisInterpolator,D32,TRUE,F32)</f>
        <v>4.6889790967043982E-3</v>
      </c>
      <c r="H32" s="370">
        <f t="shared" si="0"/>
        <v>5.8651424604778835E-3</v>
      </c>
      <c r="I32" s="171"/>
      <c r="AA32" s="70"/>
      <c r="AB32" s="70"/>
      <c r="AC32" s="171"/>
    </row>
    <row r="33" spans="1:29" x14ac:dyDescent="0.2">
      <c r="A33" s="368">
        <v>31</v>
      </c>
      <c r="B33" s="369">
        <f>_xll.qlInterestRateIndexFixingDate(IborIndex,D33)</f>
        <v>42894</v>
      </c>
      <c r="C33" s="368" t="str">
        <f>_xll.qlMakeDatedOIS(,D33,E33,OvernightIndex,0,"Act/360",0)</f>
        <v>obj_005d3#0001</v>
      </c>
      <c r="D33" s="369">
        <f>_xll.qlCalendarAdvance(Calendar,SettlementDate,A33&amp;"M","mf")</f>
        <v>42898</v>
      </c>
      <c r="E33" s="369">
        <f>_xll.qlInterestRateIndexMaturity(IborIndex,D33)</f>
        <v>43263</v>
      </c>
      <c r="F33" s="370">
        <f>_xll.qlOvernightIndexedSwapFairRate(C33,_xll.ohTrigger(InterestRatesTrigger))</f>
        <v>1.3232627257392248E-3</v>
      </c>
      <c r="G33" s="371">
        <f>_xll.qlInterpolationInterpolate(BasisInterpolator,D33,TRUE,F33)</f>
        <v>4.717770208258718E-3</v>
      </c>
      <c r="H33" s="370">
        <f t="shared" si="0"/>
        <v>6.0410329339979432E-3</v>
      </c>
      <c r="I33" s="171"/>
      <c r="AA33" s="70"/>
      <c r="AB33" s="70"/>
      <c r="AC33" s="171"/>
    </row>
    <row r="34" spans="1:29" x14ac:dyDescent="0.2">
      <c r="A34" s="368">
        <v>32</v>
      </c>
      <c r="B34" s="369">
        <f>_xll.qlInterestRateIndexFixingDate(IborIndex,D34)</f>
        <v>42923</v>
      </c>
      <c r="C34" s="368" t="str">
        <f>_xll.qlMakeDatedOIS(,D34,E34,OvernightIndex,0,"Act/360",0)</f>
        <v>obj_005d7#0001</v>
      </c>
      <c r="D34" s="369">
        <f>_xll.qlCalendarAdvance(Calendar,SettlementDate,A34&amp;"M","mf")</f>
        <v>42927</v>
      </c>
      <c r="E34" s="369">
        <f>_xll.qlInterestRateIndexMaturity(IborIndex,D34)</f>
        <v>43292</v>
      </c>
      <c r="F34" s="370">
        <f>_xll.qlOvernightIndexedSwapFairRate(C34,_xll.ohTrigger(InterestRatesTrigger))</f>
        <v>1.4609190031627034E-3</v>
      </c>
      <c r="G34" s="371">
        <f>_xll.qlInterpolationInterpolate(BasisInterpolator,D34,TRUE,F34)</f>
        <v>4.7439159202672882E-3</v>
      </c>
      <c r="H34" s="370">
        <f t="shared" si="0"/>
        <v>6.2048349234299915E-3</v>
      </c>
      <c r="I34" s="171"/>
      <c r="AA34" s="70"/>
      <c r="AB34" s="70"/>
      <c r="AC34" s="171"/>
    </row>
    <row r="35" spans="1:29" x14ac:dyDescent="0.2">
      <c r="A35" s="368">
        <v>33</v>
      </c>
      <c r="B35" s="369">
        <f>_xll.qlInterestRateIndexFixingDate(IborIndex,D35)</f>
        <v>42956</v>
      </c>
      <c r="C35" s="368" t="str">
        <f>_xll.qlMakeDatedOIS(,D35,E35,OvernightIndex,0,"Act/360",0)</f>
        <v>obj_005ea#0001</v>
      </c>
      <c r="D35" s="369">
        <f>_xll.qlCalendarAdvance(Calendar,SettlementDate,A35&amp;"M","mf")</f>
        <v>42958</v>
      </c>
      <c r="E35" s="369">
        <f>_xll.qlInterestRateIndexMaturity(IborIndex,D35)</f>
        <v>43325</v>
      </c>
      <c r="F35" s="370">
        <f>_xll.qlOvernightIndexedSwapFairRate(C35,_xll.ohTrigger(InterestRatesTrigger))</f>
        <v>1.6175722033151391E-3</v>
      </c>
      <c r="G35" s="371">
        <f>_xll.qlInterpolationInterpolate(BasisInterpolator,D35,TRUE,F35)</f>
        <v>4.7720552296505667E-3</v>
      </c>
      <c r="H35" s="370">
        <f t="shared" si="0"/>
        <v>6.389627432965706E-3</v>
      </c>
      <c r="I35" s="171"/>
      <c r="AA35" s="70"/>
      <c r="AB35" s="70"/>
      <c r="AC35" s="171"/>
    </row>
    <row r="36" spans="1:29" x14ac:dyDescent="0.2">
      <c r="A36" s="368">
        <v>34</v>
      </c>
      <c r="B36" s="369">
        <f>_xll.qlInterestRateIndexFixingDate(IborIndex,D36)</f>
        <v>42985</v>
      </c>
      <c r="C36" s="368" t="str">
        <f>_xll.qlMakeDatedOIS(,D36,E36,OvernightIndex,0,"Act/360",0)</f>
        <v>obj_005ce#0001</v>
      </c>
      <c r="D36" s="369">
        <f>_xll.qlCalendarAdvance(Calendar,SettlementDate,A36&amp;"M","mf")</f>
        <v>42989</v>
      </c>
      <c r="E36" s="369">
        <f>_xll.qlInterestRateIndexMaturity(IborIndex,D36)</f>
        <v>43354</v>
      </c>
      <c r="F36" s="370">
        <f>_xll.qlOvernightIndexedSwapFairRate(C36,_xll.ohTrigger(InterestRatesTrigger))</f>
        <v>1.7679754585943992E-3</v>
      </c>
      <c r="G36" s="371">
        <f>_xll.qlInterpolationInterpolate(BasisInterpolator,D36,TRUE,F36)</f>
        <v>4.8005282034586146E-3</v>
      </c>
      <c r="H36" s="370">
        <f t="shared" si="0"/>
        <v>6.5685036620530138E-3</v>
      </c>
      <c r="I36" s="171"/>
      <c r="AA36" s="70"/>
      <c r="AB36" s="70"/>
      <c r="AC36" s="171"/>
    </row>
    <row r="37" spans="1:29" x14ac:dyDescent="0.2">
      <c r="A37" s="372">
        <v>35</v>
      </c>
      <c r="B37" s="373">
        <f>_xll.qlInterestRateIndexFixingDate(IborIndex,D37)</f>
        <v>43017</v>
      </c>
      <c r="C37" s="372" t="str">
        <f>_xll.qlMakeDatedOIS(,D37,E37,OvernightIndex,0,"Act/360",0)</f>
        <v>obj_005f5#0001</v>
      </c>
      <c r="D37" s="373">
        <f>_xll.qlCalendarAdvance(Calendar,SettlementDate,A37&amp;"M","mf")</f>
        <v>43019</v>
      </c>
      <c r="E37" s="373">
        <f>_xll.qlInterestRateIndexMaturity(IborIndex,D37)</f>
        <v>43384</v>
      </c>
      <c r="F37" s="374">
        <f>_xll.qlOvernightIndexedSwapFairRate(C37,_xll.ohTrigger(InterestRatesTrigger))</f>
        <v>1.9222577349730997E-3</v>
      </c>
      <c r="G37" s="375">
        <f>_xll.qlInterpolationInterpolate(BasisInterpolator,D37,TRUE,F37)</f>
        <v>4.8285321391444303E-3</v>
      </c>
      <c r="H37" s="374">
        <f t="shared" si="0"/>
        <v>6.7507898741175302E-3</v>
      </c>
      <c r="I37" s="171"/>
      <c r="AA37" s="70"/>
      <c r="AB37" s="70"/>
      <c r="AC37" s="171"/>
    </row>
    <row r="38" spans="1:29" x14ac:dyDescent="0.2">
      <c r="A38" s="382">
        <v>36</v>
      </c>
      <c r="B38" s="383">
        <f>_xll.qlInterestRateIndexFixingDate(IborIndex,D38)</f>
        <v>43048</v>
      </c>
      <c r="C38" s="382" t="str">
        <f>_xll.qlMakeDatedOIS(,D38,E38,OvernightIndex,0,"Act/360",0)</f>
        <v>obj_005d2#0001</v>
      </c>
      <c r="D38" s="383">
        <f>_xll.qlCalendarAdvance(Calendar,SettlementDate,A38&amp;"M","mf")</f>
        <v>43052</v>
      </c>
      <c r="E38" s="383">
        <f>_xll.qlInterestRateIndexMaturity(IborIndex,D38)</f>
        <v>43417</v>
      </c>
      <c r="F38" s="384">
        <f>_xll.qlOvernightIndexedSwapFairRate(C38,_xll.ohTrigger(InterestRatesTrigger))</f>
        <v>2.095851063703082E-3</v>
      </c>
      <c r="G38" s="385">
        <f>_xll.qlInterpolationInterpolate(BasisInterpolator,D38,TRUE,F38)</f>
        <v>4.8599999999999997E-3</v>
      </c>
      <c r="H38" s="384">
        <f t="shared" ref="H38" si="3">F38+G38</f>
        <v>6.9558510637030817E-3</v>
      </c>
      <c r="I38" s="171"/>
      <c r="AA38" s="70"/>
      <c r="AB38" s="70"/>
      <c r="AC38" s="171"/>
    </row>
    <row r="39" spans="1:29" x14ac:dyDescent="0.2">
      <c r="A39" s="368">
        <v>37</v>
      </c>
      <c r="B39" s="369">
        <f>_xll.qlInterestRateIndexFixingDate(IborIndex,D39)</f>
        <v>43076</v>
      </c>
      <c r="C39" s="368" t="str">
        <f>_xll.qlMakeDatedOIS(,D39,E39,OvernightIndex,0,"Act/360",0)</f>
        <v>obj_005ec#0001</v>
      </c>
      <c r="D39" s="369">
        <f>_xll.qlCalendarAdvance(Calendar,SettlementDate,A39&amp;"M","mf")</f>
        <v>43080</v>
      </c>
      <c r="E39" s="369">
        <f>_xll.qlInterestRateIndexMaturity(IborIndex,D39)</f>
        <v>43445</v>
      </c>
      <c r="F39" s="370">
        <f>_xll.qlOvernightIndexedSwapFairRate(C39,_xll.ohTrigger(InterestRatesTrigger))</f>
        <v>2.2461825374468203E-3</v>
      </c>
      <c r="G39" s="371">
        <f>_xll.qlInterpolationInterpolate(BasisInterpolator,D39,TRUE,F39)</f>
        <v>4.8872914245538506E-3</v>
      </c>
      <c r="H39" s="370">
        <f t="shared" si="0"/>
        <v>7.1334739620006714E-3</v>
      </c>
      <c r="I39" s="171"/>
      <c r="AA39" s="70"/>
      <c r="AB39" s="70"/>
      <c r="AC39" s="171"/>
    </row>
    <row r="40" spans="1:29" x14ac:dyDescent="0.2">
      <c r="A40" s="368">
        <v>38</v>
      </c>
      <c r="B40" s="369">
        <f>_xll.qlInterestRateIndexFixingDate(IborIndex,D40)</f>
        <v>43109</v>
      </c>
      <c r="C40" s="368" t="str">
        <f>_xll.qlMakeDatedOIS(,D40,E40,OvernightIndex,0,"Act/360",0)</f>
        <v>obj_005da#0001</v>
      </c>
      <c r="D40" s="369">
        <f>_xll.qlCalendarAdvance(Calendar,SettlementDate,A40&amp;"M","mf")</f>
        <v>43111</v>
      </c>
      <c r="E40" s="369">
        <f>_xll.qlInterestRateIndexMaturity(IborIndex,D40)</f>
        <v>43476</v>
      </c>
      <c r="F40" s="370">
        <f>_xll.qlOvernightIndexedSwapFairRate(C40,_xll.ohTrigger(InterestRatesTrigger))</f>
        <v>2.4161871737311273E-3</v>
      </c>
      <c r="G40" s="371">
        <f>_xll.qlInterpolationInterpolate(BasisInterpolator,D40,TRUE,F40)</f>
        <v>4.9178065283437778E-3</v>
      </c>
      <c r="H40" s="370">
        <f t="shared" si="0"/>
        <v>7.3339937020749056E-3</v>
      </c>
      <c r="I40" s="171"/>
      <c r="AA40" s="70"/>
      <c r="AB40" s="70"/>
      <c r="AC40" s="171"/>
    </row>
    <row r="41" spans="1:29" x14ac:dyDescent="0.2">
      <c r="A41" s="368">
        <v>39</v>
      </c>
      <c r="B41" s="369">
        <f>_xll.qlInterestRateIndexFixingDate(IborIndex,D41)</f>
        <v>43139</v>
      </c>
      <c r="C41" s="368" t="str">
        <f>_xll.qlMakeDatedOIS(,D41,E41,OvernightIndex,0,"Act/360",0)</f>
        <v>obj_005df#0001</v>
      </c>
      <c r="D41" s="369">
        <f>_xll.qlCalendarAdvance(Calendar,SettlementDate,A41&amp;"M","mf")</f>
        <v>43143</v>
      </c>
      <c r="E41" s="369">
        <f>_xll.qlInterestRateIndexMaturity(IborIndex,D41)</f>
        <v>43508</v>
      </c>
      <c r="F41" s="370">
        <f>_xll.qlOvernightIndexedSwapFairRate(C41,_xll.ohTrigger(InterestRatesTrigger))</f>
        <v>2.5960877967622013E-3</v>
      </c>
      <c r="G41" s="371">
        <f>_xll.qlInterpolationInterpolate(BasisInterpolator,D41,TRUE,F41)</f>
        <v>4.9491502077639278E-3</v>
      </c>
      <c r="H41" s="370">
        <f t="shared" si="0"/>
        <v>7.5452380045261287E-3</v>
      </c>
      <c r="I41" s="171"/>
      <c r="AA41" s="70"/>
      <c r="AB41" s="70"/>
      <c r="AC41" s="171"/>
    </row>
    <row r="42" spans="1:29" x14ac:dyDescent="0.2">
      <c r="A42" s="368">
        <v>40</v>
      </c>
      <c r="B42" s="369">
        <f>_xll.qlInterestRateIndexFixingDate(IborIndex,D42)</f>
        <v>43167</v>
      </c>
      <c r="C42" s="368" t="str">
        <f>_xll.qlMakeDatedOIS(,D42,E42,OvernightIndex,0,"Act/360",0)</f>
        <v>obj_005e4#0001</v>
      </c>
      <c r="D42" s="369">
        <f>_xll.qlCalendarAdvance(Calendar,SettlementDate,A42&amp;"M","mf")</f>
        <v>43171</v>
      </c>
      <c r="E42" s="369">
        <f>_xll.qlInterestRateIndexMaturity(IborIndex,D42)</f>
        <v>43536</v>
      </c>
      <c r="F42" s="370">
        <f>_xll.qlOvernightIndexedSwapFairRate(C42,_xll.ohTrigger(InterestRatesTrigger))</f>
        <v>2.7575787341477605E-3</v>
      </c>
      <c r="G42" s="371">
        <f>_xll.qlInterpolationInterpolate(BasisInterpolator,D42,TRUE,F42)</f>
        <v>4.9760410984666234E-3</v>
      </c>
      <c r="H42" s="370">
        <f t="shared" si="0"/>
        <v>7.7336198326143843E-3</v>
      </c>
      <c r="I42" s="171"/>
      <c r="AA42" s="70"/>
      <c r="AB42" s="70"/>
      <c r="AC42" s="171"/>
    </row>
    <row r="43" spans="1:29" x14ac:dyDescent="0.2">
      <c r="A43" s="368">
        <v>41</v>
      </c>
      <c r="B43" s="369">
        <f>_xll.qlInterestRateIndexFixingDate(IborIndex,D43)</f>
        <v>43199</v>
      </c>
      <c r="C43" s="368" t="str">
        <f>_xll.qlMakeDatedOIS(,D43,E43,OvernightIndex,0,"Act/360",0)</f>
        <v>obj_005f0#0001</v>
      </c>
      <c r="D43" s="369">
        <f>_xll.qlCalendarAdvance(Calendar,SettlementDate,A43&amp;"M","mf")</f>
        <v>43201</v>
      </c>
      <c r="E43" s="369">
        <f>_xll.qlInterestRateIndexMaturity(IborIndex,D43)</f>
        <v>43566</v>
      </c>
      <c r="F43" s="370">
        <f>_xll.qlOvernightIndexedSwapFairRate(C43,_xll.ohTrigger(InterestRatesTrigger))</f>
        <v>2.9352396283396196E-3</v>
      </c>
      <c r="G43" s="371">
        <f>_xll.qlInterpolationInterpolate(BasisInterpolator,D43,TRUE,F43)</f>
        <v>5.0038839722344724E-3</v>
      </c>
      <c r="H43" s="370">
        <f t="shared" si="0"/>
        <v>7.9391236005740915E-3</v>
      </c>
      <c r="I43" s="171"/>
      <c r="AA43" s="70"/>
      <c r="AB43" s="70"/>
      <c r="AC43" s="171"/>
    </row>
    <row r="44" spans="1:29" x14ac:dyDescent="0.2">
      <c r="A44" s="368">
        <v>42</v>
      </c>
      <c r="B44" s="369">
        <f>_xll.qlInterestRateIndexFixingDate(IborIndex,D44)</f>
        <v>43229</v>
      </c>
      <c r="C44" s="368" t="str">
        <f>_xll.qlMakeDatedOIS(,D44,E44,OvernightIndex,0,"Act/360",0)</f>
        <v>obj_005f7#0001</v>
      </c>
      <c r="D44" s="369">
        <f>_xll.qlCalendarAdvance(Calendar,SettlementDate,A44&amp;"M","mf")</f>
        <v>43231</v>
      </c>
      <c r="E44" s="369">
        <f>_xll.qlInterestRateIndexMaturity(IborIndex,D44)</f>
        <v>43598</v>
      </c>
      <c r="F44" s="370">
        <f>_xll.qlOvernightIndexedSwapFairRate(C44,_xll.ohTrigger(InterestRatesTrigger))</f>
        <v>3.1247092148833861E-3</v>
      </c>
      <c r="G44" s="371">
        <f>_xll.qlInterpolationInterpolate(BasisInterpolator,D44,TRUE,F44)</f>
        <v>5.0303050108539129E-3</v>
      </c>
      <c r="H44" s="370">
        <f t="shared" si="0"/>
        <v>8.155014225737299E-3</v>
      </c>
      <c r="I44" s="171"/>
      <c r="AA44" s="70"/>
      <c r="AB44" s="70"/>
      <c r="AC44" s="171"/>
    </row>
    <row r="45" spans="1:29" x14ac:dyDescent="0.2">
      <c r="A45" s="368">
        <v>43</v>
      </c>
      <c r="B45" s="369">
        <f>_xll.qlInterestRateIndexFixingDate(IborIndex,D45)</f>
        <v>43258</v>
      </c>
      <c r="C45" s="368" t="str">
        <f>_xll.qlMakeDatedOIS(,D45,E45,OvernightIndex,0,"Act/360",0)</f>
        <v>obj_005ca#0001</v>
      </c>
      <c r="D45" s="369">
        <f>_xll.qlCalendarAdvance(Calendar,SettlementDate,A45&amp;"M","mf")</f>
        <v>43262</v>
      </c>
      <c r="E45" s="369">
        <f>_xll.qlInterestRateIndexMaturity(IborIndex,D45)</f>
        <v>43627</v>
      </c>
      <c r="F45" s="370">
        <f>_xll.qlOvernightIndexedSwapFairRate(C45,_xll.ohTrigger(InterestRatesTrigger))</f>
        <v>3.3130069211697584E-3</v>
      </c>
      <c r="G45" s="371">
        <f>_xll.qlInterpolationInterpolate(BasisInterpolator,D45,TRUE,F45)</f>
        <v>5.0556571566271347E-3</v>
      </c>
      <c r="H45" s="370">
        <f t="shared" si="0"/>
        <v>8.3686640777968935E-3</v>
      </c>
      <c r="I45" s="171"/>
      <c r="AA45" s="70"/>
      <c r="AB45" s="70"/>
      <c r="AC45" s="171"/>
    </row>
    <row r="46" spans="1:29" x14ac:dyDescent="0.2">
      <c r="A46" s="368">
        <v>44</v>
      </c>
      <c r="B46" s="369">
        <f>_xll.qlInterestRateIndexFixingDate(IborIndex,D46)</f>
        <v>43290</v>
      </c>
      <c r="C46" s="368" t="str">
        <f>_xll.qlMakeDatedOIS(,D46,E46,OvernightIndex,0,"Act/360",0)</f>
        <v>obj_005f2#0001</v>
      </c>
      <c r="D46" s="369">
        <f>_xll.qlCalendarAdvance(Calendar,SettlementDate,A46&amp;"M","mf")</f>
        <v>43292</v>
      </c>
      <c r="E46" s="369">
        <f>_xll.qlInterestRateIndexMaturity(IborIndex,D46)</f>
        <v>43657</v>
      </c>
      <c r="F46" s="370">
        <f>_xll.qlOvernightIndexedSwapFairRate(C46,_xll.ohTrigger(InterestRatesTrigger))</f>
        <v>3.507790103526677E-3</v>
      </c>
      <c r="G46" s="371">
        <f>_xll.qlInterpolationInterpolate(BasisInterpolator,D46,TRUE,F46)</f>
        <v>5.0778636156468731E-3</v>
      </c>
      <c r="H46" s="370">
        <f t="shared" si="0"/>
        <v>8.5856537191735492E-3</v>
      </c>
      <c r="I46" s="171"/>
      <c r="AA46" s="70"/>
      <c r="AB46" s="70"/>
      <c r="AC46" s="171"/>
    </row>
    <row r="47" spans="1:29" x14ac:dyDescent="0.2">
      <c r="A47" s="368">
        <v>45</v>
      </c>
      <c r="B47" s="369">
        <f>_xll.qlInterestRateIndexFixingDate(IborIndex,D47)</f>
        <v>43321</v>
      </c>
      <c r="C47" s="368" t="str">
        <f>_xll.qlMakeDatedOIS(,D47,E47,OvernightIndex,0,"Act/360",0)</f>
        <v>obj_005d6#0001</v>
      </c>
      <c r="D47" s="369">
        <f>_xll.qlCalendarAdvance(Calendar,SettlementDate,A47&amp;"M","mf")</f>
        <v>43325</v>
      </c>
      <c r="E47" s="369">
        <f>_xll.qlInterestRateIndexMaturity(IborIndex,D47)</f>
        <v>43690</v>
      </c>
      <c r="F47" s="370">
        <f>_xll.qlOvernightIndexedSwapFairRate(C47,_xll.ohTrigger(InterestRatesTrigger))</f>
        <v>3.7295819981941914E-3</v>
      </c>
      <c r="G47" s="371">
        <f>_xll.qlInterpolationInterpolate(BasisInterpolator,D47,TRUE,F47)</f>
        <v>5.0991283783013508E-3</v>
      </c>
      <c r="H47" s="370">
        <f t="shared" si="0"/>
        <v>8.8287103764955431E-3</v>
      </c>
      <c r="I47" s="171"/>
      <c r="AA47" s="70"/>
      <c r="AB47" s="70"/>
      <c r="AC47" s="171"/>
    </row>
    <row r="48" spans="1:29" x14ac:dyDescent="0.2">
      <c r="A48" s="368">
        <v>46</v>
      </c>
      <c r="B48" s="369">
        <f>_xll.qlInterestRateIndexFixingDate(IborIndex,D48)</f>
        <v>43350</v>
      </c>
      <c r="C48" s="368" t="str">
        <f>_xll.qlMakeDatedOIS(,D48,E48,OvernightIndex,0,"Act/360",0)</f>
        <v>obj_005f4#0001</v>
      </c>
      <c r="D48" s="369">
        <f>_xll.qlCalendarAdvance(Calendar,SettlementDate,A48&amp;"M","mf")</f>
        <v>43354</v>
      </c>
      <c r="E48" s="369">
        <f>_xll.qlInterestRateIndexMaturity(IborIndex,D48)</f>
        <v>43719</v>
      </c>
      <c r="F48" s="370">
        <f>_xll.qlOvernightIndexedSwapFairRate(C48,_xll.ohTrigger(InterestRatesTrigger))</f>
        <v>3.9314392767267987E-3</v>
      </c>
      <c r="G48" s="371">
        <f>_xll.qlInterpolationInterpolate(BasisInterpolator,D48,TRUE,F48)</f>
        <v>5.1146424570824283E-3</v>
      </c>
      <c r="H48" s="370">
        <f t="shared" si="0"/>
        <v>9.0460817338092261E-3</v>
      </c>
      <c r="I48" s="171"/>
      <c r="AA48" s="70"/>
      <c r="AB48" s="70"/>
      <c r="AC48" s="171"/>
    </row>
    <row r="49" spans="1:29" x14ac:dyDescent="0.2">
      <c r="A49" s="372">
        <v>47</v>
      </c>
      <c r="B49" s="373">
        <f>_xll.qlInterestRateIndexFixingDate(IborIndex,D49)</f>
        <v>43382</v>
      </c>
      <c r="C49" s="372" t="str">
        <f>_xll.qlMakeDatedOIS(,D49,E49,OvernightIndex,0,"Act/360",0)</f>
        <v>obj_005de#0001</v>
      </c>
      <c r="D49" s="373">
        <f>_xll.qlCalendarAdvance(Calendar,SettlementDate,A49&amp;"M","mf")</f>
        <v>43384</v>
      </c>
      <c r="E49" s="373">
        <f>_xll.qlInterestRateIndexMaturity(IborIndex,D49)</f>
        <v>43749</v>
      </c>
      <c r="F49" s="374">
        <f>_xll.qlOvernightIndexedSwapFairRate(C49,_xll.ohTrigger(InterestRatesTrigger))</f>
        <v>4.1475285620539556E-3</v>
      </c>
      <c r="G49" s="375">
        <f>_xll.qlInterpolationInterpolate(BasisInterpolator,D49,TRUE,F49)</f>
        <v>5.1271363859806554E-3</v>
      </c>
      <c r="H49" s="374">
        <f t="shared" si="0"/>
        <v>9.2746649480346111E-3</v>
      </c>
      <c r="I49" s="171"/>
      <c r="AA49" s="70"/>
      <c r="AB49" s="70"/>
      <c r="AC49" s="171"/>
    </row>
    <row r="50" spans="1:29" x14ac:dyDescent="0.2">
      <c r="A50" s="378">
        <v>48</v>
      </c>
      <c r="B50" s="379">
        <f>_xll.qlInterestRateIndexFixingDate(IborIndex,D50)</f>
        <v>43412</v>
      </c>
      <c r="C50" s="378" t="str">
        <f>_xll.qlMakeDatedOIS(,D50,E50,OvernightIndex,0,"Act/360",0)</f>
        <v>obj_005ed#0001</v>
      </c>
      <c r="D50" s="379">
        <f>_xll.qlCalendarAdvance(Calendar,SettlementDate,A50&amp;"M","mf")</f>
        <v>43416</v>
      </c>
      <c r="E50" s="379">
        <f>_xll.qlInterestRateIndexMaturity(IborIndex,D50)</f>
        <v>43781</v>
      </c>
      <c r="F50" s="380">
        <f>_xll.qlOvernightIndexedSwapFairRate(C50,_xll.ohTrigger(InterestRatesTrigger))</f>
        <v>4.38665213108521E-3</v>
      </c>
      <c r="G50" s="381">
        <f>_xll.qlInterpolationInterpolate(BasisInterpolator,D50,TRUE,F50)</f>
        <v>5.1359999999999999E-3</v>
      </c>
      <c r="H50" s="380">
        <f t="shared" si="0"/>
        <v>9.5226521310852099E-3</v>
      </c>
      <c r="I50" s="171"/>
      <c r="AA50" s="70"/>
      <c r="AB50" s="70"/>
      <c r="AC50" s="171"/>
    </row>
    <row r="51" spans="1:29" x14ac:dyDescent="0.2">
      <c r="I51" s="171"/>
    </row>
    <row r="52" spans="1:29" x14ac:dyDescent="0.2">
      <c r="I52" s="171"/>
    </row>
    <row r="53" spans="1:29" x14ac:dyDescent="0.2">
      <c r="I53" s="171"/>
    </row>
    <row r="54" spans="1:29" x14ac:dyDescent="0.2">
      <c r="I54" s="171"/>
    </row>
    <row r="55" spans="1:29" x14ac:dyDescent="0.2">
      <c r="I55" s="171"/>
    </row>
    <row r="56" spans="1:29" x14ac:dyDescent="0.2">
      <c r="I56" s="171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showGridLines="0" workbookViewId="0"/>
  </sheetViews>
  <sheetFormatPr defaultRowHeight="11.25" x14ac:dyDescent="0.2"/>
  <cols>
    <col min="1" max="1" width="4.33203125" style="44" customWidth="1"/>
    <col min="2" max="2" width="7.83203125" style="44" customWidth="1"/>
    <col min="3" max="3" width="36.6640625" style="44" bestFit="1" customWidth="1"/>
    <col min="4" max="4" width="35.83203125" style="44" customWidth="1"/>
    <col min="5" max="5" width="25.6640625" style="44" customWidth="1"/>
    <col min="6" max="7" width="3.1640625" style="44" customWidth="1"/>
    <col min="8" max="8" width="4.33203125" style="44" customWidth="1"/>
    <col min="9" max="9" width="7.83203125" style="44" customWidth="1"/>
    <col min="10" max="10" width="10.5" style="44" bestFit="1" customWidth="1"/>
    <col min="11" max="11" width="3.1640625" style="44" customWidth="1"/>
    <col min="12" max="12" width="9.33203125" style="44" bestFit="1" customWidth="1"/>
    <col min="13" max="13" width="3.1640625" style="44" customWidth="1"/>
    <col min="14" max="14" width="11.6640625" style="44" bestFit="1" customWidth="1"/>
    <col min="15" max="15" width="10.5" style="44" bestFit="1" customWidth="1"/>
    <col min="16" max="16" width="5.83203125" style="44" customWidth="1"/>
    <col min="17" max="16384" width="9.33203125" style="49"/>
  </cols>
  <sheetData>
    <row r="1" spans="1:16" ht="12" thickBot="1" x14ac:dyDescent="0.25">
      <c r="A1" s="41"/>
      <c r="D1" s="42"/>
      <c r="E1" s="42"/>
      <c r="F1" s="43"/>
      <c r="H1" s="45"/>
      <c r="I1" s="46"/>
      <c r="J1" s="46"/>
      <c r="K1" s="47"/>
      <c r="L1" s="47"/>
      <c r="M1" s="47"/>
      <c r="N1" s="46"/>
      <c r="P1" s="48"/>
    </row>
    <row r="2" spans="1:16" ht="12.75" thickBot="1" x14ac:dyDescent="0.3">
      <c r="A2" s="390"/>
      <c r="B2" s="391"/>
      <c r="C2" s="392" t="str">
        <f>Currency&amp;"_015_SyntheticQuotes"&amp;".xml"</f>
        <v>EUR_015_SyntheticQuotes.xml</v>
      </c>
      <c r="D2" s="397" t="str">
        <f>IF(Serialize,_xll.ohObjectSave(D3:D84,SerializationPath&amp;C2,FileOverwrite,Serialize),"---")</f>
        <v>---</v>
      </c>
      <c r="E2" s="392" t="str">
        <f>_xll.ohRangeRetrieveError(D2)</f>
        <v/>
      </c>
      <c r="F2" s="50"/>
      <c r="H2" s="51"/>
      <c r="I2" s="401"/>
      <c r="J2" s="402" t="s">
        <v>59</v>
      </c>
      <c r="K2" s="52"/>
      <c r="L2" s="403" t="s">
        <v>60</v>
      </c>
      <c r="M2" s="52"/>
      <c r="N2" s="401" t="s">
        <v>61</v>
      </c>
      <c r="O2" s="404" t="s">
        <v>62</v>
      </c>
      <c r="P2" s="158">
        <f>_xll.ohTrigger(O3:O7)</f>
        <v>7</v>
      </c>
    </row>
    <row r="3" spans="1:16" x14ac:dyDescent="0.2">
      <c r="A3" s="393">
        <v>1</v>
      </c>
      <c r="B3" s="135" t="s">
        <v>63</v>
      </c>
      <c r="C3" s="136" t="str">
        <f t="shared" ref="C3" si="0">Currency&amp;$B3&amp;"_SYNTH"&amp;Tenor1M&amp;QuoteSuffix</f>
        <v>EURSND_SYNTH1M_Quote</v>
      </c>
      <c r="D3" s="137" t="str">
        <f>_xll.qlSimpleQuote(C3,,RateTickValue,Permanent,EvaluationDate,ObjectOverwrite)</f>
        <v>EURSND_SYNTH1M_Quote#0001</v>
      </c>
      <c r="E3" s="398" t="str">
        <f>_xll.ohRangeRetrieveError(D3)</f>
        <v/>
      </c>
      <c r="F3" s="50"/>
      <c r="H3" s="51"/>
      <c r="I3" s="99" t="s">
        <v>63</v>
      </c>
      <c r="J3" s="100">
        <f>'1MSynthDepo'!D26</f>
        <v>-1.8431620607989346E-5</v>
      </c>
      <c r="K3" s="54" t="s">
        <v>64</v>
      </c>
      <c r="L3" s="105">
        <v>7.562493980206341E-4</v>
      </c>
      <c r="M3" s="52"/>
      <c r="N3" s="108">
        <f t="array" ref="N3:N84">QuoteLive</f>
        <v>-1.8431620607989346E-5</v>
      </c>
      <c r="O3" s="109">
        <f>_xll.qlSimpleQuoteSetValue(D3,ROUND($N3,6),EvaluationDate)</f>
        <v>0</v>
      </c>
      <c r="P3" s="53"/>
    </row>
    <row r="4" spans="1:16" x14ac:dyDescent="0.2">
      <c r="A4" s="394" t="str">
        <f>_xll.qlPeriodEquivalent(Months1M&amp;"M")</f>
        <v>1M</v>
      </c>
      <c r="B4" s="138" t="s">
        <v>65</v>
      </c>
      <c r="C4" s="55" t="str">
        <f t="shared" ref="C4:C7" si="1">Currency&amp;$B4&amp;"_SYNTH"&amp;Tenor1M&amp;QuoteSuffix</f>
        <v>EURSWD_SYNTH1M_Quote</v>
      </c>
      <c r="D4" s="139" t="str">
        <f>_xll.qlSimpleQuote(C4,,RateTickValue,Permanent,EvaluationDate,ObjectOverwrite)</f>
        <v>EURSWD_SYNTH1M_Quote#0001</v>
      </c>
      <c r="E4" s="399" t="str">
        <f>_xll.ohRangeRetrieveError(D4)</f>
        <v/>
      </c>
      <c r="F4" s="50"/>
      <c r="H4" s="51"/>
      <c r="I4" s="99" t="s">
        <v>65</v>
      </c>
      <c r="J4" s="100">
        <f>'1MSynthDepo'!D27</f>
        <v>-2.2961289239193746E-5</v>
      </c>
      <c r="K4" s="54" t="s">
        <v>64</v>
      </c>
      <c r="L4" s="105">
        <v>7.139280586619277E-4</v>
      </c>
      <c r="M4" s="52"/>
      <c r="N4" s="108">
        <v>-2.2961289239193746E-5</v>
      </c>
      <c r="O4" s="109">
        <f>_xll.qlSimpleQuoteSetValue(D4,ROUND($N4,6),EvaluationDate)</f>
        <v>0</v>
      </c>
      <c r="P4" s="53"/>
    </row>
    <row r="5" spans="1:16" x14ac:dyDescent="0.2">
      <c r="A5" s="144"/>
      <c r="B5" s="138" t="s">
        <v>66</v>
      </c>
      <c r="C5" s="55" t="str">
        <f t="shared" si="1"/>
        <v>EUR2WD_SYNTH1M_Quote</v>
      </c>
      <c r="D5" s="139" t="str">
        <f>_xll.qlSimpleQuote(C5,,RateTickValue,Permanent,EvaluationDate,ObjectOverwrite)</f>
        <v>EUR2WD_SYNTH1M_Quote#0001</v>
      </c>
      <c r="E5" s="399" t="str">
        <f>_xll.ohRangeRetrieveError(D5)</f>
        <v/>
      </c>
      <c r="F5" s="50"/>
      <c r="H5" s="51"/>
      <c r="I5" s="99" t="s">
        <v>66</v>
      </c>
      <c r="J5" s="100">
        <f>'1MSynthDepo'!D28</f>
        <v>-3.7094770673588674E-5</v>
      </c>
      <c r="K5" s="54" t="s">
        <v>64</v>
      </c>
      <c r="L5" s="105">
        <v>7.1986570928168924E-4</v>
      </c>
      <c r="M5" s="52"/>
      <c r="N5" s="108">
        <v>-3.7094770673588674E-5</v>
      </c>
      <c r="O5" s="109">
        <f>_xll.qlSimpleQuoteSetValue(D5,ROUND($N5,6),EvaluationDate)</f>
        <v>0</v>
      </c>
      <c r="P5" s="53"/>
    </row>
    <row r="6" spans="1:16" x14ac:dyDescent="0.2">
      <c r="A6" s="144"/>
      <c r="B6" s="138" t="s">
        <v>67</v>
      </c>
      <c r="C6" s="55" t="str">
        <f t="shared" si="1"/>
        <v>EUR3WD_SYNTH1M_Quote</v>
      </c>
      <c r="D6" s="139" t="str">
        <f>_xll.qlSimpleQuote(C6,,RateTickValue,Permanent,EvaluationDate,ObjectOverwrite)</f>
        <v>EUR3WD_SYNTH1M_Quote#0001</v>
      </c>
      <c r="E6" s="399" t="str">
        <f>_xll.ohRangeRetrieveError(D6)</f>
        <v/>
      </c>
      <c r="F6" s="50"/>
      <c r="H6" s="51"/>
      <c r="I6" s="101" t="s">
        <v>67</v>
      </c>
      <c r="J6" s="102">
        <f>'1MSynthDepo'!D29</f>
        <v>2.8033674676104624E-4</v>
      </c>
      <c r="K6" s="54" t="s">
        <v>64</v>
      </c>
      <c r="L6" s="106">
        <v>9.4580336066685212E-4</v>
      </c>
      <c r="M6" s="52"/>
      <c r="N6" s="110">
        <v>2.8033674676104624E-4</v>
      </c>
      <c r="O6" s="111">
        <f>_xll.qlSimpleQuoteSetValue(D6,ROUND($N6,6),EvaluationDate)</f>
        <v>0</v>
      </c>
      <c r="P6" s="53"/>
    </row>
    <row r="7" spans="1:16" ht="12" thickBot="1" x14ac:dyDescent="0.25">
      <c r="A7" s="145"/>
      <c r="B7" s="143" t="s">
        <v>68</v>
      </c>
      <c r="C7" s="98" t="str">
        <f t="shared" si="1"/>
        <v>EUR1MD_SYNTH1M_Quote</v>
      </c>
      <c r="D7" s="142" t="str">
        <f>_xll.qlSimpleQuote(C7,,RateTickValue,Permanent,EvaluationDate,ObjectOverwrite)</f>
        <v>EUR1MD_SYNTH1M_Quote#0001</v>
      </c>
      <c r="E7" s="400" t="str">
        <f>_xll.ohRangeRetrieveError(D7)</f>
        <v/>
      </c>
      <c r="F7" s="50"/>
      <c r="H7" s="117"/>
      <c r="I7" s="103" t="s">
        <v>68</v>
      </c>
      <c r="J7" s="104">
        <f>'1MSynthDepo'!D30</f>
        <v>1.6245424997254635E-4</v>
      </c>
      <c r="K7" s="118" t="s">
        <v>64</v>
      </c>
      <c r="L7" s="107">
        <v>8.9999999999999998E-4</v>
      </c>
      <c r="M7" s="117"/>
      <c r="N7" s="112">
        <v>1.6245424997254635E-4</v>
      </c>
      <c r="O7" s="113">
        <f>_xll.qlSimpleQuoteSetValue(D7,ROUND($N7,6),EvaluationDate)</f>
        <v>0</v>
      </c>
      <c r="P7" s="117"/>
    </row>
    <row r="8" spans="1:16" x14ac:dyDescent="0.2">
      <c r="A8" s="393">
        <v>3</v>
      </c>
      <c r="B8" s="135" t="s">
        <v>63</v>
      </c>
      <c r="C8" s="136" t="str">
        <f t="shared" ref="C8:C14" si="2">Currency&amp;$B8&amp;"_SYNTH"&amp;Tenor3M&amp;QuoteSuffix</f>
        <v>EURSND_SYNTH3M_Quote</v>
      </c>
      <c r="D8" s="137" t="str">
        <f>_xll.qlSimpleQuote(C8,,RateTickValue,Permanent,EvaluationDate,ObjectOverwrite)</f>
        <v>EURSND_SYNTH3M_Quote#0001</v>
      </c>
      <c r="E8" s="398"/>
      <c r="F8" s="57"/>
      <c r="H8" s="60"/>
      <c r="I8" s="119" t="s">
        <v>63</v>
      </c>
      <c r="J8" s="120">
        <f>'3MSynthDepo'!D28</f>
        <v>6.0134892714213382E-4</v>
      </c>
      <c r="K8" s="61"/>
      <c r="L8" s="121">
        <v>2.0854566594392708E-3</v>
      </c>
      <c r="M8" s="59"/>
      <c r="N8" s="122">
        <v>6.0134892714213382E-4</v>
      </c>
      <c r="O8" s="123">
        <f>_xll.qlSimpleQuoteSetValue(D8,ROUND($N8,6),EvaluationDate)</f>
        <v>0</v>
      </c>
      <c r="P8" s="159">
        <f>_xll.ohTrigger(O8:O14)</f>
        <v>7</v>
      </c>
    </row>
    <row r="9" spans="1:16" x14ac:dyDescent="0.2">
      <c r="A9" s="394" t="str">
        <f>_xll.qlPeriodEquivalent(Months3M&amp;"M")</f>
        <v>3M</v>
      </c>
      <c r="B9" s="138" t="s">
        <v>65</v>
      </c>
      <c r="C9" s="55" t="str">
        <f t="shared" si="2"/>
        <v>EURSWD_SYNTH3M_Quote</v>
      </c>
      <c r="D9" s="139" t="str">
        <f>_xll.qlSimpleQuote(C9,,RateTickValue,Permanent,EvaluationDate,ObjectOverwrite)</f>
        <v>EURSWD_SYNTH3M_Quote#0001</v>
      </c>
      <c r="E9" s="399"/>
      <c r="F9" s="57"/>
      <c r="H9" s="60"/>
      <c r="I9" s="114" t="s">
        <v>65</v>
      </c>
      <c r="J9" s="100">
        <f>'3MSynthDepo'!D29</f>
        <v>6.0554631686241965E-4</v>
      </c>
      <c r="K9" s="61"/>
      <c r="L9" s="105">
        <v>2.0363357259103824E-3</v>
      </c>
      <c r="M9" s="59"/>
      <c r="N9" s="108">
        <v>6.0554631686241965E-4</v>
      </c>
      <c r="O9" s="109">
        <f>_xll.qlSimpleQuoteSetValue(D9,ROUND($N9,6),EvaluationDate)</f>
        <v>0</v>
      </c>
      <c r="P9" s="53"/>
    </row>
    <row r="10" spans="1:16" x14ac:dyDescent="0.2">
      <c r="A10" s="56"/>
      <c r="B10" s="138" t="s">
        <v>66</v>
      </c>
      <c r="C10" s="55" t="str">
        <f t="shared" si="2"/>
        <v>EUR2WD_SYNTH3M_Quote</v>
      </c>
      <c r="D10" s="139" t="str">
        <f>_xll.qlSimpleQuote(C10,,RateTickValue,Permanent,EvaluationDate,ObjectOverwrite)</f>
        <v>EUR2WD_SYNTH3M_Quote#0001</v>
      </c>
      <c r="E10" s="399"/>
      <c r="F10" s="57"/>
      <c r="H10" s="60"/>
      <c r="I10" s="114" t="s">
        <v>66</v>
      </c>
      <c r="J10" s="100">
        <f>'3MSynthDepo'!D30</f>
        <v>6.0111713987730329E-4</v>
      </c>
      <c r="K10" s="61"/>
      <c r="L10" s="105">
        <v>2.0303740867323259E-3</v>
      </c>
      <c r="M10" s="59"/>
      <c r="N10" s="108">
        <v>6.0111713987730329E-4</v>
      </c>
      <c r="O10" s="109">
        <f>_xll.qlSimpleQuoteSetValue(D10,ROUND($N10,6),EvaluationDate)</f>
        <v>0</v>
      </c>
      <c r="P10" s="53"/>
    </row>
    <row r="11" spans="1:16" x14ac:dyDescent="0.2">
      <c r="A11" s="56"/>
      <c r="B11" s="138" t="s">
        <v>67</v>
      </c>
      <c r="C11" s="55" t="str">
        <f t="shared" si="2"/>
        <v>EUR3WD_SYNTH3M_Quote</v>
      </c>
      <c r="D11" s="139" t="str">
        <f>_xll.qlSimpleQuote(C11,,RateTickValue,Permanent,EvaluationDate,ObjectOverwrite)</f>
        <v>EUR3WD_SYNTH3M_Quote#0001</v>
      </c>
      <c r="E11" s="399"/>
      <c r="F11" s="57"/>
      <c r="H11" s="60"/>
      <c r="I11" s="115" t="s">
        <v>67</v>
      </c>
      <c r="J11" s="102">
        <f>'3MSynthDepo'!D31</f>
        <v>9.2773898554702897E-4</v>
      </c>
      <c r="K11" s="61"/>
      <c r="L11" s="106">
        <v>2.2444124483196708E-3</v>
      </c>
      <c r="M11" s="59"/>
      <c r="N11" s="110">
        <v>9.2773898554702897E-4</v>
      </c>
      <c r="O11" s="111">
        <f>_xll.qlSimpleQuoteSetValue(D11,ROUND($N11,6),EvaluationDate)</f>
        <v>0</v>
      </c>
      <c r="P11" s="53"/>
    </row>
    <row r="12" spans="1:16" x14ac:dyDescent="0.2">
      <c r="A12" s="56"/>
      <c r="B12" s="138" t="s">
        <v>68</v>
      </c>
      <c r="C12" s="55" t="str">
        <f t="shared" si="2"/>
        <v>EUR1MD_SYNTH3M_Quote</v>
      </c>
      <c r="D12" s="140" t="str">
        <f>_xll.qlSimpleQuote(C12,,RateTickValue,Permanent,EvaluationDate,ObjectOverwrite)</f>
        <v>EUR1MD_SYNTH3M_Quote#0001</v>
      </c>
      <c r="E12" s="399"/>
      <c r="F12" s="57"/>
      <c r="H12" s="60"/>
      <c r="I12" s="114" t="s">
        <v>68</v>
      </c>
      <c r="J12" s="100">
        <f>'3MSynthDepo'!D32</f>
        <v>8.2091739470524733E-4</v>
      </c>
      <c r="K12" s="61"/>
      <c r="L12" s="105">
        <v>2.1816101022273638E-3</v>
      </c>
      <c r="M12" s="59"/>
      <c r="N12" s="108">
        <v>8.2091739470524733E-4</v>
      </c>
      <c r="O12" s="109">
        <f>_xll.qlSimpleQuoteSetValue(D12,ROUND($N12,6),EvaluationDate)</f>
        <v>0</v>
      </c>
      <c r="P12" s="53"/>
    </row>
    <row r="13" spans="1:16" x14ac:dyDescent="0.2">
      <c r="A13" s="56"/>
      <c r="B13" s="138" t="s">
        <v>69</v>
      </c>
      <c r="C13" s="55" t="str">
        <f t="shared" si="2"/>
        <v>EUR2MD_SYNTH3M_Quote</v>
      </c>
      <c r="D13" s="140" t="str">
        <f>_xll.qlSimpleQuote(C13,,RateTickValue,Permanent,EvaluationDate,ObjectOverwrite)</f>
        <v>EUR2MD_SYNTH3M_Quote#0001</v>
      </c>
      <c r="E13" s="399"/>
      <c r="F13" s="57"/>
      <c r="H13" s="60"/>
      <c r="I13" s="114" t="s">
        <v>69</v>
      </c>
      <c r="J13" s="100">
        <f>'3MSynthDepo'!D33</f>
        <v>7.8597097618424605E-4</v>
      </c>
      <c r="K13" s="61"/>
      <c r="L13" s="105">
        <v>2.100593842366712E-3</v>
      </c>
      <c r="M13" s="59"/>
      <c r="N13" s="108">
        <v>7.8597097618424605E-4</v>
      </c>
      <c r="O13" s="109">
        <f>_xll.qlSimpleQuoteSetValue(D13,ROUND($N13,6),EvaluationDate)</f>
        <v>0</v>
      </c>
      <c r="P13" s="53"/>
    </row>
    <row r="14" spans="1:16" ht="12" thickBot="1" x14ac:dyDescent="0.25">
      <c r="A14" s="56"/>
      <c r="B14" s="141" t="s">
        <v>70</v>
      </c>
      <c r="C14" s="98" t="str">
        <f t="shared" si="2"/>
        <v>EUR3MD_SYNTH3M_Quote</v>
      </c>
      <c r="D14" s="142" t="str">
        <f>_xll.qlSimpleQuote(C14,,RateTickValue,Permanent,EvaluationDate,ObjectOverwrite)</f>
        <v>EUR3MD_SYNTH3M_Quote#0001</v>
      </c>
      <c r="E14" s="400"/>
      <c r="F14" s="57"/>
      <c r="H14" s="60"/>
      <c r="I14" s="116" t="s">
        <v>70</v>
      </c>
      <c r="J14" s="104">
        <f>'3MSynthDepo'!D34</f>
        <v>7.9798085656078953E-4</v>
      </c>
      <c r="K14" s="61"/>
      <c r="L14" s="107">
        <v>1.99E-3</v>
      </c>
      <c r="M14" s="59"/>
      <c r="N14" s="112">
        <v>7.9798085656078953E-4</v>
      </c>
      <c r="O14" s="113">
        <f>_xll.qlSimpleQuoteSetValue(D14,ROUND($N14,6),EvaluationDate)</f>
        <v>0</v>
      </c>
      <c r="P14" s="53"/>
    </row>
    <row r="15" spans="1:16" x14ac:dyDescent="0.2">
      <c r="A15" s="393">
        <v>6</v>
      </c>
      <c r="B15" s="146" t="s">
        <v>63</v>
      </c>
      <c r="C15" s="136" t="str">
        <f t="shared" ref="C15:C24" si="3">Currency&amp;$B15&amp;"_SYNTH"&amp;Tenor6M&amp;QuoteSuffix</f>
        <v>EURSND_SYNTH6M_Quote</v>
      </c>
      <c r="D15" s="137" t="str">
        <f>_xll.qlSimpleQuote(C15,,RateTickValue,Permanent,EvaluationDate,ObjectOverwrite)</f>
        <v>EURSND_SYNTH6M_Quote#0001</v>
      </c>
      <c r="E15" s="398" t="str">
        <f>_xll.ohRangeRetrieveError(D15)</f>
        <v/>
      </c>
      <c r="F15" s="57"/>
      <c r="H15" s="60"/>
      <c r="I15" s="119" t="s">
        <v>63</v>
      </c>
      <c r="J15" s="120">
        <f>'6MSynthDepo'!D31</f>
        <v>1.6665714403746182E-3</v>
      </c>
      <c r="K15" s="61"/>
      <c r="L15" s="121">
        <v>3.429611293926924E-3</v>
      </c>
      <c r="M15" s="59"/>
      <c r="N15" s="122">
        <v>1.6665714403746182E-3</v>
      </c>
      <c r="O15" s="123">
        <f>_xll.qlSimpleQuoteSetValue(D15,ROUND($N15,6),EvaluationDate)</f>
        <v>0</v>
      </c>
      <c r="P15" s="160">
        <f>_xll.ohTrigger(O15:O24)</f>
        <v>7</v>
      </c>
    </row>
    <row r="16" spans="1:16" x14ac:dyDescent="0.2">
      <c r="A16" s="394" t="str">
        <f>_xll.qlPeriodEquivalent(Months6M&amp;"M")</f>
        <v>6M</v>
      </c>
      <c r="B16" s="147" t="s">
        <v>65</v>
      </c>
      <c r="C16" s="55" t="str">
        <f t="shared" si="3"/>
        <v>EURSWD_SYNTH6M_Quote</v>
      </c>
      <c r="D16" s="139" t="str">
        <f>_xll.qlSimpleQuote(C16,,RateTickValue,Permanent,EvaluationDate,ObjectOverwrite)</f>
        <v>EURSWD_SYNTH6M_Quote#0001</v>
      </c>
      <c r="E16" s="399" t="str">
        <f>_xll.ohRangeRetrieveError(D16)</f>
        <v/>
      </c>
      <c r="F16" s="57"/>
      <c r="H16" s="60"/>
      <c r="I16" s="114" t="s">
        <v>65</v>
      </c>
      <c r="J16" s="100">
        <f>'6MSynthDepo'!D32</f>
        <v>1.6710731332502261E-3</v>
      </c>
      <c r="K16" s="61"/>
      <c r="L16" s="105">
        <v>3.3663605344225103E-3</v>
      </c>
      <c r="M16" s="59"/>
      <c r="N16" s="108">
        <v>1.6710731332502261E-3</v>
      </c>
      <c r="O16" s="109">
        <f>_xll.qlSimpleQuoteSetValue(D16,ROUND($N16,6),EvaluationDate)</f>
        <v>0</v>
      </c>
      <c r="P16" s="62"/>
    </row>
    <row r="17" spans="1:16" x14ac:dyDescent="0.2">
      <c r="A17" s="149"/>
      <c r="B17" s="147" t="s">
        <v>66</v>
      </c>
      <c r="C17" s="55" t="str">
        <f t="shared" si="3"/>
        <v>EUR2WD_SYNTH6M_Quote</v>
      </c>
      <c r="D17" s="139" t="str">
        <f>_xll.qlSimpleQuote(C17,,RateTickValue,Permanent,EvaluationDate,ObjectOverwrite)</f>
        <v>EUR2WD_SYNTH6M_Quote#0001</v>
      </c>
      <c r="E17" s="399" t="str">
        <f>_xll.ohRangeRetrieveError(D17)</f>
        <v/>
      </c>
      <c r="F17" s="57"/>
      <c r="H17" s="58"/>
      <c r="I17" s="114" t="s">
        <v>66</v>
      </c>
      <c r="J17" s="100">
        <f>'6MSynthDepo'!D33</f>
        <v>1.6667846355885023E-3</v>
      </c>
      <c r="K17" s="61"/>
      <c r="L17" s="105">
        <v>3.3368531136497635E-3</v>
      </c>
      <c r="M17" s="59"/>
      <c r="N17" s="108">
        <v>1.6667846355885023E-3</v>
      </c>
      <c r="O17" s="109">
        <f>_xll.qlSimpleQuoteSetValue(D17,ROUND($N17,6),EvaluationDate)</f>
        <v>0</v>
      </c>
      <c r="P17" s="62"/>
    </row>
    <row r="18" spans="1:16" x14ac:dyDescent="0.2">
      <c r="A18" s="150"/>
      <c r="B18" s="147" t="s">
        <v>67</v>
      </c>
      <c r="C18" s="55" t="str">
        <f t="shared" si="3"/>
        <v>EUR3WD_SYNTH6M_Quote</v>
      </c>
      <c r="D18" s="139" t="str">
        <f>_xll.qlSimpleQuote(C18,,RateTickValue,Permanent,EvaluationDate,ObjectOverwrite)</f>
        <v>EUR3WD_SYNTH6M_Quote#0001</v>
      </c>
      <c r="E18" s="399" t="str">
        <f>_xll.ohRangeRetrieveError(D18)</f>
        <v/>
      </c>
      <c r="F18" s="57"/>
      <c r="H18" s="58"/>
      <c r="I18" s="114" t="s">
        <v>67</v>
      </c>
      <c r="J18" s="100">
        <f>'6MSynthDepo'!D34</f>
        <v>1.9933163317860229E-3</v>
      </c>
      <c r="K18" s="61"/>
      <c r="L18" s="105">
        <v>3.5288493112855738E-3</v>
      </c>
      <c r="M18" s="59"/>
      <c r="N18" s="108">
        <v>1.9933163317860229E-3</v>
      </c>
      <c r="O18" s="109">
        <f>_xll.qlSimpleQuoteSetValue(D18,ROUND($N18,6),EvaluationDate)</f>
        <v>0</v>
      </c>
      <c r="P18" s="62"/>
    </row>
    <row r="19" spans="1:16" x14ac:dyDescent="0.2">
      <c r="A19" s="150"/>
      <c r="B19" s="147" t="s">
        <v>68</v>
      </c>
      <c r="C19" s="55" t="str">
        <f t="shared" si="3"/>
        <v>EUR1MD_SYNTH6M_Quote</v>
      </c>
      <c r="D19" s="139" t="str">
        <f>_xll.qlSimpleQuote(C19,,RateTickValue,Permanent,EvaluationDate,ObjectOverwrite)</f>
        <v>EUR1MD_SYNTH6M_Quote#0001</v>
      </c>
      <c r="E19" s="399" t="str">
        <f>_xll.ohRangeRetrieveError(D19)</f>
        <v/>
      </c>
      <c r="F19" s="57"/>
      <c r="H19" s="58"/>
      <c r="I19" s="114" t="s">
        <v>68</v>
      </c>
      <c r="J19" s="100">
        <f>'6MSynthDepo'!D35</f>
        <v>1.8860396574742018E-3</v>
      </c>
      <c r="K19" s="61"/>
      <c r="L19" s="105">
        <v>3.437166475867978E-3</v>
      </c>
      <c r="M19" s="59"/>
      <c r="N19" s="108">
        <v>1.8860396574742018E-3</v>
      </c>
      <c r="O19" s="109">
        <f>_xll.qlSimpleQuoteSetValue(D19,ROUND($N19,6),EvaluationDate)</f>
        <v>0</v>
      </c>
      <c r="P19" s="62"/>
    </row>
    <row r="20" spans="1:16" x14ac:dyDescent="0.2">
      <c r="A20" s="150"/>
      <c r="B20" s="147" t="s">
        <v>69</v>
      </c>
      <c r="C20" s="55" t="str">
        <f t="shared" si="3"/>
        <v>EUR2MD_SYNTH6M_Quote</v>
      </c>
      <c r="D20" s="139" t="str">
        <f>_xll.qlSimpleQuote(C20,,RateTickValue,Permanent,EvaluationDate,ObjectOverwrite)</f>
        <v>EUR2MD_SYNTH6M_Quote#0001</v>
      </c>
      <c r="E20" s="399" t="str">
        <f>_xll.ohRangeRetrieveError(D20)</f>
        <v/>
      </c>
      <c r="F20" s="57"/>
      <c r="H20" s="58"/>
      <c r="I20" s="114" t="s">
        <v>69</v>
      </c>
      <c r="J20" s="100">
        <f>'6MSynthDepo'!D36</f>
        <v>1.846384885007104E-3</v>
      </c>
      <c r="K20" s="61"/>
      <c r="L20" s="105">
        <v>3.2879203926415284E-3</v>
      </c>
      <c r="M20" s="59"/>
      <c r="N20" s="108">
        <v>1.846384885007104E-3</v>
      </c>
      <c r="O20" s="109">
        <f>_xll.qlSimpleQuoteSetValue(D20,ROUND($N20,6),EvaluationDate)</f>
        <v>0</v>
      </c>
      <c r="P20" s="62"/>
    </row>
    <row r="21" spans="1:16" x14ac:dyDescent="0.2">
      <c r="A21" s="150"/>
      <c r="B21" s="147" t="s">
        <v>70</v>
      </c>
      <c r="C21" s="55" t="str">
        <f t="shared" si="3"/>
        <v>EUR3MD_SYNTH6M_Quote</v>
      </c>
      <c r="D21" s="139" t="str">
        <f>_xll.qlSimpleQuote(C21,,RateTickValue,Permanent,EvaluationDate,ObjectOverwrite)</f>
        <v>EUR3MD_SYNTH6M_Quote#0001</v>
      </c>
      <c r="E21" s="399" t="str">
        <f>_xll.ohRangeRetrieveError(D21)</f>
        <v/>
      </c>
      <c r="F21" s="57"/>
      <c r="H21" s="58"/>
      <c r="I21" s="114" t="s">
        <v>70</v>
      </c>
      <c r="J21" s="100">
        <f>'6MSynthDepo'!D37</f>
        <v>1.8495996472345801E-3</v>
      </c>
      <c r="K21" s="61"/>
      <c r="L21" s="105">
        <v>3.1341719188593851E-3</v>
      </c>
      <c r="M21" s="59"/>
      <c r="N21" s="108">
        <v>1.8495996472345801E-3</v>
      </c>
      <c r="O21" s="109">
        <f>_xll.qlSimpleQuoteSetValue(D21,ROUND($N21,6),EvaluationDate)</f>
        <v>0</v>
      </c>
      <c r="P21" s="62"/>
    </row>
    <row r="22" spans="1:16" x14ac:dyDescent="0.2">
      <c r="A22" s="150"/>
      <c r="B22" s="147" t="s">
        <v>71</v>
      </c>
      <c r="C22" s="55" t="str">
        <f t="shared" si="3"/>
        <v>EUR4MD_SYNTH6M_Quote</v>
      </c>
      <c r="D22" s="139" t="str">
        <f>_xll.qlSimpleQuote(C22,,RateTickValue,Permanent,EvaluationDate,ObjectOverwrite)</f>
        <v>EUR4MD_SYNTH6M_Quote#0001</v>
      </c>
      <c r="E22" s="399" t="str">
        <f>_xll.ohRangeRetrieveError(D22)</f>
        <v/>
      </c>
      <c r="F22" s="57"/>
      <c r="H22" s="58"/>
      <c r="I22" s="114" t="s">
        <v>71</v>
      </c>
      <c r="J22" s="100">
        <f>'6MSynthDepo'!D38</f>
        <v>1.8899314698750168E-3</v>
      </c>
      <c r="K22" s="61"/>
      <c r="L22" s="105">
        <v>3.0638881440993079E-3</v>
      </c>
      <c r="M22" s="59"/>
      <c r="N22" s="108">
        <v>1.8899314698750168E-3</v>
      </c>
      <c r="O22" s="109">
        <f>_xll.qlSimpleQuoteSetValue(D22,ROUND($N22,6),EvaluationDate)</f>
        <v>0</v>
      </c>
      <c r="P22" s="62"/>
    </row>
    <row r="23" spans="1:16" x14ac:dyDescent="0.2">
      <c r="A23" s="150"/>
      <c r="B23" s="147" t="s">
        <v>72</v>
      </c>
      <c r="C23" s="55" t="str">
        <f t="shared" si="3"/>
        <v>EUR5MD_SYNTH6M_Quote</v>
      </c>
      <c r="D23" s="139" t="str">
        <f>_xll.qlSimpleQuote(C23,,RateTickValue,Permanent,EvaluationDate,ObjectOverwrite)</f>
        <v>EUR5MD_SYNTH6M_Quote#0001</v>
      </c>
      <c r="E23" s="399" t="str">
        <f>_xll.ohRangeRetrieveError(D23)</f>
        <v/>
      </c>
      <c r="F23" s="57"/>
      <c r="H23" s="58"/>
      <c r="I23" s="114" t="s">
        <v>72</v>
      </c>
      <c r="J23" s="100">
        <f>'6MSynthDepo'!D39</f>
        <v>1.9102425228141912E-3</v>
      </c>
      <c r="K23" s="61"/>
      <c r="L23" s="105">
        <v>3.0024559434110483E-3</v>
      </c>
      <c r="M23" s="59"/>
      <c r="N23" s="108">
        <v>1.9102425228141912E-3</v>
      </c>
      <c r="O23" s="109">
        <f>_xll.qlSimpleQuoteSetValue(D23,ROUND($N23,6),EvaluationDate)</f>
        <v>0</v>
      </c>
      <c r="P23" s="62"/>
    </row>
    <row r="24" spans="1:16" ht="12" thickBot="1" x14ac:dyDescent="0.25">
      <c r="A24" s="151"/>
      <c r="B24" s="143" t="s">
        <v>73</v>
      </c>
      <c r="C24" s="98" t="str">
        <f t="shared" si="3"/>
        <v>EUR6MD_SYNTH6M_Quote</v>
      </c>
      <c r="D24" s="148" t="str">
        <f>_xll.qlSimpleQuote(C24,,RateTickValue,Permanent,EvaluationDate,ObjectOverwrite)</f>
        <v>EUR6MD_SYNTH6M_Quote#0001</v>
      </c>
      <c r="E24" s="400" t="str">
        <f>_xll.ohRangeRetrieveError(D24)</f>
        <v/>
      </c>
      <c r="F24" s="57"/>
      <c r="H24" s="58"/>
      <c r="I24" s="116" t="s">
        <v>73</v>
      </c>
      <c r="J24" s="104">
        <f>'6MSynthDepo'!D40</f>
        <v>1.8915894158436693E-3</v>
      </c>
      <c r="K24" s="61"/>
      <c r="L24" s="107">
        <v>2.9900000000000013E-3</v>
      </c>
      <c r="M24" s="59"/>
      <c r="N24" s="112">
        <v>1.8915894158436693E-3</v>
      </c>
      <c r="O24" s="113">
        <f>_xll.qlSimpleQuoteSetValue(D24,ROUND($N24,6),EvaluationDate)</f>
        <v>0</v>
      </c>
      <c r="P24" s="62"/>
    </row>
    <row r="25" spans="1:16" x14ac:dyDescent="0.2">
      <c r="A25" s="393">
        <v>12</v>
      </c>
      <c r="B25" s="135" t="s">
        <v>63</v>
      </c>
      <c r="C25" s="136" t="str">
        <f t="shared" ref="C25:C40" si="4">Currency&amp;$B25&amp;"_SYNTH"&amp;Tenor12M&amp;QuoteSuffix</f>
        <v>EURSND_SYNTH1Y_Quote</v>
      </c>
      <c r="D25" s="137" t="str">
        <f>_xll.qlSimpleQuote(C25,,RateTickValue,Permanent,EvaluationDate,ObjectOverwrite)</f>
        <v>EURSND_SYNTH1Y_Quote#0001</v>
      </c>
      <c r="E25" s="398" t="str">
        <f>_xll.ohRangeRetrieveError(D25)</f>
        <v/>
      </c>
      <c r="F25" s="66"/>
      <c r="H25" s="60"/>
      <c r="I25" s="124" t="s">
        <v>63</v>
      </c>
      <c r="J25" s="120">
        <f>'1YSynthDepo'!D37</f>
        <v>3.2520991291728842E-3</v>
      </c>
      <c r="K25" s="61"/>
      <c r="L25" s="121">
        <v>4.7040184877368135E-3</v>
      </c>
      <c r="M25" s="59"/>
      <c r="N25" s="122">
        <v>3.2520991291728842E-3</v>
      </c>
      <c r="O25" s="123">
        <f>_xll.qlSimpleQuoteSetValue(D25,ROUND($N25,6),EvaluationDate)</f>
        <v>0</v>
      </c>
      <c r="P25" s="160">
        <f>_xll.ohTrigger(O25:O40)</f>
        <v>7</v>
      </c>
    </row>
    <row r="26" spans="1:16" x14ac:dyDescent="0.2">
      <c r="A26" s="394" t="str">
        <f>_xll.qlPeriodEquivalent(Months12M&amp;"M")</f>
        <v>1Y</v>
      </c>
      <c r="B26" s="138" t="s">
        <v>65</v>
      </c>
      <c r="C26" s="55" t="str">
        <f t="shared" si="4"/>
        <v>EURSWD_SYNTH1Y_Quote</v>
      </c>
      <c r="D26" s="139" t="str">
        <f>_xll.qlSimpleQuote(C26,,RateTickValue,Permanent,EvaluationDate,ObjectOverwrite)</f>
        <v>EURSWD_SYNTH1Y_Quote#0001</v>
      </c>
      <c r="E26" s="399" t="str">
        <f>_xll.ohRangeRetrieveError(D26)</f>
        <v/>
      </c>
      <c r="F26" s="66"/>
      <c r="H26" s="60"/>
      <c r="I26" s="125" t="s">
        <v>65</v>
      </c>
      <c r="J26" s="100">
        <f>'1YSynthDepo'!D38</f>
        <v>3.2478786055439423E-3</v>
      </c>
      <c r="K26" s="61"/>
      <c r="L26" s="105">
        <v>4.6648534527061547E-3</v>
      </c>
      <c r="M26" s="59"/>
      <c r="N26" s="108">
        <v>3.2478786055439423E-3</v>
      </c>
      <c r="O26" s="109">
        <f>_xll.qlSimpleQuoteSetValue(D26,ROUND($N26,6),EvaluationDate)</f>
        <v>0</v>
      </c>
      <c r="P26" s="62"/>
    </row>
    <row r="27" spans="1:16" x14ac:dyDescent="0.2">
      <c r="A27" s="150"/>
      <c r="B27" s="138" t="s">
        <v>66</v>
      </c>
      <c r="C27" s="55" t="str">
        <f t="shared" si="4"/>
        <v>EUR2WD_SYNTH1Y_Quote</v>
      </c>
      <c r="D27" s="139" t="str">
        <f>_xll.qlSimpleQuote(C27,,RateTickValue,Permanent,EvaluationDate,ObjectOverwrite)</f>
        <v>EUR2WD_SYNTH1Y_Quote#0001</v>
      </c>
      <c r="E27" s="399" t="str">
        <f>_xll.ohRangeRetrieveError(D27)</f>
        <v/>
      </c>
      <c r="F27" s="66"/>
      <c r="H27" s="58"/>
      <c r="I27" s="125" t="s">
        <v>66</v>
      </c>
      <c r="J27" s="100">
        <f>'1YSynthDepo'!D39</f>
        <v>3.2336716897713629E-3</v>
      </c>
      <c r="K27" s="61"/>
      <c r="L27" s="105">
        <v>4.6763146358999993E-3</v>
      </c>
      <c r="M27" s="59"/>
      <c r="N27" s="108">
        <v>3.2336716897713629E-3</v>
      </c>
      <c r="O27" s="109">
        <f>_xll.qlSimpleQuoteSetValue(D27,ROUND($N27,6),EvaluationDate)</f>
        <v>0</v>
      </c>
      <c r="P27" s="62"/>
    </row>
    <row r="28" spans="1:16" x14ac:dyDescent="0.2">
      <c r="A28" s="150"/>
      <c r="B28" s="138" t="s">
        <v>67</v>
      </c>
      <c r="C28" s="55" t="str">
        <f t="shared" si="4"/>
        <v>EUR3WD_SYNTH1Y_Quote</v>
      </c>
      <c r="D28" s="139" t="str">
        <f>_xll.qlSimpleQuote(C28,,RateTickValue,Permanent,EvaluationDate,ObjectOverwrite)</f>
        <v>EUR3WD_SYNTH1Y_Quote#0001</v>
      </c>
      <c r="E28" s="399" t="str">
        <f>_xll.ohRangeRetrieveError(D28)</f>
        <v/>
      </c>
      <c r="F28" s="66"/>
      <c r="H28" s="58"/>
      <c r="I28" s="125" t="s">
        <v>67</v>
      </c>
      <c r="J28" s="100">
        <f>'1YSynthDepo'!D40</f>
        <v>3.5505622767828234E-3</v>
      </c>
      <c r="K28" s="61"/>
      <c r="L28" s="105">
        <v>4.9077758198592461E-3</v>
      </c>
      <c r="M28" s="59"/>
      <c r="N28" s="108">
        <v>3.5505622767828234E-3</v>
      </c>
      <c r="O28" s="109">
        <f>_xll.qlSimpleQuoteSetValue(D28,ROUND($N28,6),EvaluationDate)</f>
        <v>0</v>
      </c>
      <c r="P28" s="62"/>
    </row>
    <row r="29" spans="1:16" x14ac:dyDescent="0.2">
      <c r="A29" s="150"/>
      <c r="B29" s="138" t="s">
        <v>68</v>
      </c>
      <c r="C29" s="55" t="str">
        <f t="shared" si="4"/>
        <v>EUR1MD_SYNTH1Y_Quote</v>
      </c>
      <c r="D29" s="139" t="str">
        <f>_xll.qlSimpleQuote(C29,,RateTickValue,Permanent,EvaluationDate,ObjectOverwrite)</f>
        <v>EUR1MD_SYNTH1Y_Quote#0001</v>
      </c>
      <c r="E29" s="399" t="str">
        <f>_xll.ohRangeRetrieveError(D29)</f>
        <v/>
      </c>
      <c r="F29" s="66"/>
      <c r="H29" s="58"/>
      <c r="I29" s="126" t="s">
        <v>68</v>
      </c>
      <c r="J29" s="102">
        <f>'1YSynthDepo'!D41</f>
        <v>3.4312973649988296E-3</v>
      </c>
      <c r="K29" s="61"/>
      <c r="L29" s="106">
        <v>4.869863220012512E-3</v>
      </c>
      <c r="M29" s="59"/>
      <c r="N29" s="110">
        <v>3.4312973649988296E-3</v>
      </c>
      <c r="O29" s="111">
        <f>_xll.qlSimpleQuoteSetValue(D29,ROUND($N29,6),EvaluationDate)</f>
        <v>0</v>
      </c>
      <c r="P29" s="62"/>
    </row>
    <row r="30" spans="1:16" x14ac:dyDescent="0.2">
      <c r="A30" s="150"/>
      <c r="B30" s="138" t="s">
        <v>69</v>
      </c>
      <c r="C30" s="55" t="str">
        <f t="shared" si="4"/>
        <v>EUR2MD_SYNTH1Y_Quote</v>
      </c>
      <c r="D30" s="139" t="str">
        <f>_xll.qlSimpleQuote(C30,,RateTickValue,Permanent,EvaluationDate,ObjectOverwrite)</f>
        <v>EUR2MD_SYNTH1Y_Quote#0001</v>
      </c>
      <c r="E30" s="399" t="str">
        <f>_xll.ohRangeRetrieveError(D30)</f>
        <v/>
      </c>
      <c r="F30" s="66"/>
      <c r="H30" s="58"/>
      <c r="I30" s="125" t="s">
        <v>69</v>
      </c>
      <c r="J30" s="100">
        <f>'1YSynthDepo'!D42</f>
        <v>3.3527302921590031E-3</v>
      </c>
      <c r="K30" s="61"/>
      <c r="L30" s="105">
        <v>4.8635161988885818E-3</v>
      </c>
      <c r="M30" s="59"/>
      <c r="N30" s="108">
        <v>3.3527302921590031E-3</v>
      </c>
      <c r="O30" s="109">
        <f>_xll.qlSimpleQuoteSetValue(D30,ROUND($N30,6),EvaluationDate)</f>
        <v>0</v>
      </c>
      <c r="P30" s="160"/>
    </row>
    <row r="31" spans="1:16" x14ac:dyDescent="0.2">
      <c r="A31" s="150"/>
      <c r="B31" s="138" t="s">
        <v>70</v>
      </c>
      <c r="C31" s="55" t="str">
        <f t="shared" si="4"/>
        <v>EUR3MD_SYNTH1Y_Quote</v>
      </c>
      <c r="D31" s="139" t="str">
        <f>_xll.qlSimpleQuote(C31,,RateTickValue,Permanent,EvaluationDate,ObjectOverwrite)</f>
        <v>EUR3MD_SYNTH1Y_Quote#0001</v>
      </c>
      <c r="E31" s="399" t="str">
        <f>_xll.ohRangeRetrieveError(D31)</f>
        <v/>
      </c>
      <c r="F31" s="66"/>
      <c r="H31" s="58"/>
      <c r="I31" s="125" t="s">
        <v>70</v>
      </c>
      <c r="J31" s="100">
        <f>'1YSynthDepo'!D43</f>
        <v>3.3247279829923498E-3</v>
      </c>
      <c r="K31" s="61"/>
      <c r="L31" s="105">
        <v>4.8350585191322629E-3</v>
      </c>
      <c r="M31" s="59"/>
      <c r="N31" s="108">
        <v>3.3247279829923498E-3</v>
      </c>
      <c r="O31" s="109">
        <f>_xll.qlSimpleQuoteSetValue(D31,ROUND($N31,6),EvaluationDate)</f>
        <v>0</v>
      </c>
      <c r="P31" s="62"/>
    </row>
    <row r="32" spans="1:16" x14ac:dyDescent="0.2">
      <c r="A32" s="150"/>
      <c r="B32" s="138" t="s">
        <v>71</v>
      </c>
      <c r="C32" s="55" t="str">
        <f t="shared" si="4"/>
        <v>EUR4MD_SYNTH1Y_Quote</v>
      </c>
      <c r="D32" s="139" t="str">
        <f>_xll.qlSimpleQuote(C32,,RateTickValue,Permanent,EvaluationDate,ObjectOverwrite)</f>
        <v>EUR4MD_SYNTH1Y_Quote#0001</v>
      </c>
      <c r="E32" s="399" t="str">
        <f>_xll.ohRangeRetrieveError(D32)</f>
        <v/>
      </c>
      <c r="F32" s="66"/>
      <c r="H32" s="58"/>
      <c r="I32" s="125" t="s">
        <v>71</v>
      </c>
      <c r="J32" s="100">
        <f>'1YSynthDepo'!D44</f>
        <v>3.3405192773710698E-3</v>
      </c>
      <c r="K32" s="61"/>
      <c r="L32" s="105">
        <v>4.8448761772627346E-3</v>
      </c>
      <c r="M32" s="59"/>
      <c r="N32" s="108">
        <v>3.3405192773710698E-3</v>
      </c>
      <c r="O32" s="109">
        <f>_xll.qlSimpleQuoteSetValue(D32,ROUND($N32,6),EvaluationDate)</f>
        <v>0</v>
      </c>
      <c r="P32" s="62"/>
    </row>
    <row r="33" spans="1:16" x14ac:dyDescent="0.2">
      <c r="A33" s="150"/>
      <c r="B33" s="138" t="s">
        <v>72</v>
      </c>
      <c r="C33" s="55" t="str">
        <f t="shared" si="4"/>
        <v>EUR5MD_SYNTH1Y_Quote</v>
      </c>
      <c r="D33" s="139" t="str">
        <f>_xll.qlSimpleQuote(C33,,RateTickValue,Permanent,EvaluationDate,ObjectOverwrite)</f>
        <v>EUR5MD_SYNTH1Y_Quote#0001</v>
      </c>
      <c r="E33" s="399" t="str">
        <f>_xll.ohRangeRetrieveError(D33)</f>
        <v/>
      </c>
      <c r="F33" s="66"/>
      <c r="H33" s="60"/>
      <c r="I33" s="125" t="s">
        <v>72</v>
      </c>
      <c r="J33" s="100">
        <f>'1YSynthDepo'!D45</f>
        <v>3.3376037165488708E-3</v>
      </c>
      <c r="K33" s="61"/>
      <c r="L33" s="105">
        <v>4.8440652908529717E-3</v>
      </c>
      <c r="M33" s="59"/>
      <c r="N33" s="108">
        <v>3.3376037165488708E-3</v>
      </c>
      <c r="O33" s="109">
        <f>_xll.qlSimpleQuoteSetValue(D33,ROUND($N33,6),EvaluationDate)</f>
        <v>0</v>
      </c>
      <c r="P33" s="62"/>
    </row>
    <row r="34" spans="1:16" x14ac:dyDescent="0.2">
      <c r="A34" s="150"/>
      <c r="B34" s="138" t="s">
        <v>73</v>
      </c>
      <c r="C34" s="55" t="str">
        <f t="shared" si="4"/>
        <v>EUR6MD_SYNTH1Y_Quote</v>
      </c>
      <c r="D34" s="139" t="str">
        <f>_xll.qlSimpleQuote(C34,,RateTickValue,Permanent,EvaluationDate,ObjectOverwrite)</f>
        <v>EUR6MD_SYNTH1Y_Quote#0001</v>
      </c>
      <c r="E34" s="399" t="str">
        <f>_xll.ohRangeRetrieveError(D34)</f>
        <v/>
      </c>
      <c r="F34" s="66"/>
      <c r="H34" s="60"/>
      <c r="I34" s="125" t="s">
        <v>73</v>
      </c>
      <c r="J34" s="100">
        <f>'1YSynthDepo'!D46</f>
        <v>3.3040762781237939E-3</v>
      </c>
      <c r="K34" s="61"/>
      <c r="L34" s="105">
        <v>4.8632546250425525E-3</v>
      </c>
      <c r="M34" s="59"/>
      <c r="N34" s="108">
        <v>3.3040762781237939E-3</v>
      </c>
      <c r="O34" s="109">
        <f>_xll.qlSimpleQuoteSetValue(D34,ROUND($N34,6),EvaluationDate)</f>
        <v>0</v>
      </c>
      <c r="P34" s="62"/>
    </row>
    <row r="35" spans="1:16" x14ac:dyDescent="0.2">
      <c r="A35" s="150"/>
      <c r="B35" s="138" t="s">
        <v>74</v>
      </c>
      <c r="C35" s="55" t="str">
        <f t="shared" si="4"/>
        <v>EUR7MD_SYNTH1Y_Quote</v>
      </c>
      <c r="D35" s="139" t="str">
        <f>_xll.qlSimpleQuote(C35,,RateTickValue,Permanent,EvaluationDate,ObjectOverwrite)</f>
        <v>EUR7MD_SYNTH1Y_Quote#0001</v>
      </c>
      <c r="E35" s="399" t="str">
        <f>_xll.ohRangeRetrieveError(D35)</f>
        <v/>
      </c>
      <c r="F35" s="66"/>
      <c r="H35" s="60"/>
      <c r="I35" s="125" t="s">
        <v>74</v>
      </c>
      <c r="J35" s="100">
        <f>'1YSynthDepo'!D47</f>
        <v>3.2734674536501517E-3</v>
      </c>
      <c r="K35" s="61"/>
      <c r="L35" s="105">
        <v>4.8790025836616558E-3</v>
      </c>
      <c r="M35" s="59"/>
      <c r="N35" s="108">
        <v>3.2734674536501517E-3</v>
      </c>
      <c r="O35" s="109">
        <f>_xll.qlSimpleQuoteSetValue(D35,ROUND($N35,6),EvaluationDate)</f>
        <v>0</v>
      </c>
      <c r="P35" s="62"/>
    </row>
    <row r="36" spans="1:16" x14ac:dyDescent="0.2">
      <c r="A36" s="150"/>
      <c r="B36" s="138" t="s">
        <v>75</v>
      </c>
      <c r="C36" s="55" t="str">
        <f t="shared" si="4"/>
        <v>EUR8MD_SYNTH1Y_Quote</v>
      </c>
      <c r="D36" s="139" t="str">
        <f>_xll.qlSimpleQuote(C36,,RateTickValue,Permanent,EvaluationDate,ObjectOverwrite)</f>
        <v>EUR8MD_SYNTH1Y_Quote#0001</v>
      </c>
      <c r="E36" s="399" t="str">
        <f>_xll.ohRangeRetrieveError(D36)</f>
        <v/>
      </c>
      <c r="F36" s="66"/>
      <c r="H36" s="60"/>
      <c r="I36" s="125" t="s">
        <v>75</v>
      </c>
      <c r="J36" s="100">
        <f>'1YSynthDepo'!D48</f>
        <v>3.2517950637574369E-3</v>
      </c>
      <c r="K36" s="61"/>
      <c r="L36" s="105">
        <v>4.8629140975407414E-3</v>
      </c>
      <c r="M36" s="59"/>
      <c r="N36" s="108">
        <v>3.2517950637574369E-3</v>
      </c>
      <c r="O36" s="109">
        <f>_xll.qlSimpleQuoteSetValue(D36,ROUND($N36,6),EvaluationDate)</f>
        <v>0</v>
      </c>
      <c r="P36" s="62"/>
    </row>
    <row r="37" spans="1:16" x14ac:dyDescent="0.2">
      <c r="A37" s="152"/>
      <c r="B37" s="138" t="s">
        <v>76</v>
      </c>
      <c r="C37" s="55" t="str">
        <f t="shared" si="4"/>
        <v>EUR9MD_SYNTH1Y_Quote</v>
      </c>
      <c r="D37" s="139" t="str">
        <f>_xll.qlSimpleQuote(C37,,RateTickValue,Permanent,EvaluationDate,ObjectOverwrite)</f>
        <v>EUR9MD_SYNTH1Y_Quote#0001</v>
      </c>
      <c r="E37" s="399" t="str">
        <f>_xll.ohRangeRetrieveError(D37)</f>
        <v/>
      </c>
      <c r="F37" s="66"/>
      <c r="H37" s="60"/>
      <c r="I37" s="125" t="s">
        <v>76</v>
      </c>
      <c r="J37" s="100">
        <f>'1YSynthDepo'!D49</f>
        <v>3.2360895380520367E-3</v>
      </c>
      <c r="K37" s="61"/>
      <c r="L37" s="105">
        <v>4.8403784016282569E-3</v>
      </c>
      <c r="M37" s="59"/>
      <c r="N37" s="108">
        <v>3.2360895380520367E-3</v>
      </c>
      <c r="O37" s="109">
        <f>_xll.qlSimpleQuoteSetValue(D37,ROUND($N37,6),EvaluationDate)</f>
        <v>0</v>
      </c>
      <c r="P37" s="62"/>
    </row>
    <row r="38" spans="1:16" x14ac:dyDescent="0.2">
      <c r="A38" s="153"/>
      <c r="B38" s="138" t="s">
        <v>77</v>
      </c>
      <c r="C38" s="55" t="str">
        <f t="shared" si="4"/>
        <v>EUR10MD_SYNTH1Y_Quote</v>
      </c>
      <c r="D38" s="139" t="str">
        <f>_xll.qlSimpleQuote(C38,,RateTickValue,Permanent,EvaluationDate,ObjectOverwrite)</f>
        <v>EUR10MD_SYNTH1Y_Quote#0001</v>
      </c>
      <c r="E38" s="399" t="str">
        <f>_xll.ohRangeRetrieveError(D38)</f>
        <v/>
      </c>
      <c r="F38" s="66"/>
      <c r="H38" s="60"/>
      <c r="I38" s="125" t="s">
        <v>77</v>
      </c>
      <c r="J38" s="100">
        <f>'1YSynthDepo'!D50</f>
        <v>3.2213688012407799E-3</v>
      </c>
      <c r="K38" s="61"/>
      <c r="L38" s="105">
        <v>4.8168493542828112E-3</v>
      </c>
      <c r="M38" s="59"/>
      <c r="N38" s="108">
        <v>3.2213688012407799E-3</v>
      </c>
      <c r="O38" s="109">
        <f>_xll.qlSimpleQuoteSetValue(D38,ROUND($N38,6),EvaluationDate)</f>
        <v>0</v>
      </c>
      <c r="P38" s="62"/>
    </row>
    <row r="39" spans="1:16" x14ac:dyDescent="0.2">
      <c r="A39" s="150"/>
      <c r="B39" s="138" t="s">
        <v>78</v>
      </c>
      <c r="C39" s="55" t="str">
        <f t="shared" si="4"/>
        <v>EUR11MD_SYNTH1Y_Quote</v>
      </c>
      <c r="D39" s="139" t="str">
        <f>_xll.qlSimpleQuote(C39,,RateTickValue,Permanent,EvaluationDate,ObjectOverwrite)</f>
        <v>EUR11MD_SYNTH1Y_Quote#0001</v>
      </c>
      <c r="E39" s="399" t="str">
        <f>_xll.ohRangeRetrieveError(D39)</f>
        <v/>
      </c>
      <c r="F39" s="66"/>
      <c r="H39" s="60"/>
      <c r="I39" s="125" t="s">
        <v>78</v>
      </c>
      <c r="J39" s="100">
        <f>'1YSynthDepo'!D51</f>
        <v>3.2098461906416172E-3</v>
      </c>
      <c r="K39" s="61"/>
      <c r="L39" s="105">
        <v>4.803111566528958E-3</v>
      </c>
      <c r="M39" s="59"/>
      <c r="N39" s="108">
        <v>3.2098461906416172E-3</v>
      </c>
      <c r="O39" s="109">
        <f>_xll.qlSimpleQuoteSetValue(D39,ROUND($N39,6),EvaluationDate)</f>
        <v>0</v>
      </c>
      <c r="P39" s="62"/>
    </row>
    <row r="40" spans="1:16" ht="12" thickBot="1" x14ac:dyDescent="0.25">
      <c r="A40" s="154"/>
      <c r="B40" s="143" t="s">
        <v>79</v>
      </c>
      <c r="C40" s="98" t="str">
        <f t="shared" si="4"/>
        <v>EUR1YD_SYNTH1Y_Quote</v>
      </c>
      <c r="D40" s="148" t="str">
        <f>_xll.qlSimpleQuote(C40,,RateTickValue,Permanent,EvaluationDate,ObjectOverwrite)</f>
        <v>EUR1YD_SYNTH1Y_Quote#0001</v>
      </c>
      <c r="E40" s="400" t="str">
        <f>_xll.ohRangeRetrieveError(D40)</f>
        <v/>
      </c>
      <c r="F40" s="66"/>
      <c r="H40" s="60"/>
      <c r="I40" s="155" t="s">
        <v>79</v>
      </c>
      <c r="J40" s="104">
        <f>'1YSynthDepo'!D52</f>
        <v>3.2054144529906491E-3</v>
      </c>
      <c r="K40" s="61"/>
      <c r="L40" s="107">
        <v>4.79E-3</v>
      </c>
      <c r="M40" s="59"/>
      <c r="N40" s="112">
        <v>3.2054144529906491E-3</v>
      </c>
      <c r="O40" s="113">
        <f>_xll.qlSimpleQuoteSetValue(D40,ROUND($N40,6),EvaluationDate)</f>
        <v>0</v>
      </c>
      <c r="P40" s="160"/>
    </row>
    <row r="41" spans="1:16" x14ac:dyDescent="0.2">
      <c r="A41" s="395">
        <v>1</v>
      </c>
      <c r="B41" s="138" t="str">
        <f t="shared" ref="B41:B84" si="5">A41&amp;"x"&amp;A41+Months12M&amp;"F"</f>
        <v>1x13F</v>
      </c>
      <c r="C41" s="55" t="str">
        <f t="shared" ref="C41:C84" si="6">Currency&amp;$B41&amp;"_SYNTH"&amp;"1Y"&amp;"_Quote"</f>
        <v>EUR1x13F_SYNTH1Y_Quote</v>
      </c>
      <c r="D41" s="139" t="str">
        <f>_xll.qlSimpleQuote(C41,,RateTickValue,Permanent,Trigger,ObjectOverwrite)</f>
        <v>EUR1x13F_SYNTH1Y_Quote#0001</v>
      </c>
      <c r="E41" s="399" t="str">
        <f>_xll.ohRangeRetrieveError(D41)</f>
        <v/>
      </c>
      <c r="F41" s="66"/>
      <c r="H41" s="58">
        <v>1</v>
      </c>
      <c r="I41" s="127" t="str">
        <f t="shared" ref="I41:I84" si="7">H41&amp;"x"&amp;(H41+Months12M)&amp;"F"</f>
        <v>1x13F</v>
      </c>
      <c r="J41" s="128">
        <f>SynthFra!H3</f>
        <v>3.1870122346774584E-3</v>
      </c>
      <c r="K41" s="71"/>
      <c r="L41" s="131">
        <v>4.7700661411049939E-3</v>
      </c>
      <c r="M41" s="72"/>
      <c r="N41" s="133">
        <v>3.1870122346774584E-3</v>
      </c>
      <c r="O41" s="134">
        <f>_xll.qlSimpleQuoteSetValue(D41,ROUND(N41,6),EvaluationDate)</f>
        <v>0</v>
      </c>
      <c r="P41" s="160">
        <f>_xll.ohTrigger(O41:O84)</f>
        <v>7</v>
      </c>
    </row>
    <row r="42" spans="1:16" x14ac:dyDescent="0.2">
      <c r="A42" s="395">
        <v>2</v>
      </c>
      <c r="B42" s="138" t="str">
        <f t="shared" si="5"/>
        <v>2x14F</v>
      </c>
      <c r="C42" s="55" t="str">
        <f t="shared" si="6"/>
        <v>EUR2x14F_SYNTH1Y_Quote</v>
      </c>
      <c r="D42" s="139" t="str">
        <f>_xll.qlSimpleQuote(C42,,RateTickValue,Permanent,Trigger,ObjectOverwrite)</f>
        <v>EUR2x14F_SYNTH1Y_Quote#0001</v>
      </c>
      <c r="E42" s="399" t="str">
        <f>_xll.ohRangeRetrieveError(D42)</f>
        <v/>
      </c>
      <c r="F42" s="66"/>
      <c r="H42" s="58">
        <v>2</v>
      </c>
      <c r="I42" s="127" t="str">
        <f t="shared" si="7"/>
        <v>2x14F</v>
      </c>
      <c r="J42" s="128">
        <f>SynthFra!H4</f>
        <v>3.2169522627615342E-3</v>
      </c>
      <c r="K42" s="72"/>
      <c r="L42" s="131">
        <v>4.7515568028134595E-3</v>
      </c>
      <c r="M42" s="72"/>
      <c r="N42" s="133">
        <v>3.2169522627615342E-3</v>
      </c>
      <c r="O42" s="134">
        <f>_xll.qlSimpleQuoteSetValue(D42,ROUND(N42,6),EvaluationDate)</f>
        <v>0</v>
      </c>
      <c r="P42" s="62"/>
    </row>
    <row r="43" spans="1:16" x14ac:dyDescent="0.2">
      <c r="A43" s="395">
        <v>3</v>
      </c>
      <c r="B43" s="138" t="str">
        <f t="shared" si="5"/>
        <v>3x15F</v>
      </c>
      <c r="C43" s="55" t="str">
        <f t="shared" si="6"/>
        <v>EUR3x15F_SYNTH1Y_Quote</v>
      </c>
      <c r="D43" s="139" t="str">
        <f>_xll.qlSimpleQuote(C43,,RateTickValue,Permanent,Trigger,ObjectOverwrite)</f>
        <v>EUR3x15F_SYNTH1Y_Quote#0001</v>
      </c>
      <c r="E43" s="399" t="str">
        <f>_xll.ohRangeRetrieveError(D43)</f>
        <v/>
      </c>
      <c r="F43" s="66"/>
      <c r="H43" s="58">
        <v>3</v>
      </c>
      <c r="I43" s="127" t="str">
        <f t="shared" si="7"/>
        <v>3x15F</v>
      </c>
      <c r="J43" s="128">
        <f>SynthFra!H5</f>
        <v>3.2184490084508845E-3</v>
      </c>
      <c r="K43" s="72"/>
      <c r="L43" s="131">
        <v>4.7396889879977432E-3</v>
      </c>
      <c r="M43" s="72"/>
      <c r="N43" s="133">
        <v>3.2184490084508845E-3</v>
      </c>
      <c r="O43" s="134">
        <f>_xll.qlSimpleQuoteSetValue(D43,ROUND(N43,6),EvaluationDate)</f>
        <v>0</v>
      </c>
      <c r="P43" s="62"/>
    </row>
    <row r="44" spans="1:16" x14ac:dyDescent="0.2">
      <c r="A44" s="395">
        <v>4</v>
      </c>
      <c r="B44" s="138" t="str">
        <f t="shared" si="5"/>
        <v>4x16F</v>
      </c>
      <c r="C44" s="55" t="str">
        <f t="shared" si="6"/>
        <v>EUR4x16F_SYNTH1Y_Quote</v>
      </c>
      <c r="D44" s="139" t="str">
        <f>_xll.qlSimpleQuote(C44,,RateTickValue,Permanent,Trigger,ObjectOverwrite)</f>
        <v>EUR4x16F_SYNTH1Y_Quote#0001</v>
      </c>
      <c r="E44" s="399" t="str">
        <f>_xll.ohRangeRetrieveError(D44)</f>
        <v/>
      </c>
      <c r="F44" s="66"/>
      <c r="H44" s="58">
        <v>4</v>
      </c>
      <c r="I44" s="127" t="str">
        <f t="shared" si="7"/>
        <v>4x16F</v>
      </c>
      <c r="J44" s="128">
        <f>SynthFra!H6</f>
        <v>3.2173603896234145E-3</v>
      </c>
      <c r="K44" s="72"/>
      <c r="L44" s="131">
        <v>4.7382947299897012E-3</v>
      </c>
      <c r="M44" s="72"/>
      <c r="N44" s="133">
        <v>3.2173603896234145E-3</v>
      </c>
      <c r="O44" s="134">
        <f>_xll.qlSimpleQuoteSetValue(D44,ROUND(N44,6),EvaluationDate)</f>
        <v>0</v>
      </c>
      <c r="P44" s="62"/>
    </row>
    <row r="45" spans="1:16" x14ac:dyDescent="0.2">
      <c r="A45" s="395">
        <v>5</v>
      </c>
      <c r="B45" s="138" t="str">
        <f t="shared" si="5"/>
        <v>5x17F</v>
      </c>
      <c r="C45" s="55" t="str">
        <f t="shared" si="6"/>
        <v>EUR5x17F_SYNTH1Y_Quote</v>
      </c>
      <c r="D45" s="139" t="str">
        <f>_xll.qlSimpleQuote(C45,,RateTickValue,Permanent,Trigger,ObjectOverwrite)</f>
        <v>EUR5x17F_SYNTH1Y_Quote#0001</v>
      </c>
      <c r="E45" s="399" t="str">
        <f>_xll.ohRangeRetrieveError(D45)</f>
        <v/>
      </c>
      <c r="F45" s="66"/>
      <c r="H45" s="58">
        <v>5</v>
      </c>
      <c r="I45" s="127" t="str">
        <f t="shared" si="7"/>
        <v>5x17F</v>
      </c>
      <c r="J45" s="128">
        <f>SynthFra!H7</f>
        <v>3.2315891893831164E-3</v>
      </c>
      <c r="K45" s="72"/>
      <c r="L45" s="131">
        <v>4.7409566804829774E-3</v>
      </c>
      <c r="M45" s="72"/>
      <c r="N45" s="133">
        <v>3.2315891893831164E-3</v>
      </c>
      <c r="O45" s="134">
        <f>_xll.qlSimpleQuoteSetValue(D45,ROUND(N45,6),EvaluationDate)</f>
        <v>0</v>
      </c>
      <c r="P45" s="62"/>
    </row>
    <row r="46" spans="1:16" x14ac:dyDescent="0.2">
      <c r="A46" s="395">
        <v>6</v>
      </c>
      <c r="B46" s="138" t="str">
        <f t="shared" si="5"/>
        <v>6x18F</v>
      </c>
      <c r="C46" s="55" t="str">
        <f t="shared" si="6"/>
        <v>EUR6x18F_SYNTH1Y_Quote</v>
      </c>
      <c r="D46" s="139" t="str">
        <f>_xll.qlSimpleQuote(C46,,RateTickValue,Permanent,Trigger,ObjectOverwrite)</f>
        <v>EUR6x18F_SYNTH1Y_Quote#0001</v>
      </c>
      <c r="E46" s="399" t="str">
        <f>_xll.ohRangeRetrieveError(D46)</f>
        <v/>
      </c>
      <c r="F46" s="66"/>
      <c r="H46" s="58">
        <v>6</v>
      </c>
      <c r="I46" s="127" t="str">
        <f t="shared" si="7"/>
        <v>6x18F</v>
      </c>
      <c r="J46" s="128">
        <f>SynthFra!H8</f>
        <v>3.2670811307397808E-3</v>
      </c>
      <c r="K46" s="72"/>
      <c r="L46" s="131">
        <v>4.7354559024513111E-3</v>
      </c>
      <c r="M46" s="72"/>
      <c r="N46" s="133">
        <v>3.2670811307397808E-3</v>
      </c>
      <c r="O46" s="134">
        <f>_xll.qlSimpleQuoteSetValue(D46,ROUND(N46,6),EvaluationDate)</f>
        <v>0</v>
      </c>
      <c r="P46" s="62"/>
    </row>
    <row r="47" spans="1:16" x14ac:dyDescent="0.2">
      <c r="A47" s="395">
        <v>7</v>
      </c>
      <c r="B47" s="138" t="str">
        <f t="shared" si="5"/>
        <v>7x19F</v>
      </c>
      <c r="C47" s="55" t="str">
        <f t="shared" si="6"/>
        <v>EUR7x19F_SYNTH1Y_Quote</v>
      </c>
      <c r="D47" s="139" t="str">
        <f>_xll.qlSimpleQuote(C47,,RateTickValue,Permanent,Trigger,ObjectOverwrite)</f>
        <v>EUR7x19F_SYNTH1Y_Quote#0001</v>
      </c>
      <c r="E47" s="399" t="str">
        <f>_xll.ohRangeRetrieveError(D47)</f>
        <v/>
      </c>
      <c r="F47" s="66"/>
      <c r="H47" s="58">
        <v>7</v>
      </c>
      <c r="I47" s="127" t="str">
        <f t="shared" si="7"/>
        <v>7x19F</v>
      </c>
      <c r="J47" s="128">
        <f>SynthFra!H9</f>
        <v>3.3176751205416513E-3</v>
      </c>
      <c r="K47" s="72"/>
      <c r="L47" s="131">
        <v>4.7459620043513442E-3</v>
      </c>
      <c r="M47" s="72"/>
      <c r="N47" s="133">
        <v>3.3176751205416513E-3</v>
      </c>
      <c r="O47" s="134">
        <f>_xll.qlSimpleQuoteSetValue(D47,ROUND(N47,6),EvaluationDate)</f>
        <v>0</v>
      </c>
      <c r="P47" s="62"/>
    </row>
    <row r="48" spans="1:16" x14ac:dyDescent="0.2">
      <c r="A48" s="395">
        <v>8</v>
      </c>
      <c r="B48" s="138" t="str">
        <f t="shared" si="5"/>
        <v>8x20F</v>
      </c>
      <c r="C48" s="55" t="str">
        <f t="shared" si="6"/>
        <v>EUR8x20F_SYNTH1Y_Quote</v>
      </c>
      <c r="D48" s="139" t="str">
        <f>_xll.qlSimpleQuote(C48,,RateTickValue,Permanent,Trigger,ObjectOverwrite)</f>
        <v>EUR8x20F_SYNTH1Y_Quote#0001</v>
      </c>
      <c r="E48" s="399" t="str">
        <f>_xll.ohRangeRetrieveError(D48)</f>
        <v/>
      </c>
      <c r="F48" s="66"/>
      <c r="H48" s="58">
        <v>8</v>
      </c>
      <c r="I48" s="127" t="str">
        <f t="shared" si="7"/>
        <v>8x20F</v>
      </c>
      <c r="J48" s="128">
        <f>SynthFra!H10</f>
        <v>3.3754125369826007E-3</v>
      </c>
      <c r="K48" s="72"/>
      <c r="L48" s="131">
        <v>4.7765964932973146E-3</v>
      </c>
      <c r="M48" s="72"/>
      <c r="N48" s="133">
        <v>3.3754125369826007E-3</v>
      </c>
      <c r="O48" s="134">
        <f>_xll.qlSimpleQuoteSetValue(D48,ROUND(N48,6),EvaluationDate)</f>
        <v>0</v>
      </c>
      <c r="P48" s="62"/>
    </row>
    <row r="49" spans="1:16" x14ac:dyDescent="0.2">
      <c r="A49" s="395">
        <v>9</v>
      </c>
      <c r="B49" s="138" t="str">
        <f t="shared" si="5"/>
        <v>9x21F</v>
      </c>
      <c r="C49" s="55" t="str">
        <f t="shared" si="6"/>
        <v>EUR9x21F_SYNTH1Y_Quote</v>
      </c>
      <c r="D49" s="139" t="str">
        <f>_xll.qlSimpleQuote(C49,,RateTickValue,Permanent,Trigger,ObjectOverwrite)</f>
        <v>EUR9x21F_SYNTH1Y_Quote#0001</v>
      </c>
      <c r="E49" s="399" t="str">
        <f>_xll.ohRangeRetrieveError(D49)</f>
        <v/>
      </c>
      <c r="F49" s="66"/>
      <c r="H49" s="58">
        <v>9</v>
      </c>
      <c r="I49" s="127" t="str">
        <f t="shared" si="7"/>
        <v>9x21F</v>
      </c>
      <c r="J49" s="128">
        <f>SynthFra!H11</f>
        <v>3.4370251197904417E-3</v>
      </c>
      <c r="K49" s="72"/>
      <c r="L49" s="131">
        <v>4.8164173191503441E-3</v>
      </c>
      <c r="M49" s="72"/>
      <c r="N49" s="133">
        <v>3.4370251197904417E-3</v>
      </c>
      <c r="O49" s="134">
        <f>_xll.qlSimpleQuoteSetValue(D49,ROUND(N49,6),EvaluationDate)</f>
        <v>0</v>
      </c>
      <c r="P49" s="62"/>
    </row>
    <row r="50" spans="1:16" x14ac:dyDescent="0.2">
      <c r="A50" s="395">
        <v>10</v>
      </c>
      <c r="B50" s="138" t="str">
        <f t="shared" si="5"/>
        <v>10x22F</v>
      </c>
      <c r="C50" s="55" t="str">
        <f t="shared" si="6"/>
        <v>EUR10x22F_SYNTH1Y_Quote</v>
      </c>
      <c r="D50" s="139" t="str">
        <f>_xll.qlSimpleQuote(C50,,RateTickValue,Permanent,Trigger,ObjectOverwrite)</f>
        <v>EUR10x22F_SYNTH1Y_Quote#0001</v>
      </c>
      <c r="E50" s="399" t="str">
        <f>_xll.ohRangeRetrieveError(D50)</f>
        <v/>
      </c>
      <c r="F50" s="66"/>
      <c r="H50" s="58">
        <v>10</v>
      </c>
      <c r="I50" s="127" t="str">
        <f t="shared" si="7"/>
        <v>10x22F</v>
      </c>
      <c r="J50" s="128">
        <f>SynthFra!H12</f>
        <v>3.5132441175365452E-3</v>
      </c>
      <c r="K50" s="72"/>
      <c r="L50" s="131">
        <v>4.8794754983958995E-3</v>
      </c>
      <c r="M50" s="72"/>
      <c r="N50" s="133">
        <v>3.5132441175365452E-3</v>
      </c>
      <c r="O50" s="134">
        <f>_xll.qlSimpleQuoteSetValue(D50,ROUND(N50,6),EvaluationDate)</f>
        <v>0</v>
      </c>
      <c r="P50" s="62"/>
    </row>
    <row r="51" spans="1:16" x14ac:dyDescent="0.2">
      <c r="A51" s="395">
        <v>11</v>
      </c>
      <c r="B51" s="138" t="str">
        <f t="shared" si="5"/>
        <v>11x23F</v>
      </c>
      <c r="C51" s="55" t="str">
        <f t="shared" si="6"/>
        <v>EUR11x23F_SYNTH1Y_Quote</v>
      </c>
      <c r="D51" s="139" t="str">
        <f>_xll.qlSimpleQuote(C51,,RateTickValue,Permanent,Trigger,ObjectOverwrite)</f>
        <v>EUR11x23F_SYNTH1Y_Quote#0001</v>
      </c>
      <c r="E51" s="399" t="str">
        <f>_xll.ohRangeRetrieveError(D51)</f>
        <v/>
      </c>
      <c r="F51" s="66"/>
      <c r="H51" s="58">
        <v>11</v>
      </c>
      <c r="I51" s="127" t="str">
        <f t="shared" si="7"/>
        <v>11x23F</v>
      </c>
      <c r="J51" s="128">
        <f>SynthFra!H13</f>
        <v>3.5960825164815845E-3</v>
      </c>
      <c r="K51" s="72"/>
      <c r="L51" s="131">
        <v>4.9383818223575852E-3</v>
      </c>
      <c r="M51" s="72"/>
      <c r="N51" s="133">
        <v>3.5960825164815845E-3</v>
      </c>
      <c r="O51" s="134">
        <f>_xll.qlSimpleQuoteSetValue(D51,ROUND(N51,6),EvaluationDate)</f>
        <v>0</v>
      </c>
      <c r="P51" s="62"/>
    </row>
    <row r="52" spans="1:16" x14ac:dyDescent="0.2">
      <c r="A52" s="395">
        <v>13</v>
      </c>
      <c r="B52" s="138" t="str">
        <f t="shared" si="5"/>
        <v>13x25F</v>
      </c>
      <c r="C52" s="55" t="str">
        <f t="shared" si="6"/>
        <v>EUR13x25F_SYNTH1Y_Quote</v>
      </c>
      <c r="D52" s="139" t="str">
        <f>_xll.qlSimpleQuote(C52,,RateTickValue,Permanent,Trigger,ObjectOverwrite)</f>
        <v>EUR13x25F_SYNTH1Y_Quote#0001</v>
      </c>
      <c r="E52" s="399" t="str">
        <f>_xll.ohRangeRetrieveError(D52)</f>
        <v/>
      </c>
      <c r="F52" s="66"/>
      <c r="H52" s="58">
        <v>13</v>
      </c>
      <c r="I52" s="127" t="str">
        <f t="shared" si="7"/>
        <v>13x25F</v>
      </c>
      <c r="J52" s="128">
        <f>SynthFra!H15</f>
        <v>3.7695505747524973E-3</v>
      </c>
      <c r="K52" s="72"/>
      <c r="L52" s="131">
        <v>5.1446630132367475E-3</v>
      </c>
      <c r="M52" s="72"/>
      <c r="N52" s="133">
        <v>3.7695505747524973E-3</v>
      </c>
      <c r="O52" s="134">
        <f>_xll.qlSimpleQuoteSetValue(D52,ROUND(N52,6),EvaluationDate)</f>
        <v>0</v>
      </c>
      <c r="P52" s="62"/>
    </row>
    <row r="53" spans="1:16" x14ac:dyDescent="0.2">
      <c r="A53" s="395">
        <v>14</v>
      </c>
      <c r="B53" s="138" t="str">
        <f t="shared" si="5"/>
        <v>14x26F</v>
      </c>
      <c r="C53" s="55" t="str">
        <f t="shared" si="6"/>
        <v>EUR14x26F_SYNTH1Y_Quote</v>
      </c>
      <c r="D53" s="139" t="str">
        <f>_xll.qlSimpleQuote(C53,,RateTickValue,Permanent,Trigger,ObjectOverwrite)</f>
        <v>EUR14x26F_SYNTH1Y_Quote#0001</v>
      </c>
      <c r="E53" s="399" t="str">
        <f>_xll.ohRangeRetrieveError(D53)</f>
        <v/>
      </c>
      <c r="F53" s="66"/>
      <c r="H53" s="58">
        <v>14</v>
      </c>
      <c r="I53" s="127" t="str">
        <f t="shared" si="7"/>
        <v>14x26F</v>
      </c>
      <c r="J53" s="128">
        <f>SynthFra!H16</f>
        <v>3.8327763558703666E-3</v>
      </c>
      <c r="K53" s="72"/>
      <c r="L53" s="131">
        <v>5.2894906890553163E-3</v>
      </c>
      <c r="M53" s="72"/>
      <c r="N53" s="133">
        <v>3.8327763558703666E-3</v>
      </c>
      <c r="O53" s="134">
        <f>_xll.qlSimpleQuoteSetValue(D53,ROUND(N53,6),EvaluationDate)</f>
        <v>0</v>
      </c>
      <c r="P53" s="62"/>
    </row>
    <row r="54" spans="1:16" x14ac:dyDescent="0.2">
      <c r="A54" s="395">
        <v>15</v>
      </c>
      <c r="B54" s="138" t="str">
        <f t="shared" si="5"/>
        <v>15x27F</v>
      </c>
      <c r="C54" s="55" t="str">
        <f t="shared" si="6"/>
        <v>EUR15x27F_SYNTH1Y_Quote</v>
      </c>
      <c r="D54" s="139" t="str">
        <f>_xll.qlSimpleQuote(C54,,RateTickValue,Permanent,Trigger,ObjectOverwrite)</f>
        <v>EUR15x27F_SYNTH1Y_Quote#0001</v>
      </c>
      <c r="E54" s="399" t="str">
        <f>_xll.ohRangeRetrieveError(D54)</f>
        <v/>
      </c>
      <c r="F54" s="66"/>
      <c r="H54" s="58">
        <v>15</v>
      </c>
      <c r="I54" s="127" t="str">
        <f t="shared" si="7"/>
        <v>15x27F</v>
      </c>
      <c r="J54" s="128">
        <f>SynthFra!H17</f>
        <v>3.9386056516893314E-3</v>
      </c>
      <c r="K54" s="72"/>
      <c r="L54" s="131">
        <v>5.433394050819578E-3</v>
      </c>
      <c r="M54" s="72"/>
      <c r="N54" s="133">
        <v>3.9386056516893314E-3</v>
      </c>
      <c r="O54" s="134">
        <f>_xll.qlSimpleQuoteSetValue(D54,ROUND(N54,6),EvaluationDate)</f>
        <v>0</v>
      </c>
      <c r="P54" s="62"/>
    </row>
    <row r="55" spans="1:16" x14ac:dyDescent="0.2">
      <c r="A55" s="395">
        <v>16</v>
      </c>
      <c r="B55" s="138" t="str">
        <f t="shared" si="5"/>
        <v>16x28F</v>
      </c>
      <c r="C55" s="55" t="str">
        <f t="shared" si="6"/>
        <v>EUR16x28F_SYNTH1Y_Quote</v>
      </c>
      <c r="D55" s="139" t="str">
        <f>_xll.qlSimpleQuote(C55,,RateTickValue,Permanent,Trigger,ObjectOverwrite)</f>
        <v>EUR16x28F_SYNTH1Y_Quote#0001</v>
      </c>
      <c r="E55" s="399" t="str">
        <f>_xll.ohRangeRetrieveError(D55)</f>
        <v/>
      </c>
      <c r="F55" s="66"/>
      <c r="H55" s="58">
        <v>16</v>
      </c>
      <c r="I55" s="127" t="str">
        <f t="shared" si="7"/>
        <v>16x28F</v>
      </c>
      <c r="J55" s="128">
        <f>SynthFra!H18</f>
        <v>4.0360326037449318E-3</v>
      </c>
      <c r="K55" s="72"/>
      <c r="L55" s="131">
        <v>5.5531179599257238E-3</v>
      </c>
      <c r="M55" s="72"/>
      <c r="N55" s="133">
        <v>4.0360326037449318E-3</v>
      </c>
      <c r="O55" s="134">
        <f>_xll.qlSimpleQuoteSetValue(D55,ROUND(N55,6),EvaluationDate)</f>
        <v>0</v>
      </c>
      <c r="P55" s="62"/>
    </row>
    <row r="56" spans="1:16" x14ac:dyDescent="0.2">
      <c r="A56" s="395">
        <v>17</v>
      </c>
      <c r="B56" s="138" t="str">
        <f t="shared" si="5"/>
        <v>17x29F</v>
      </c>
      <c r="C56" s="55" t="str">
        <f t="shared" si="6"/>
        <v>EUR17x29F_SYNTH1Y_Quote</v>
      </c>
      <c r="D56" s="139" t="str">
        <f>_xll.qlSimpleQuote(C56,,RateTickValue,Permanent,Trigger,ObjectOverwrite)</f>
        <v>EUR17x29F_SYNTH1Y_Quote#0001</v>
      </c>
      <c r="E56" s="399" t="str">
        <f>_xll.ohRangeRetrieveError(D56)</f>
        <v/>
      </c>
      <c r="F56" s="66"/>
      <c r="H56" s="58">
        <v>17</v>
      </c>
      <c r="I56" s="127" t="str">
        <f t="shared" si="7"/>
        <v>17x29F</v>
      </c>
      <c r="J56" s="128">
        <f>SynthFra!H19</f>
        <v>4.1406135541028465E-3</v>
      </c>
      <c r="K56" s="72"/>
      <c r="L56" s="131">
        <v>5.6834582938863603E-3</v>
      </c>
      <c r="M56" s="72"/>
      <c r="N56" s="133">
        <v>4.1406135541028465E-3</v>
      </c>
      <c r="O56" s="134">
        <f>_xll.qlSimpleQuoteSetValue(D56,ROUND(N56,6),EvaluationDate)</f>
        <v>0</v>
      </c>
      <c r="P56" s="62"/>
    </row>
    <row r="57" spans="1:16" x14ac:dyDescent="0.2">
      <c r="A57" s="395">
        <v>18</v>
      </c>
      <c r="B57" s="138" t="str">
        <f t="shared" si="5"/>
        <v>18x30F</v>
      </c>
      <c r="C57" s="55" t="str">
        <f t="shared" si="6"/>
        <v>EUR18x30F_SYNTH1Y_Quote</v>
      </c>
      <c r="D57" s="139" t="str">
        <f>_xll.qlSimpleQuote(C57,,RateTickValue,Permanent,Trigger,ObjectOverwrite)</f>
        <v>EUR18x30F_SYNTH1Y_Quote#0001</v>
      </c>
      <c r="E57" s="399" t="str">
        <f>_xll.ohRangeRetrieveError(D57)</f>
        <v/>
      </c>
      <c r="F57" s="66"/>
      <c r="H57" s="58">
        <v>18</v>
      </c>
      <c r="I57" s="127" t="str">
        <f t="shared" si="7"/>
        <v>18x30F</v>
      </c>
      <c r="J57" s="128">
        <f>SynthFra!H20</f>
        <v>4.246527547003099E-3</v>
      </c>
      <c r="K57" s="72"/>
      <c r="L57" s="131">
        <v>5.8112493961860624E-3</v>
      </c>
      <c r="M57" s="72"/>
      <c r="N57" s="133">
        <v>4.246527547003099E-3</v>
      </c>
      <c r="O57" s="134">
        <f>_xll.qlSimpleQuoteSetValue(D57,ROUND(N57,6),EvaluationDate)</f>
        <v>0</v>
      </c>
      <c r="P57" s="62"/>
    </row>
    <row r="58" spans="1:16" x14ac:dyDescent="0.2">
      <c r="A58" s="395">
        <v>19</v>
      </c>
      <c r="B58" s="138" t="str">
        <f t="shared" si="5"/>
        <v>19x31F</v>
      </c>
      <c r="C58" s="55" t="str">
        <f t="shared" si="6"/>
        <v>EUR19x31F_SYNTH1Y_Quote</v>
      </c>
      <c r="D58" s="139" t="str">
        <f>_xll.qlSimpleQuote(C58,,RateTickValue,Permanent,Trigger,ObjectOverwrite)</f>
        <v>EUR19x31F_SYNTH1Y_Quote#0001</v>
      </c>
      <c r="E58" s="399" t="str">
        <f>_xll.ohRangeRetrieveError(D58)</f>
        <v/>
      </c>
      <c r="F58" s="66"/>
      <c r="H58" s="58">
        <v>19</v>
      </c>
      <c r="I58" s="127" t="str">
        <f t="shared" si="7"/>
        <v>19x31F</v>
      </c>
      <c r="J58" s="128">
        <f>SynthFra!H21</f>
        <v>4.3664880615182505E-3</v>
      </c>
      <c r="K58" s="72"/>
      <c r="L58" s="131">
        <v>5.9154011710082204E-3</v>
      </c>
      <c r="M58" s="72"/>
      <c r="N58" s="133">
        <v>4.3664880615182505E-3</v>
      </c>
      <c r="O58" s="134">
        <f>_xll.qlSimpleQuoteSetValue(D58,ROUND(N58,6),EvaluationDate)</f>
        <v>0</v>
      </c>
      <c r="P58" s="62"/>
    </row>
    <row r="59" spans="1:16" x14ac:dyDescent="0.2">
      <c r="A59" s="395">
        <v>20</v>
      </c>
      <c r="B59" s="138" t="str">
        <f t="shared" si="5"/>
        <v>20x32F</v>
      </c>
      <c r="C59" s="55" t="str">
        <f t="shared" si="6"/>
        <v>EUR20x32F_SYNTH1Y_Quote</v>
      </c>
      <c r="D59" s="139" t="str">
        <f>_xll.qlSimpleQuote(C59,,RateTickValue,Permanent,Trigger,ObjectOverwrite)</f>
        <v>EUR20x32F_SYNTH1Y_Quote#0001</v>
      </c>
      <c r="E59" s="399" t="str">
        <f>_xll.ohRangeRetrieveError(D59)</f>
        <v/>
      </c>
      <c r="F59" s="66"/>
      <c r="H59" s="58">
        <v>20</v>
      </c>
      <c r="I59" s="127" t="str">
        <f t="shared" si="7"/>
        <v>20x32F</v>
      </c>
      <c r="J59" s="128">
        <f>SynthFra!H22</f>
        <v>4.4714398583545392E-3</v>
      </c>
      <c r="K59" s="72"/>
      <c r="L59" s="131">
        <v>6.031980065765382E-3</v>
      </c>
      <c r="M59" s="72"/>
      <c r="N59" s="133">
        <v>4.4714398583545392E-3</v>
      </c>
      <c r="O59" s="134">
        <f>_xll.qlSimpleQuoteSetValue(D59,ROUND(N59,6),EvaluationDate)</f>
        <v>0</v>
      </c>
      <c r="P59" s="62"/>
    </row>
    <row r="60" spans="1:16" x14ac:dyDescent="0.2">
      <c r="A60" s="395">
        <v>21</v>
      </c>
      <c r="B60" s="138" t="str">
        <f t="shared" si="5"/>
        <v>21x33F</v>
      </c>
      <c r="C60" s="55" t="str">
        <f t="shared" si="6"/>
        <v>EUR21x33F_SYNTH1Y_Quote</v>
      </c>
      <c r="D60" s="139" t="str">
        <f>_xll.qlSimpleQuote(C60,,RateTickValue,Permanent,Trigger,ObjectOverwrite)</f>
        <v>EUR21x33F_SYNTH1Y_Quote#0001</v>
      </c>
      <c r="E60" s="399" t="str">
        <f>_xll.ohRangeRetrieveError(D60)</f>
        <v/>
      </c>
      <c r="F60" s="66"/>
      <c r="H60" s="58">
        <v>21</v>
      </c>
      <c r="I60" s="127" t="str">
        <f t="shared" si="7"/>
        <v>21x33F</v>
      </c>
      <c r="J60" s="128">
        <f>SynthFra!H23</f>
        <v>4.5913161097056576E-3</v>
      </c>
      <c r="K60" s="72"/>
      <c r="L60" s="131">
        <v>6.1445746360823082E-3</v>
      </c>
      <c r="M60" s="72"/>
      <c r="N60" s="133">
        <v>4.5913161097056576E-3</v>
      </c>
      <c r="O60" s="134">
        <f>_xll.qlSimpleQuoteSetValue(D60,ROUND(N60,6),EvaluationDate)</f>
        <v>0</v>
      </c>
      <c r="P60" s="62"/>
    </row>
    <row r="61" spans="1:16" x14ac:dyDescent="0.2">
      <c r="A61" s="395">
        <v>22</v>
      </c>
      <c r="B61" s="138" t="str">
        <f t="shared" si="5"/>
        <v>22x34F</v>
      </c>
      <c r="C61" s="55" t="str">
        <f t="shared" si="6"/>
        <v>EUR22x34F_SYNTH1Y_Quote</v>
      </c>
      <c r="D61" s="139" t="str">
        <f>_xll.qlSimpleQuote(C61,,RateTickValue,Permanent,Trigger,ObjectOverwrite)</f>
        <v>EUR22x34F_SYNTH1Y_Quote#0001</v>
      </c>
      <c r="E61" s="399" t="str">
        <f>_xll.ohRangeRetrieveError(D61)</f>
        <v/>
      </c>
      <c r="F61" s="66"/>
      <c r="H61" s="58">
        <v>22</v>
      </c>
      <c r="I61" s="127" t="str">
        <f t="shared" si="7"/>
        <v>22x34F</v>
      </c>
      <c r="J61" s="128">
        <f>SynthFra!H24</f>
        <v>4.7194717742301082E-3</v>
      </c>
      <c r="K61" s="72"/>
      <c r="L61" s="131">
        <v>6.2393291505778601E-3</v>
      </c>
      <c r="M61" s="72"/>
      <c r="N61" s="133">
        <v>4.7194717742301082E-3</v>
      </c>
      <c r="O61" s="134">
        <f>_xll.qlSimpleQuoteSetValue(D61,ROUND(N61,6),EvaluationDate)</f>
        <v>0</v>
      </c>
      <c r="P61" s="62"/>
    </row>
    <row r="62" spans="1:16" x14ac:dyDescent="0.2">
      <c r="A62" s="395">
        <v>23</v>
      </c>
      <c r="B62" s="138" t="str">
        <f t="shared" si="5"/>
        <v>23x35F</v>
      </c>
      <c r="C62" s="55" t="str">
        <f t="shared" si="6"/>
        <v>EUR23x35F_SYNTH1Y_Quote</v>
      </c>
      <c r="D62" s="139" t="str">
        <f>_xll.qlSimpleQuote(C62,,RateTickValue,Permanent,Trigger,ObjectOverwrite)</f>
        <v>EUR23x35F_SYNTH1Y_Quote#0001</v>
      </c>
      <c r="E62" s="399" t="str">
        <f>_xll.ohRangeRetrieveError(D62)</f>
        <v/>
      </c>
      <c r="F62" s="66"/>
      <c r="H62" s="58">
        <v>23</v>
      </c>
      <c r="I62" s="127" t="str">
        <f t="shared" si="7"/>
        <v>23x35F</v>
      </c>
      <c r="J62" s="128">
        <f>SynthFra!H25</f>
        <v>4.8399388761105428E-3</v>
      </c>
      <c r="K62" s="72"/>
      <c r="L62" s="131">
        <v>6.3360222212636803E-3</v>
      </c>
      <c r="M62" s="72"/>
      <c r="N62" s="133">
        <v>4.8399388761105428E-3</v>
      </c>
      <c r="O62" s="134">
        <f>_xll.qlSimpleQuoteSetValue(D62,ROUND(N62,6),EvaluationDate)</f>
        <v>0</v>
      </c>
      <c r="P62" s="62"/>
    </row>
    <row r="63" spans="1:16" x14ac:dyDescent="0.2">
      <c r="A63" s="395">
        <v>25</v>
      </c>
      <c r="B63" s="138" t="str">
        <f t="shared" si="5"/>
        <v>25x37F</v>
      </c>
      <c r="C63" s="55" t="str">
        <f t="shared" si="6"/>
        <v>EUR25x37F_SYNTH1Y_Quote</v>
      </c>
      <c r="D63" s="139" t="str">
        <f>_xll.qlSimpleQuote(C63,,RateTickValue,Permanent,Trigger,ObjectOverwrite)</f>
        <v>EUR25x37F_SYNTH1Y_Quote#0001</v>
      </c>
      <c r="E63" s="399" t="str">
        <f>_xll.ohRangeRetrieveError(D63)</f>
        <v/>
      </c>
      <c r="F63" s="66"/>
      <c r="H63" s="58">
        <v>25</v>
      </c>
      <c r="I63" s="127" t="str">
        <f t="shared" si="7"/>
        <v>25x37F</v>
      </c>
      <c r="J63" s="128">
        <f>SynthFra!H27</f>
        <v>5.1132680991225025E-3</v>
      </c>
      <c r="K63" s="72"/>
      <c r="L63" s="131">
        <v>6.639818956233931E-3</v>
      </c>
      <c r="M63" s="72"/>
      <c r="N63" s="133">
        <v>5.1132680991225025E-3</v>
      </c>
      <c r="O63" s="134">
        <f>_xll.qlSimpleQuoteSetValue(D63,ROUND(N63,6),EvaluationDate)</f>
        <v>0</v>
      </c>
      <c r="P63" s="62"/>
    </row>
    <row r="64" spans="1:16" x14ac:dyDescent="0.2">
      <c r="A64" s="395">
        <v>26</v>
      </c>
      <c r="B64" s="138" t="str">
        <f t="shared" si="5"/>
        <v>26x38F</v>
      </c>
      <c r="C64" s="55" t="str">
        <f t="shared" si="6"/>
        <v>EUR26x38F_SYNTH1Y_Quote</v>
      </c>
      <c r="D64" s="139" t="str">
        <f>_xll.qlSimpleQuote(C64,,RateTickValue,Permanent,Trigger,ObjectOverwrite)</f>
        <v>EUR26x38F_SYNTH1Y_Quote#0001</v>
      </c>
      <c r="E64" s="399" t="str">
        <f>_xll.ohRangeRetrieveError(D64)</f>
        <v/>
      </c>
      <c r="F64" s="66"/>
      <c r="H64" s="58">
        <v>26</v>
      </c>
      <c r="I64" s="127" t="str">
        <f t="shared" si="7"/>
        <v>26x38F</v>
      </c>
      <c r="J64" s="128">
        <f>SynthFra!H28</f>
        <v>5.2536224945413969E-3</v>
      </c>
      <c r="K64" s="72"/>
      <c r="L64" s="131">
        <v>6.8510723261093424E-3</v>
      </c>
      <c r="M64" s="72"/>
      <c r="N64" s="133">
        <v>5.2536224945413969E-3</v>
      </c>
      <c r="O64" s="134">
        <f>_xll.qlSimpleQuoteSetValue(D64,ROUND(N64,6),EvaluationDate)</f>
        <v>0</v>
      </c>
      <c r="P64" s="62"/>
    </row>
    <row r="65" spans="1:16" x14ac:dyDescent="0.2">
      <c r="A65" s="395">
        <v>27</v>
      </c>
      <c r="B65" s="138" t="str">
        <f t="shared" si="5"/>
        <v>27x39F</v>
      </c>
      <c r="C65" s="55" t="str">
        <f t="shared" si="6"/>
        <v>EUR27x39F_SYNTH1Y_Quote</v>
      </c>
      <c r="D65" s="139" t="str">
        <f>_xll.qlSimpleQuote(C65,,RateTickValue,Permanent,Trigger,ObjectOverwrite)</f>
        <v>EUR27x39F_SYNTH1Y_Quote#0001</v>
      </c>
      <c r="E65" s="399" t="str">
        <f>_xll.ohRangeRetrieveError(D65)</f>
        <v/>
      </c>
      <c r="F65" s="66"/>
      <c r="H65" s="58">
        <v>27</v>
      </c>
      <c r="I65" s="127" t="str">
        <f t="shared" si="7"/>
        <v>27x39F</v>
      </c>
      <c r="J65" s="128">
        <f>SynthFra!H29</f>
        <v>5.4139462722372043E-3</v>
      </c>
      <c r="K65" s="72"/>
      <c r="L65" s="131">
        <v>7.0436982688492755E-3</v>
      </c>
      <c r="M65" s="72"/>
      <c r="N65" s="133">
        <v>5.4139462722372043E-3</v>
      </c>
      <c r="O65" s="134">
        <f>_xll.qlSimpleQuoteSetValue(D65,ROUND(N65,6),EvaluationDate)</f>
        <v>0</v>
      </c>
      <c r="P65" s="62"/>
    </row>
    <row r="66" spans="1:16" x14ac:dyDescent="0.2">
      <c r="A66" s="395">
        <v>28</v>
      </c>
      <c r="B66" s="138" t="str">
        <f t="shared" si="5"/>
        <v>28x40F</v>
      </c>
      <c r="C66" s="55" t="str">
        <f t="shared" si="6"/>
        <v>EUR28x40F_SYNTH1Y_Quote</v>
      </c>
      <c r="D66" s="139" t="str">
        <f>_xll.qlSimpleQuote(C66,,RateTickValue,Permanent,Trigger,ObjectOverwrite)</f>
        <v>EUR28x40F_SYNTH1Y_Quote#0001</v>
      </c>
      <c r="E66" s="399" t="str">
        <f>_xll.ohRangeRetrieveError(D66)</f>
        <v/>
      </c>
      <c r="F66" s="66"/>
      <c r="H66" s="58">
        <v>28</v>
      </c>
      <c r="I66" s="127" t="str">
        <f t="shared" si="7"/>
        <v>28x40F</v>
      </c>
      <c r="J66" s="128">
        <f>SynthFra!H30</f>
        <v>5.5547271895390491E-3</v>
      </c>
      <c r="K66" s="72"/>
      <c r="L66" s="131">
        <v>7.2438428722524009E-3</v>
      </c>
      <c r="M66" s="72"/>
      <c r="N66" s="133">
        <v>5.5547271895390491E-3</v>
      </c>
      <c r="O66" s="134">
        <f>_xll.qlSimpleQuoteSetValue(D66,ROUND(N66,6),EvaluationDate)</f>
        <v>0</v>
      </c>
      <c r="P66" s="62"/>
    </row>
    <row r="67" spans="1:16" x14ac:dyDescent="0.2">
      <c r="A67" s="395">
        <v>29</v>
      </c>
      <c r="B67" s="138" t="str">
        <f t="shared" si="5"/>
        <v>29x41F</v>
      </c>
      <c r="C67" s="55" t="str">
        <f t="shared" si="6"/>
        <v>EUR29x41F_SYNTH1Y_Quote</v>
      </c>
      <c r="D67" s="139" t="str">
        <f>_xll.qlSimpleQuote(C67,,RateTickValue,Permanent,Trigger,ObjectOverwrite)</f>
        <v>EUR29x41F_SYNTH1Y_Quote#0001</v>
      </c>
      <c r="E67" s="399" t="str">
        <f>_xll.ohRangeRetrieveError(D67)</f>
        <v/>
      </c>
      <c r="F67" s="66"/>
      <c r="H67" s="58">
        <v>29</v>
      </c>
      <c r="I67" s="127" t="str">
        <f t="shared" si="7"/>
        <v>29x41F</v>
      </c>
      <c r="J67" s="128">
        <f>SynthFra!H31</f>
        <v>5.7050106842287205E-3</v>
      </c>
      <c r="K67" s="72"/>
      <c r="L67" s="131">
        <v>7.4579744439444307E-3</v>
      </c>
      <c r="M67" s="72"/>
      <c r="N67" s="133">
        <v>5.7050106842287205E-3</v>
      </c>
      <c r="O67" s="134">
        <f>_xll.qlSimpleQuoteSetValue(D67,ROUND(N67,6),EvaluationDate)</f>
        <v>0</v>
      </c>
      <c r="P67" s="62"/>
    </row>
    <row r="68" spans="1:16" x14ac:dyDescent="0.2">
      <c r="A68" s="395">
        <v>30</v>
      </c>
      <c r="B68" s="138" t="str">
        <f t="shared" si="5"/>
        <v>30x42F</v>
      </c>
      <c r="C68" s="55" t="str">
        <f t="shared" si="6"/>
        <v>EUR30x42F_SYNTH1Y_Quote</v>
      </c>
      <c r="D68" s="139" t="str">
        <f>_xll.qlSimpleQuote(C68,,RateTickValue,Permanent,Trigger,ObjectOverwrite)</f>
        <v>EUR30x42F_SYNTH1Y_Quote#0001</v>
      </c>
      <c r="E68" s="399" t="str">
        <f>_xll.ohRangeRetrieveError(D68)</f>
        <v/>
      </c>
      <c r="F68" s="66"/>
      <c r="H68" s="58">
        <v>30</v>
      </c>
      <c r="I68" s="127" t="str">
        <f t="shared" si="7"/>
        <v>30x42F</v>
      </c>
      <c r="J68" s="128">
        <f>SynthFra!H32</f>
        <v>5.8651424604778835E-3</v>
      </c>
      <c r="K68" s="72"/>
      <c r="L68" s="131">
        <v>7.6590058479533846E-3</v>
      </c>
      <c r="M68" s="72"/>
      <c r="N68" s="133">
        <v>5.8651424604778835E-3</v>
      </c>
      <c r="O68" s="134">
        <f>_xll.qlSimpleQuoteSetValue(D68,ROUND(N68,6),EvaluationDate)</f>
        <v>0</v>
      </c>
      <c r="P68" s="62"/>
    </row>
    <row r="69" spans="1:16" x14ac:dyDescent="0.2">
      <c r="A69" s="395">
        <v>31</v>
      </c>
      <c r="B69" s="138" t="str">
        <f t="shared" si="5"/>
        <v>31x43F</v>
      </c>
      <c r="C69" s="55" t="str">
        <f t="shared" si="6"/>
        <v>EUR31x43F_SYNTH1Y_Quote</v>
      </c>
      <c r="D69" s="139" t="str">
        <f>_xll.qlSimpleQuote(C69,,RateTickValue,Permanent,Trigger,ObjectOverwrite)</f>
        <v>EUR31x43F_SYNTH1Y_Quote#0001</v>
      </c>
      <c r="E69" s="399" t="str">
        <f>_xll.ohRangeRetrieveError(D69)</f>
        <v/>
      </c>
      <c r="F69" s="66"/>
      <c r="H69" s="58">
        <v>31</v>
      </c>
      <c r="I69" s="127" t="str">
        <f t="shared" si="7"/>
        <v>31x43F</v>
      </c>
      <c r="J69" s="128">
        <f>SynthFra!H33</f>
        <v>6.0410329339979432E-3</v>
      </c>
      <c r="K69" s="72"/>
      <c r="L69" s="131">
        <v>7.8466083864149657E-3</v>
      </c>
      <c r="M69" s="72"/>
      <c r="N69" s="133">
        <v>6.0410329339979432E-3</v>
      </c>
      <c r="O69" s="134">
        <f>_xll.qlSimpleQuoteSetValue(D69,ROUND(N69,6),EvaluationDate)</f>
        <v>0</v>
      </c>
      <c r="P69" s="62"/>
    </row>
    <row r="70" spans="1:16" x14ac:dyDescent="0.2">
      <c r="A70" s="395">
        <v>32</v>
      </c>
      <c r="B70" s="138" t="str">
        <f t="shared" si="5"/>
        <v>32x44F</v>
      </c>
      <c r="C70" s="55" t="str">
        <f t="shared" si="6"/>
        <v>EUR32x44F_SYNTH1Y_Quote</v>
      </c>
      <c r="D70" s="139" t="str">
        <f>_xll.qlSimpleQuote(C70,,RateTickValue,Permanent,Trigger,ObjectOverwrite)</f>
        <v>EUR32x44F_SYNTH1Y_Quote#0001</v>
      </c>
      <c r="E70" s="399" t="str">
        <f>_xll.ohRangeRetrieveError(D70)</f>
        <v/>
      </c>
      <c r="F70" s="66"/>
      <c r="H70" s="58">
        <v>32</v>
      </c>
      <c r="I70" s="127" t="str">
        <f t="shared" si="7"/>
        <v>32x44F</v>
      </c>
      <c r="J70" s="128">
        <f>SynthFra!H34</f>
        <v>6.2048349234299915E-3</v>
      </c>
      <c r="K70" s="72"/>
      <c r="L70" s="131">
        <v>8.0740132699437667E-3</v>
      </c>
      <c r="M70" s="72"/>
      <c r="N70" s="133">
        <v>6.2048349234299915E-3</v>
      </c>
      <c r="O70" s="134">
        <f>_xll.qlSimpleQuoteSetValue(D70,ROUND(N70,6),EvaluationDate)</f>
        <v>0</v>
      </c>
      <c r="P70" s="62"/>
    </row>
    <row r="71" spans="1:16" x14ac:dyDescent="0.2">
      <c r="A71" s="395">
        <v>33</v>
      </c>
      <c r="B71" s="138" t="str">
        <f t="shared" si="5"/>
        <v>33x45F</v>
      </c>
      <c r="C71" s="55" t="str">
        <f t="shared" si="6"/>
        <v>EUR33x45F_SYNTH1Y_Quote</v>
      </c>
      <c r="D71" s="139" t="str">
        <f>_xll.qlSimpleQuote(C71,,RateTickValue,Permanent,Trigger,ObjectOverwrite)</f>
        <v>EUR33x45F_SYNTH1Y_Quote#0001</v>
      </c>
      <c r="E71" s="399" t="str">
        <f>_xll.ohRangeRetrieveError(D71)</f>
        <v/>
      </c>
      <c r="F71" s="66"/>
      <c r="H71" s="58">
        <v>33</v>
      </c>
      <c r="I71" s="127" t="str">
        <f t="shared" si="7"/>
        <v>33x45F</v>
      </c>
      <c r="J71" s="128">
        <f>SynthFra!H35</f>
        <v>6.389627432965706E-3</v>
      </c>
      <c r="K71" s="72"/>
      <c r="L71" s="131">
        <v>8.2540136788414216E-3</v>
      </c>
      <c r="M71" s="72"/>
      <c r="N71" s="133">
        <v>6.389627432965706E-3</v>
      </c>
      <c r="O71" s="134">
        <f>_xll.qlSimpleQuoteSetValue(D71,ROUND(N71,6),EvaluationDate)</f>
        <v>0</v>
      </c>
      <c r="P71" s="62"/>
    </row>
    <row r="72" spans="1:16" x14ac:dyDescent="0.2">
      <c r="A72" s="395">
        <v>34</v>
      </c>
      <c r="B72" s="138" t="str">
        <f t="shared" si="5"/>
        <v>34x46F</v>
      </c>
      <c r="C72" s="55" t="str">
        <f t="shared" si="6"/>
        <v>EUR34x46F_SYNTH1Y_Quote</v>
      </c>
      <c r="D72" s="139" t="str">
        <f>_xll.qlSimpleQuote(C72,,RateTickValue,Permanent,Trigger,ObjectOverwrite)</f>
        <v>EUR34x46F_SYNTH1Y_Quote#0001</v>
      </c>
      <c r="E72" s="399" t="str">
        <f>_xll.ohRangeRetrieveError(D72)</f>
        <v/>
      </c>
      <c r="F72" s="66"/>
      <c r="H72" s="58">
        <v>34</v>
      </c>
      <c r="I72" s="127" t="str">
        <f t="shared" si="7"/>
        <v>34x46F</v>
      </c>
      <c r="J72" s="128">
        <f>SynthFra!H36</f>
        <v>6.5685036620530138E-3</v>
      </c>
      <c r="K72" s="72"/>
      <c r="L72" s="131">
        <v>8.4597312837310056E-3</v>
      </c>
      <c r="M72" s="72"/>
      <c r="N72" s="133">
        <v>6.5685036620530138E-3</v>
      </c>
      <c r="O72" s="134">
        <f>_xll.qlSimpleQuoteSetValue(D72,ROUND(N72,6),EvaluationDate)</f>
        <v>0</v>
      </c>
      <c r="P72" s="62"/>
    </row>
    <row r="73" spans="1:16" x14ac:dyDescent="0.2">
      <c r="A73" s="395">
        <v>35</v>
      </c>
      <c r="B73" s="138" t="str">
        <f t="shared" si="5"/>
        <v>35x47F</v>
      </c>
      <c r="C73" s="55" t="str">
        <f t="shared" si="6"/>
        <v>EUR35x47F_SYNTH1Y_Quote</v>
      </c>
      <c r="D73" s="139" t="str">
        <f>_xll.qlSimpleQuote(C73,,RateTickValue,Permanent,Trigger,ObjectOverwrite)</f>
        <v>EUR35x47F_SYNTH1Y_Quote#0001</v>
      </c>
      <c r="E73" s="399" t="str">
        <f>_xll.ohRangeRetrieveError(D73)</f>
        <v/>
      </c>
      <c r="F73" s="66"/>
      <c r="H73" s="58">
        <v>35</v>
      </c>
      <c r="I73" s="127" t="str">
        <f t="shared" si="7"/>
        <v>35x47F</v>
      </c>
      <c r="J73" s="128">
        <f>SynthFra!H37</f>
        <v>6.7507898741175302E-3</v>
      </c>
      <c r="K73" s="72"/>
      <c r="L73" s="131">
        <v>8.6706802526084654E-3</v>
      </c>
      <c r="M73" s="72"/>
      <c r="N73" s="133">
        <v>6.7507898741175302E-3</v>
      </c>
      <c r="O73" s="134">
        <f>_xll.qlSimpleQuoteSetValue(D73,ROUND(N73,6),EvaluationDate)</f>
        <v>0</v>
      </c>
      <c r="P73" s="62"/>
    </row>
    <row r="74" spans="1:16" x14ac:dyDescent="0.2">
      <c r="A74" s="395">
        <v>37</v>
      </c>
      <c r="B74" s="138" t="str">
        <f t="shared" si="5"/>
        <v>37x49F</v>
      </c>
      <c r="C74" s="55" t="str">
        <f t="shared" si="6"/>
        <v>EUR37x49F_SYNTH1Y_Quote</v>
      </c>
      <c r="D74" s="139" t="str">
        <f>_xll.qlSimpleQuote(C74,,RateTickValue,Permanent,Trigger,ObjectOverwrite)</f>
        <v>EUR37x49F_SYNTH1Y_Quote#0001</v>
      </c>
      <c r="E74" s="399" t="str">
        <f>_xll.ohRangeRetrieveError(D74)</f>
        <v/>
      </c>
      <c r="F74" s="66"/>
      <c r="H74" s="58">
        <v>37</v>
      </c>
      <c r="I74" s="127" t="str">
        <f t="shared" si="7"/>
        <v>37x49F</v>
      </c>
      <c r="J74" s="128">
        <f>SynthFra!H39</f>
        <v>7.1334739620006714E-3</v>
      </c>
      <c r="K74" s="72"/>
      <c r="L74" s="131">
        <v>9.1432212149377481E-3</v>
      </c>
      <c r="M74" s="72"/>
      <c r="N74" s="133">
        <v>7.1334739620006714E-3</v>
      </c>
      <c r="O74" s="134">
        <f>_xll.qlSimpleQuoteSetValue(D74,ROUND(N74,6),EvaluationDate)</f>
        <v>0</v>
      </c>
      <c r="P74" s="62"/>
    </row>
    <row r="75" spans="1:16" x14ac:dyDescent="0.2">
      <c r="A75" s="395">
        <v>38</v>
      </c>
      <c r="B75" s="138" t="str">
        <f t="shared" si="5"/>
        <v>38x50F</v>
      </c>
      <c r="C75" s="55" t="str">
        <f t="shared" si="6"/>
        <v>EUR38x50F_SYNTH1Y_Quote</v>
      </c>
      <c r="D75" s="139" t="str">
        <f>_xll.qlSimpleQuote(C75,,RateTickValue,Permanent,Trigger,ObjectOverwrite)</f>
        <v>EUR38x50F_SYNTH1Y_Quote#0001</v>
      </c>
      <c r="E75" s="399" t="str">
        <f>_xll.ohRangeRetrieveError(D75)</f>
        <v/>
      </c>
      <c r="F75" s="66"/>
      <c r="H75" s="58">
        <v>38</v>
      </c>
      <c r="I75" s="127" t="str">
        <f t="shared" si="7"/>
        <v>38x50F</v>
      </c>
      <c r="J75" s="128">
        <f>SynthFra!H40</f>
        <v>7.3339937020749056E-3</v>
      </c>
      <c r="K75" s="72"/>
      <c r="L75" s="131">
        <v>9.3954275791548678E-3</v>
      </c>
      <c r="M75" s="72"/>
      <c r="N75" s="133">
        <v>7.3339937020749056E-3</v>
      </c>
      <c r="O75" s="134">
        <f>_xll.qlSimpleQuoteSetValue(D75,ROUND(N75,6),EvaluationDate)</f>
        <v>0</v>
      </c>
      <c r="P75" s="62"/>
    </row>
    <row r="76" spans="1:16" x14ac:dyDescent="0.2">
      <c r="A76" s="395">
        <v>39</v>
      </c>
      <c r="B76" s="138" t="str">
        <f t="shared" si="5"/>
        <v>39x51F</v>
      </c>
      <c r="C76" s="55" t="str">
        <f t="shared" si="6"/>
        <v>EUR39x51F_SYNTH1Y_Quote</v>
      </c>
      <c r="D76" s="139" t="str">
        <f>_xll.qlSimpleQuote(C76,,RateTickValue,Permanent,Trigger,ObjectOverwrite)</f>
        <v>EUR39x51F_SYNTH1Y_Quote#0001</v>
      </c>
      <c r="E76" s="399" t="str">
        <f>_xll.ohRangeRetrieveError(D76)</f>
        <v/>
      </c>
      <c r="F76" s="66"/>
      <c r="H76" s="58">
        <v>39</v>
      </c>
      <c r="I76" s="127" t="str">
        <f t="shared" si="7"/>
        <v>39x51F</v>
      </c>
      <c r="J76" s="128">
        <f>SynthFra!H41</f>
        <v>7.5452380045261287E-3</v>
      </c>
      <c r="K76" s="72"/>
      <c r="L76" s="131">
        <v>9.6519392757855437E-3</v>
      </c>
      <c r="M76" s="72"/>
      <c r="N76" s="133">
        <v>7.5452380045261287E-3</v>
      </c>
      <c r="O76" s="134">
        <f>_xll.qlSimpleQuoteSetValue(D76,ROUND(N76,6),EvaluationDate)</f>
        <v>0</v>
      </c>
      <c r="P76" s="62"/>
    </row>
    <row r="77" spans="1:16" x14ac:dyDescent="0.2">
      <c r="A77" s="395">
        <v>40</v>
      </c>
      <c r="B77" s="138" t="str">
        <f t="shared" si="5"/>
        <v>40x52F</v>
      </c>
      <c r="C77" s="55" t="str">
        <f t="shared" si="6"/>
        <v>EUR40x52F_SYNTH1Y_Quote</v>
      </c>
      <c r="D77" s="139" t="str">
        <f>_xll.qlSimpleQuote(C77,,RateTickValue,Permanent,Trigger,ObjectOverwrite)</f>
        <v>EUR40x52F_SYNTH1Y_Quote#0001</v>
      </c>
      <c r="E77" s="399" t="str">
        <f>_xll.ohRangeRetrieveError(D77)</f>
        <v/>
      </c>
      <c r="F77" s="66"/>
      <c r="H77" s="58">
        <v>40</v>
      </c>
      <c r="I77" s="127" t="str">
        <f t="shared" si="7"/>
        <v>40x52F</v>
      </c>
      <c r="J77" s="128">
        <f>SynthFra!H42</f>
        <v>7.7336198326143843E-3</v>
      </c>
      <c r="K77" s="72"/>
      <c r="L77" s="131">
        <v>9.9176410657655142E-3</v>
      </c>
      <c r="M77" s="72"/>
      <c r="N77" s="133">
        <v>7.7336198326143843E-3</v>
      </c>
      <c r="O77" s="134">
        <f>_xll.qlSimpleQuoteSetValue(D77,ROUND(N77,6),EvaluationDate)</f>
        <v>0</v>
      </c>
      <c r="P77" s="62"/>
    </row>
    <row r="78" spans="1:16" x14ac:dyDescent="0.2">
      <c r="A78" s="395">
        <v>41</v>
      </c>
      <c r="B78" s="138" t="str">
        <f t="shared" si="5"/>
        <v>41x53F</v>
      </c>
      <c r="C78" s="55" t="str">
        <f t="shared" si="6"/>
        <v>EUR41x53F_SYNTH1Y_Quote</v>
      </c>
      <c r="D78" s="139" t="str">
        <f>_xll.qlSimpleQuote(C78,,RateTickValue,Permanent,Trigger,ObjectOverwrite)</f>
        <v>EUR41x53F_SYNTH1Y_Quote#0001</v>
      </c>
      <c r="E78" s="399" t="str">
        <f>_xll.ohRangeRetrieveError(D78)</f>
        <v/>
      </c>
      <c r="F78" s="66"/>
      <c r="H78" s="58">
        <v>41</v>
      </c>
      <c r="I78" s="127" t="str">
        <f t="shared" si="7"/>
        <v>41x53F</v>
      </c>
      <c r="J78" s="128">
        <f>SynthFra!H43</f>
        <v>7.9391236005740915E-3</v>
      </c>
      <c r="K78" s="72"/>
      <c r="L78" s="131">
        <v>1.0169476546966039E-2</v>
      </c>
      <c r="M78" s="72"/>
      <c r="N78" s="133">
        <v>7.9391236005740915E-3</v>
      </c>
      <c r="O78" s="134">
        <f>_xll.qlSimpleQuoteSetValue(D78,ROUND(N78,6),EvaluationDate)</f>
        <v>0</v>
      </c>
      <c r="P78" s="62"/>
    </row>
    <row r="79" spans="1:16" x14ac:dyDescent="0.2">
      <c r="A79" s="395">
        <v>42</v>
      </c>
      <c r="B79" s="138" t="str">
        <f t="shared" si="5"/>
        <v>42x54F</v>
      </c>
      <c r="C79" s="55" t="str">
        <f t="shared" si="6"/>
        <v>EUR42x54F_SYNTH1Y_Quote</v>
      </c>
      <c r="D79" s="139" t="str">
        <f>_xll.qlSimpleQuote(C79,,RateTickValue,Permanent,Trigger,ObjectOverwrite)</f>
        <v>EUR42x54F_SYNTH1Y_Quote#0001</v>
      </c>
      <c r="E79" s="399" t="str">
        <f>_xll.ohRangeRetrieveError(D79)</f>
        <v/>
      </c>
      <c r="F79" s="66"/>
      <c r="H79" s="58">
        <v>42</v>
      </c>
      <c r="I79" s="127" t="str">
        <f t="shared" si="7"/>
        <v>42x54F</v>
      </c>
      <c r="J79" s="128">
        <f>SynthFra!H44</f>
        <v>8.155014225737299E-3</v>
      </c>
      <c r="K79" s="72"/>
      <c r="L79" s="131">
        <v>1.0430748495225153E-2</v>
      </c>
      <c r="M79" s="72"/>
      <c r="N79" s="133">
        <v>8.155014225737299E-3</v>
      </c>
      <c r="O79" s="134">
        <f>_xll.qlSimpleQuoteSetValue(D79,ROUND(N79,6),EvaluationDate)</f>
        <v>0</v>
      </c>
      <c r="P79" s="62"/>
    </row>
    <row r="80" spans="1:16" x14ac:dyDescent="0.2">
      <c r="A80" s="395">
        <v>43</v>
      </c>
      <c r="B80" s="138" t="str">
        <f t="shared" si="5"/>
        <v>43x55F</v>
      </c>
      <c r="C80" s="55" t="str">
        <f t="shared" si="6"/>
        <v>EUR43x55F_SYNTH1Y_Quote</v>
      </c>
      <c r="D80" s="139" t="str">
        <f>_xll.qlSimpleQuote(C80,,RateTickValue,Permanent,Trigger,ObjectOverwrite)</f>
        <v>EUR43x55F_SYNTH1Y_Quote#0001</v>
      </c>
      <c r="E80" s="399" t="str">
        <f>_xll.ohRangeRetrieveError(D80)</f>
        <v/>
      </c>
      <c r="F80" s="66"/>
      <c r="H80" s="58">
        <v>43</v>
      </c>
      <c r="I80" s="127" t="str">
        <f t="shared" si="7"/>
        <v>43x55F</v>
      </c>
      <c r="J80" s="128">
        <f>SynthFra!H45</f>
        <v>8.3686640777968935E-3</v>
      </c>
      <c r="K80" s="72"/>
      <c r="L80" s="131">
        <v>1.0665919792036266E-2</v>
      </c>
      <c r="M80" s="72"/>
      <c r="N80" s="133">
        <v>8.3686640777968935E-3</v>
      </c>
      <c r="O80" s="134">
        <f>_xll.qlSimpleQuoteSetValue(D80,ROUND(N80,6),EvaluationDate)</f>
        <v>0</v>
      </c>
      <c r="P80" s="62"/>
    </row>
    <row r="81" spans="1:16" x14ac:dyDescent="0.2">
      <c r="A81" s="395">
        <v>44</v>
      </c>
      <c r="B81" s="138" t="str">
        <f t="shared" si="5"/>
        <v>44x56F</v>
      </c>
      <c r="C81" s="55" t="str">
        <f t="shared" si="6"/>
        <v>EUR44x56F_SYNTH1Y_Quote</v>
      </c>
      <c r="D81" s="139" t="str">
        <f>_xll.qlSimpleQuote(C81,,RateTickValue,Permanent,Trigger,ObjectOverwrite)</f>
        <v>EUR44x56F_SYNTH1Y_Quote#0001</v>
      </c>
      <c r="E81" s="399" t="str">
        <f>_xll.ohRangeRetrieveError(D81)</f>
        <v/>
      </c>
      <c r="F81" s="66"/>
      <c r="H81" s="58">
        <v>44</v>
      </c>
      <c r="I81" s="127" t="str">
        <f t="shared" si="7"/>
        <v>44x56F</v>
      </c>
      <c r="J81" s="128">
        <f>SynthFra!H46</f>
        <v>8.5856537191735492E-3</v>
      </c>
      <c r="K81" s="72"/>
      <c r="L81" s="131">
        <v>1.0933906562113356E-2</v>
      </c>
      <c r="M81" s="72"/>
      <c r="N81" s="133">
        <v>8.5856537191735492E-3</v>
      </c>
      <c r="O81" s="134">
        <f>_xll.qlSimpleQuoteSetValue(D81,ROUND(N81,6),EvaluationDate)</f>
        <v>0</v>
      </c>
      <c r="P81" s="62"/>
    </row>
    <row r="82" spans="1:16" x14ac:dyDescent="0.2">
      <c r="A82" s="395">
        <v>45</v>
      </c>
      <c r="B82" s="138" t="str">
        <f t="shared" si="5"/>
        <v>45x57F</v>
      </c>
      <c r="C82" s="55" t="str">
        <f t="shared" si="6"/>
        <v>EUR45x57F_SYNTH1Y_Quote</v>
      </c>
      <c r="D82" s="139" t="str">
        <f>_xll.qlSimpleQuote(C82,,RateTickValue,Permanent,Trigger,ObjectOverwrite)</f>
        <v>EUR45x57F_SYNTH1Y_Quote#0001</v>
      </c>
      <c r="E82" s="399" t="str">
        <f>_xll.ohRangeRetrieveError(D82)</f>
        <v/>
      </c>
      <c r="F82" s="66"/>
      <c r="H82" s="58">
        <v>45</v>
      </c>
      <c r="I82" s="127" t="str">
        <f t="shared" si="7"/>
        <v>45x57F</v>
      </c>
      <c r="J82" s="128">
        <f>SynthFra!H47</f>
        <v>8.8287103764955431E-3</v>
      </c>
      <c r="K82" s="72"/>
      <c r="L82" s="131">
        <v>1.1176202147415193E-2</v>
      </c>
      <c r="M82" s="72"/>
      <c r="N82" s="133">
        <v>8.8287103764955431E-3</v>
      </c>
      <c r="O82" s="134">
        <f>_xll.qlSimpleQuoteSetValue(D82,ROUND(N82,6),EvaluationDate)</f>
        <v>0</v>
      </c>
      <c r="P82" s="62"/>
    </row>
    <row r="83" spans="1:16" x14ac:dyDescent="0.2">
      <c r="A83" s="395">
        <v>46</v>
      </c>
      <c r="B83" s="138" t="str">
        <f t="shared" si="5"/>
        <v>46x58F</v>
      </c>
      <c r="C83" s="55" t="str">
        <f t="shared" si="6"/>
        <v>EUR46x58F_SYNTH1Y_Quote</v>
      </c>
      <c r="D83" s="139" t="str">
        <f>_xll.qlSimpleQuote(C83,,RateTickValue,Permanent,Trigger,ObjectOverwrite)</f>
        <v>EUR46x58F_SYNTH1Y_Quote#0001</v>
      </c>
      <c r="E83" s="399" t="str">
        <f>_xll.ohRangeRetrieveError(D83)</f>
        <v/>
      </c>
      <c r="F83" s="66"/>
      <c r="H83" s="58">
        <v>46</v>
      </c>
      <c r="I83" s="127" t="str">
        <f t="shared" si="7"/>
        <v>46x58F</v>
      </c>
      <c r="J83" s="128">
        <f>SynthFra!H48</f>
        <v>9.0460817338092261E-3</v>
      </c>
      <c r="K83" s="72"/>
      <c r="L83" s="131">
        <v>1.1437519693685599E-2</v>
      </c>
      <c r="M83" s="72"/>
      <c r="N83" s="133">
        <v>9.0460817338092261E-3</v>
      </c>
      <c r="O83" s="134">
        <f>_xll.qlSimpleQuoteSetValue(D83,ROUND(N83,6),EvaluationDate)</f>
        <v>0</v>
      </c>
      <c r="P83" s="62"/>
    </row>
    <row r="84" spans="1:16" ht="12" thickBot="1" x14ac:dyDescent="0.25">
      <c r="A84" s="396">
        <v>47</v>
      </c>
      <c r="B84" s="141" t="str">
        <f t="shared" si="5"/>
        <v>47x59F</v>
      </c>
      <c r="C84" s="98" t="str">
        <f t="shared" si="6"/>
        <v>EUR47x59F_SYNTH1Y_Quote</v>
      </c>
      <c r="D84" s="148" t="str">
        <f>_xll.qlSimpleQuote(C84,,RateTickValue,Permanent,Trigger,ObjectOverwrite)</f>
        <v>EUR47x59F_SYNTH1Y_Quote#0001</v>
      </c>
      <c r="E84" s="400" t="str">
        <f>_xll.ohRangeRetrieveError(D84)</f>
        <v/>
      </c>
      <c r="F84" s="66"/>
      <c r="H84" s="58">
        <v>47</v>
      </c>
      <c r="I84" s="129" t="str">
        <f t="shared" si="7"/>
        <v>47x59F</v>
      </c>
      <c r="J84" s="130">
        <f>SynthFra!H49</f>
        <v>9.2746649480346111E-3</v>
      </c>
      <c r="K84" s="72"/>
      <c r="L84" s="132">
        <v>1.1693071994383112E-2</v>
      </c>
      <c r="M84" s="72"/>
      <c r="N84" s="156">
        <v>9.2746649480346111E-3</v>
      </c>
      <c r="O84" s="157">
        <f>_xll.qlSimpleQuoteSetValue(D84,ROUND(N84,6),EvaluationDate)</f>
        <v>0</v>
      </c>
      <c r="P84" s="62"/>
    </row>
    <row r="85" spans="1:16" ht="12" thickBot="1" x14ac:dyDescent="0.25">
      <c r="A85" s="67"/>
      <c r="B85" s="93"/>
      <c r="C85" s="94"/>
      <c r="D85" s="94"/>
      <c r="E85" s="94"/>
      <c r="F85" s="68"/>
      <c r="H85" s="63"/>
      <c r="I85" s="64"/>
      <c r="J85" s="64"/>
      <c r="K85" s="64"/>
      <c r="L85" s="64"/>
      <c r="M85" s="64"/>
      <c r="N85" s="64"/>
      <c r="O85" s="64"/>
      <c r="P85" s="65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81"/>
  <sheetViews>
    <sheetView showGridLines="0" workbookViewId="0"/>
  </sheetViews>
  <sheetFormatPr defaultRowHeight="11.25" outlineLevelCol="1" x14ac:dyDescent="0.2"/>
  <cols>
    <col min="1" max="1" width="3.1640625" style="36" customWidth="1"/>
    <col min="2" max="2" width="2.33203125" style="36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11.5" style="36" customWidth="1"/>
    <col min="8" max="8" width="17.83203125" style="36" hidden="1" customWidth="1" outlineLevel="1"/>
    <col min="9" max="9" width="5.83203125" style="36" hidden="1" customWidth="1" outlineLevel="1"/>
    <col min="10" max="10" width="10.5" style="36" bestFit="1" customWidth="1" collapsed="1"/>
    <col min="11" max="11" width="9.33203125" style="36" bestFit="1" customWidth="1"/>
    <col min="12" max="12" width="10.33203125" style="36" customWidth="1"/>
    <col min="13" max="13" width="9.33203125" style="36" customWidth="1"/>
    <col min="14" max="14" width="10.5" style="36" customWidth="1"/>
    <col min="15" max="15" width="5.83203125" style="36" customWidth="1"/>
    <col min="16" max="16" width="20.1640625" style="36" bestFit="1" customWidth="1"/>
    <col min="17" max="17" width="9.33203125" style="36" bestFit="1" customWidth="1"/>
    <col min="18" max="18" width="10.5" style="36" bestFit="1" customWidth="1"/>
    <col min="19" max="19" width="10.5" style="36" customWidth="1"/>
    <col min="20" max="20" width="4.6640625" style="36" bestFit="1" customWidth="1"/>
    <col min="21" max="16384" width="9.33203125" style="36"/>
  </cols>
  <sheetData>
    <row r="1" spans="3:17" ht="26.25" customHeight="1" thickBot="1" x14ac:dyDescent="0.25">
      <c r="D1" s="250" t="s">
        <v>129</v>
      </c>
      <c r="E1" s="430" t="s">
        <v>124</v>
      </c>
      <c r="F1" s="430" t="s">
        <v>125</v>
      </c>
      <c r="G1" s="430" t="s">
        <v>131</v>
      </c>
      <c r="H1" s="430"/>
      <c r="I1" s="430"/>
      <c r="J1" s="430" t="s">
        <v>132</v>
      </c>
      <c r="K1" s="431" t="s">
        <v>130</v>
      </c>
      <c r="L1" s="431" t="s">
        <v>91</v>
      </c>
      <c r="M1" s="431" t="str">
        <f>_xll.qlInterpolation(,interpolator3M,_xll.ohFilter(E2:E11,L2:L11),_xll.ohFilter(K2:K11,L2:L11))</f>
        <v>obj_00c0a#0058</v>
      </c>
      <c r="N1" s="258" t="s">
        <v>130</v>
      </c>
      <c r="P1" s="257" t="s">
        <v>124</v>
      </c>
      <c r="Q1" s="259" t="s">
        <v>194</v>
      </c>
    </row>
    <row r="2" spans="3:17" ht="11.25" customHeight="1" x14ac:dyDescent="0.2">
      <c r="D2" s="423" t="str">
        <f>PROPER(Currency&amp;IborType)&amp;"3M"&amp;"LastFixing"&amp;QuoteSuffix</f>
        <v>Euribor3MLastFixing_Quote</v>
      </c>
      <c r="E2" s="424">
        <f>SettlementDate</f>
        <v>41954</v>
      </c>
      <c r="F2" s="424">
        <f>_xll.qlCalendarAdvance(Calendar,E2,"3M","mf",,Trigger)</f>
        <v>42046</v>
      </c>
      <c r="G2" s="425">
        <f>_xll.qlQuoteValue(D2,LastFixingsTrigger)</f>
        <v>8.0999999999999985E-4</v>
      </c>
      <c r="H2" s="426" t="str">
        <f>_xll.qlMakeDatedOIS(,E2,F2,OvernightIndex,0,,,,EvaluationDate)</f>
        <v>obj_00598#0001</v>
      </c>
      <c r="I2" s="426" t="b">
        <f>_xll.qlInstrumentSetPricingEngine(H2,OisEngine)</f>
        <v>1</v>
      </c>
      <c r="J2" s="425">
        <f>_xll.qlOvernightIndexedSwapFairRate(H2,AllTriggers)</f>
        <v>-2.5182464861340647E-4</v>
      </c>
      <c r="K2" s="433">
        <f t="shared" ref="K2:K11" si="0">G2-J2</f>
        <v>1.0618246486134063E-3</v>
      </c>
      <c r="L2" s="427" t="b">
        <v>0</v>
      </c>
      <c r="M2" s="428">
        <f>_xll.qlInterpolationInterpolate($M$1,E2,TRUE,Trigger)</f>
        <v>1.049805505174192E-3</v>
      </c>
      <c r="N2" s="428">
        <f>K2-M2</f>
        <v>1.2019143439214331E-5</v>
      </c>
      <c r="P2" s="407">
        <f>E2</f>
        <v>41954</v>
      </c>
      <c r="Q2" s="262">
        <f>_xll.qlInterpolationInterpolate($M$1,P2,TRUE)</f>
        <v>1.049805505174192E-3</v>
      </c>
    </row>
    <row r="3" spans="3:17" ht="11.25" customHeight="1" x14ac:dyDescent="0.2">
      <c r="C3" s="36" t="str">
        <f>_xll.qlIMMNextCode(SettlementDate-1,FALSE)</f>
        <v>X4</v>
      </c>
      <c r="D3" s="260" t="str">
        <f t="shared" ref="D3:D11" si="1">Currency&amp;"FUT"&amp;"3M"&amp;C3&amp;QuoteSuffix</f>
        <v>EURFUT3MX4_Quote</v>
      </c>
      <c r="E3" s="261">
        <f>_xll.qlIMMdate(C3,$E$2,Trigger)</f>
        <v>41962</v>
      </c>
      <c r="F3" s="261">
        <f>_xll.qlCalendarAdvance(Calendar,E3,"3M","mf",,Trigger)</f>
        <v>42054</v>
      </c>
      <c r="G3" s="38">
        <f>1-_xll.qlQuoteValue(D3,AllTriggers)/100</f>
        <v>8.0000000000002292E-4</v>
      </c>
      <c r="H3" s="40" t="str">
        <f>_xll.qlMakeDatedOIS(,E3,F3,OvernightIndex,0,,,,EvaluationDate)</f>
        <v>obj_005b1#0001</v>
      </c>
      <c r="I3" s="40" t="b">
        <f>_xll.qlInstrumentSetPricingEngine(H3,OisEngine)</f>
        <v>1</v>
      </c>
      <c r="J3" s="38">
        <f>_xll.qlOvernightIndexedSwapFairRate(H3,AllTriggers)</f>
        <v>-2.7854091032501451E-4</v>
      </c>
      <c r="K3" s="262">
        <f t="shared" si="0"/>
        <v>1.0785409103250374E-3</v>
      </c>
      <c r="L3" s="418" t="b">
        <v>1</v>
      </c>
      <c r="M3" s="262">
        <f>_xll.qlInterpolationInterpolate($M$1,E3,TRUE,Trigger)</f>
        <v>1.0785409103250374E-3</v>
      </c>
      <c r="N3" s="262">
        <f t="shared" ref="N3:N11" si="2">K3-M3</f>
        <v>0</v>
      </c>
      <c r="P3" s="407">
        <f>_xll.qlCalendarAdvance(Calendar,P2,"1D","f")</f>
        <v>41955</v>
      </c>
      <c r="Q3" s="262">
        <f>_xll.qlInterpolationInterpolate($M$1,P3,TRUE)</f>
        <v>1.0533734402352632E-3</v>
      </c>
    </row>
    <row r="4" spans="3:17" ht="11.25" customHeight="1" x14ac:dyDescent="0.2">
      <c r="C4" s="36" t="str">
        <f>_xll.qlIMMNextCode($E$3,IF(_xll.qlIMMIsIMMdate(E3,TRUE),FALSE,TRUE))</f>
        <v>Z4</v>
      </c>
      <c r="D4" s="260" t="str">
        <f t="shared" si="1"/>
        <v>EURFUT3MZ4_Quote</v>
      </c>
      <c r="E4" s="261">
        <f>_xll.qlIMMdate(C4,$E$2,Trigger)</f>
        <v>41990</v>
      </c>
      <c r="F4" s="261">
        <f>_xll.qlCalendarAdvance(Calendar,E4,"3M","mf",,Trigger)</f>
        <v>42080</v>
      </c>
      <c r="G4" s="38">
        <f>1-_xll.qlQuoteValue(D4,AllTriggers)/100</f>
        <v>8.7500000000007017E-4</v>
      </c>
      <c r="H4" s="40" t="str">
        <f>_xll.qlMakeDatedOIS(,E4,F4,OvernightIndex,0,,,,EvaluationDate)</f>
        <v>obj_005b3#0001</v>
      </c>
      <c r="I4" s="40" t="b">
        <f>_xll.qlInstrumentSetPricingEngine(H4,OisEngine)</f>
        <v>1</v>
      </c>
      <c r="J4" s="38">
        <f>_xll.qlOvernightIndexedSwapFairRate(H4,AllTriggers)</f>
        <v>-2.9950863645833437E-4</v>
      </c>
      <c r="K4" s="262">
        <f t="shared" si="0"/>
        <v>1.1745086364584045E-3</v>
      </c>
      <c r="L4" s="418" t="b">
        <v>1</v>
      </c>
      <c r="M4" s="262">
        <f>_xll.qlInterpolationInterpolate($M$1,E4,TRUE,Trigger)</f>
        <v>1.1745086364584045E-3</v>
      </c>
      <c r="N4" s="262">
        <f t="shared" si="2"/>
        <v>0</v>
      </c>
      <c r="P4" s="407">
        <f>_xll.qlCalendarAdvance(Calendar,P3,"1D","f")</f>
        <v>41956</v>
      </c>
      <c r="Q4" s="262">
        <f>_xll.qlInterpolationInterpolate($M$1,P4,TRUE)</f>
        <v>1.0569509715294483E-3</v>
      </c>
    </row>
    <row r="5" spans="3:17" ht="11.25" customHeight="1" x14ac:dyDescent="0.2">
      <c r="C5" s="36" t="str">
        <f>_xll.qlIMMNextCode($E4,TRUE)</f>
        <v>H5</v>
      </c>
      <c r="D5" s="260" t="str">
        <f t="shared" si="1"/>
        <v>EURFUT3MH5_Quote</v>
      </c>
      <c r="E5" s="261">
        <f>_xll.qlIMMdate(C5,$E$2,Trigger)</f>
        <v>42081</v>
      </c>
      <c r="F5" s="261">
        <f>_xll.qlCalendarAdvance(Calendar,E5,"3M","mf",,Trigger)</f>
        <v>42173</v>
      </c>
      <c r="G5" s="38">
        <f>1-_xll.qlQuoteValue(D5,AllTriggers)/100</f>
        <v>8.2499999999996465E-4</v>
      </c>
      <c r="H5" s="40" t="str">
        <f>_xll.qlMakeDatedOIS(,E5,F5,OvernightIndex,0,,,,EvaluationDate)</f>
        <v>obj_005bb#0001</v>
      </c>
      <c r="I5" s="40" t="b">
        <f>_xll.qlInstrumentSetPricingEngine(H5,OisEngine)</f>
        <v>1</v>
      </c>
      <c r="J5" s="38">
        <f>_xll.qlOvernightIndexedSwapFairRate(H5,AllTriggers)</f>
        <v>-5.1317353141986679E-4</v>
      </c>
      <c r="K5" s="262">
        <f t="shared" si="0"/>
        <v>1.3381735314198315E-3</v>
      </c>
      <c r="L5" s="418" t="b">
        <v>1</v>
      </c>
      <c r="M5" s="262">
        <f>_xll.qlInterpolationInterpolate($M$1,E5,TRUE,Trigger)</f>
        <v>1.3381735314198315E-3</v>
      </c>
      <c r="N5" s="262">
        <f t="shared" si="2"/>
        <v>0</v>
      </c>
      <c r="P5" s="407">
        <f>_xll.qlCalendarAdvance(Calendar,P4,"1D","f")</f>
        <v>41957</v>
      </c>
      <c r="Q5" s="262">
        <f>_xll.qlInterpolationInterpolate($M$1,P5,TRUE)</f>
        <v>1.0605367281663024E-3</v>
      </c>
    </row>
    <row r="6" spans="3:17" ht="11.25" customHeight="1" x14ac:dyDescent="0.2">
      <c r="C6" s="36" t="str">
        <f>_xll.qlIMMNextCode($E5,TRUE)</f>
        <v>M5</v>
      </c>
      <c r="D6" s="260" t="str">
        <f t="shared" si="1"/>
        <v>EURFUT3MM5_Quote</v>
      </c>
      <c r="E6" s="261">
        <f>_xll.qlIMMdate(C6,$E$2,Trigger)</f>
        <v>42172</v>
      </c>
      <c r="F6" s="261">
        <f>_xll.qlCalendarAdvance(Calendar,E6,"3M","mf",,Trigger)</f>
        <v>42264</v>
      </c>
      <c r="G6" s="38">
        <f>1-_xll.qlQuoteValue(D6,AllTriggers)/100</f>
        <v>7.2499999999986464E-4</v>
      </c>
      <c r="H6" s="40" t="str">
        <f>_xll.qlMakeDatedOIS(,E6,F6,OvernightIndex,0,,,,EvaluationDate)</f>
        <v>obj_005b8#0001</v>
      </c>
      <c r="I6" s="40" t="b">
        <f>_xll.qlInstrumentSetPricingEngine(H6,OisEngine)</f>
        <v>1</v>
      </c>
      <c r="J6" s="38">
        <f>_xll.qlOvernightIndexedSwapFairRate(H6,AllTriggers)</f>
        <v>-6.9142143935013972E-4</v>
      </c>
      <c r="K6" s="262">
        <f t="shared" si="0"/>
        <v>1.4164214393500045E-3</v>
      </c>
      <c r="L6" s="418" t="b">
        <v>1</v>
      </c>
      <c r="M6" s="262">
        <f>_xll.qlInterpolationInterpolate($M$1,E6,TRUE,Trigger)</f>
        <v>1.4164214393500045E-3</v>
      </c>
      <c r="N6" s="262">
        <f t="shared" si="2"/>
        <v>0</v>
      </c>
      <c r="P6" s="407">
        <f>_xll.qlCalendarAdvance(Calendar,P5,"1D","f")</f>
        <v>41960</v>
      </c>
      <c r="Q6" s="262">
        <f>_xll.qlInterpolationInterpolate($M$1,P6,TRUE)</f>
        <v>1.0713296412284297E-3</v>
      </c>
    </row>
    <row r="7" spans="3:17" ht="11.25" customHeight="1" x14ac:dyDescent="0.2">
      <c r="C7" s="36" t="str">
        <f>_xll.qlIMMNextCode($E6,TRUE)</f>
        <v>U5</v>
      </c>
      <c r="D7" s="260" t="str">
        <f t="shared" si="1"/>
        <v>EURFUT3MU5_Quote</v>
      </c>
      <c r="E7" s="261">
        <f>_xll.qlIMMdate(C7,$E$2,Trigger)</f>
        <v>42263</v>
      </c>
      <c r="F7" s="261">
        <f>_xll.qlCalendarAdvance(Calendar,E7,"3M","mf",,Trigger)</f>
        <v>42354</v>
      </c>
      <c r="G7" s="38">
        <f>1-_xll.qlQuoteValue(D7,AllTriggers)/100</f>
        <v>7.7499999999997016E-4</v>
      </c>
      <c r="H7" s="40" t="str">
        <f>_xll.qlMakeDatedOIS(,E7,F7,OvernightIndex,0,,,,EvaluationDate)</f>
        <v>obj_005b6#0001</v>
      </c>
      <c r="I7" s="40" t="b">
        <f>_xll.qlInstrumentSetPricingEngine(H7,OisEngine)</f>
        <v>1</v>
      </c>
      <c r="J7" s="38">
        <f>_xll.qlOvernightIndexedSwapFairRate(H7,AllTriggers)</f>
        <v>-7.292547651867946E-4</v>
      </c>
      <c r="K7" s="262">
        <f t="shared" si="0"/>
        <v>1.5042547651867647E-3</v>
      </c>
      <c r="L7" s="418" t="b">
        <v>1</v>
      </c>
      <c r="M7" s="262">
        <f>_xll.qlInterpolationInterpolate($M$1,E7,TRUE,Trigger)</f>
        <v>1.5042547651867647E-3</v>
      </c>
      <c r="N7" s="262">
        <f t="shared" si="2"/>
        <v>0</v>
      </c>
      <c r="P7" s="407">
        <f>_xll.qlCalendarAdvance(Calendar,P6,"1D","f")</f>
        <v>41961</v>
      </c>
      <c r="Q7" s="262">
        <f>_xll.qlInterpolationInterpolate($M$1,P7,TRUE)</f>
        <v>1.0749345903315112E-3</v>
      </c>
    </row>
    <row r="8" spans="3:17" ht="11.25" customHeight="1" x14ac:dyDescent="0.2">
      <c r="C8" s="36" t="str">
        <f>_xll.qlIMMNextCode($E7,TRUE)</f>
        <v>Z5</v>
      </c>
      <c r="D8" s="260" t="str">
        <f t="shared" si="1"/>
        <v>EURFUT3MZ5_Quote</v>
      </c>
      <c r="E8" s="261">
        <f>_xll.qlIMMdate(C8,$E$2,Trigger)</f>
        <v>42354</v>
      </c>
      <c r="F8" s="261">
        <f>_xll.qlCalendarAdvance(Calendar,E8,"3M","mf",,Trigger)</f>
        <v>42445</v>
      </c>
      <c r="G8" s="38">
        <f>1-_xll.qlQuoteValue(D8,AllTriggers)/100</f>
        <v>9.2500000000006466E-4</v>
      </c>
      <c r="H8" s="40" t="str">
        <f>_xll.qlMakeDatedOIS(,E8,F8,OvernightIndex,0,,,,EvaluationDate)</f>
        <v>obj_005bc#0001</v>
      </c>
      <c r="I8" s="40" t="b">
        <f>_xll.qlInstrumentSetPricingEngine(H8,OisEngine)</f>
        <v>1</v>
      </c>
      <c r="J8" s="38">
        <f>_xll.qlOvernightIndexedSwapFairRate(H8,AllTriggers)</f>
        <v>-5.5002276395762172E-4</v>
      </c>
      <c r="K8" s="262">
        <f t="shared" si="0"/>
        <v>1.4750227639576865E-3</v>
      </c>
      <c r="L8" s="418" t="b">
        <v>0</v>
      </c>
      <c r="M8" s="262">
        <f>_xll.qlInterpolationInterpolate($M$1,E8,TRUE,Trigger)</f>
        <v>1.5735405488887392E-3</v>
      </c>
      <c r="N8" s="262">
        <f t="shared" si="2"/>
        <v>-9.851778493105267E-5</v>
      </c>
      <c r="P8" s="407">
        <f>_xll.qlCalendarAdvance(Calendar,P7,"1D","f")</f>
        <v>41962</v>
      </c>
      <c r="Q8" s="262">
        <f>_xll.qlInterpolationInterpolate($M$1,P8,TRUE)</f>
        <v>1.0785409103250374E-3</v>
      </c>
    </row>
    <row r="9" spans="3:17" ht="11.25" customHeight="1" x14ac:dyDescent="0.2">
      <c r="C9" s="36" t="str">
        <f>_xll.qlIMMNextCode($E8,TRUE)</f>
        <v>H6</v>
      </c>
      <c r="D9" s="260" t="str">
        <f t="shared" si="1"/>
        <v>EURFUT3MH6_Quote</v>
      </c>
      <c r="E9" s="261">
        <f>_xll.qlIMMdate(C9,$E$2,Trigger)</f>
        <v>42445</v>
      </c>
      <c r="F9" s="261">
        <f>_xll.qlCalendarAdvance(Calendar,E9,"3M","mf",,Trigger)</f>
        <v>42537</v>
      </c>
      <c r="G9" s="38">
        <f>1-_xll.qlQuoteValue(D9,AllTriggers)/100</f>
        <v>1.1249999999999316E-3</v>
      </c>
      <c r="H9" s="40" t="str">
        <f>_xll.qlMakeDatedOIS(,E9,F9,OvernightIndex,0,,,,EvaluationDate)</f>
        <v>obj_005b9#0001</v>
      </c>
      <c r="I9" s="40" t="b">
        <f>_xll.qlInstrumentSetPricingEngine(H9,OisEngine)</f>
        <v>1</v>
      </c>
      <c r="J9" s="38">
        <f>_xll.qlOvernightIndexedSwapFairRate(H9,AllTriggers)</f>
        <v>-5.0721027459848351E-4</v>
      </c>
      <c r="K9" s="262">
        <f t="shared" si="0"/>
        <v>1.632210274598415E-3</v>
      </c>
      <c r="L9" s="418" t="b">
        <v>1</v>
      </c>
      <c r="M9" s="262">
        <f>_xll.qlInterpolationInterpolate($M$1,E9,TRUE,Trigger)</f>
        <v>1.632210274598415E-3</v>
      </c>
      <c r="N9" s="262">
        <f t="shared" si="2"/>
        <v>0</v>
      </c>
      <c r="P9" s="407">
        <f>_xll.qlCalendarAdvance(Calendar,P8,"1D","f")</f>
        <v>41963</v>
      </c>
      <c r="Q9" s="262">
        <f>_xll.qlInterpolationInterpolate($M$1,P9,TRUE)</f>
        <v>1.0821472303185636E-3</v>
      </c>
    </row>
    <row r="10" spans="3:17" ht="11.25" customHeight="1" x14ac:dyDescent="0.2">
      <c r="C10" s="36" t="str">
        <f>_xll.qlIMMNextCode($E9,TRUE)</f>
        <v>M6</v>
      </c>
      <c r="D10" s="260" t="str">
        <f t="shared" si="1"/>
        <v>EURFUT3MM6_Quote</v>
      </c>
      <c r="E10" s="261">
        <f>_xll.qlIMMdate(C10,$E$2,Trigger)</f>
        <v>42536</v>
      </c>
      <c r="F10" s="261">
        <f>_xll.qlCalendarAdvance(Calendar,E10,"3M","mf",,Trigger)</f>
        <v>42628</v>
      </c>
      <c r="G10" s="38">
        <f>1-_xll.qlQuoteValue(D10,AllTriggers)/100</f>
        <v>1.3750000000000151E-3</v>
      </c>
      <c r="H10" s="40" t="str">
        <f>_xll.qlMakeDatedOIS(,E10,F10,OvernightIndex,0,,,,EvaluationDate)</f>
        <v>obj_005b7#0001</v>
      </c>
      <c r="I10" s="40" t="b">
        <f>_xll.qlInstrumentSetPricingEngine(H10,OisEngine)</f>
        <v>1</v>
      </c>
      <c r="J10" s="38">
        <f>_xll.qlOvernightIndexedSwapFairRate(H10,AllTriggers)</f>
        <v>-3.164944013641115E-4</v>
      </c>
      <c r="K10" s="262">
        <f t="shared" si="0"/>
        <v>1.6914944013641266E-3</v>
      </c>
      <c r="L10" s="418" t="b">
        <v>1</v>
      </c>
      <c r="M10" s="262">
        <f>_xll.qlInterpolationInterpolate($M$1,E10,TRUE,Trigger)</f>
        <v>1.6914944013641266E-3</v>
      </c>
      <c r="N10" s="262">
        <f t="shared" si="2"/>
        <v>0</v>
      </c>
      <c r="P10" s="407">
        <f>_xll.qlCalendarAdvance(Calendar,P9,"1D","f")</f>
        <v>41964</v>
      </c>
      <c r="Q10" s="262">
        <f>_xll.qlInterpolationInterpolate($M$1,P10,TRUE)</f>
        <v>1.085752179421645E-3</v>
      </c>
    </row>
    <row r="11" spans="3:17" ht="11.25" customHeight="1" thickBot="1" x14ac:dyDescent="0.25">
      <c r="C11" s="36" t="str">
        <f>_xll.qlIMMNextCode($E10,TRUE)</f>
        <v>U6</v>
      </c>
      <c r="D11" s="263" t="str">
        <f t="shared" si="1"/>
        <v>EURFUT3MU6_Quote</v>
      </c>
      <c r="E11" s="264">
        <f>_xll.qlIMMdate(C11,$E$2,Trigger)</f>
        <v>42634</v>
      </c>
      <c r="F11" s="264">
        <f>_xll.qlCalendarAdvance(Calendar,E11,"3M","mf",,Trigger)</f>
        <v>42725</v>
      </c>
      <c r="G11" s="265">
        <f>1-_xll.qlQuoteValue(D11,AllTriggers)/100</f>
        <v>1.6249999999999876E-3</v>
      </c>
      <c r="H11" s="268" t="str">
        <f>_xll.qlMakeDatedOIS(,E11,F11,OvernightIndex,0,,,,EvaluationDate)</f>
        <v>obj_005b5#0001</v>
      </c>
      <c r="I11" s="268" t="b">
        <f>_xll.qlInstrumentSetPricingEngine(H11,OisEngine)</f>
        <v>1</v>
      </c>
      <c r="J11" s="265">
        <f>_xll.qlOvernightIndexedSwapFairRate(H11,AllTriggers)</f>
        <v>-1.0367916218831101E-4</v>
      </c>
      <c r="K11" s="266">
        <f t="shared" si="0"/>
        <v>1.7286791621882985E-3</v>
      </c>
      <c r="L11" s="429" t="b">
        <v>1</v>
      </c>
      <c r="M11" s="266">
        <f>_xll.qlInterpolationInterpolate($M$1,E11,TRUE,Trigger)</f>
        <v>1.7286791621882985E-3</v>
      </c>
      <c r="N11" s="432">
        <f t="shared" si="2"/>
        <v>0</v>
      </c>
      <c r="P11" s="407">
        <f>_xll.qlCalendarAdvance(Calendar,P10,"1D","f")</f>
        <v>41967</v>
      </c>
      <c r="Q11" s="262">
        <f>_xll.qlInterpolationInterpolate($M$1,P11,TRUE)</f>
        <v>1.0965450924837724E-3</v>
      </c>
    </row>
    <row r="12" spans="3:17" ht="11.25" customHeight="1" x14ac:dyDescent="0.2">
      <c r="E12" s="172"/>
      <c r="F12" s="172"/>
      <c r="G12" s="39"/>
      <c r="J12" s="39"/>
      <c r="K12" s="39"/>
      <c r="P12" s="407">
        <f>_xll.qlCalendarAdvance(Calendar,P11,"1D","f")</f>
        <v>41968</v>
      </c>
      <c r="Q12" s="262">
        <f>_xll.qlInterpolationInterpolate($M$1,P12,TRUE)</f>
        <v>1.1001308491206264E-3</v>
      </c>
    </row>
    <row r="13" spans="3:17" ht="11.25" customHeight="1" x14ac:dyDescent="0.2">
      <c r="E13" s="172"/>
      <c r="F13" s="172"/>
      <c r="G13" s="39"/>
      <c r="J13" s="39"/>
      <c r="K13" s="39"/>
      <c r="P13" s="407">
        <f>_xll.qlCalendarAdvance(Calendar,P12,"1D","f")</f>
        <v>41969</v>
      </c>
      <c r="Q13" s="262">
        <f>_xll.qlInterpolationInterpolate($M$1,P13,TRUE)</f>
        <v>1.1037083804148115E-3</v>
      </c>
    </row>
    <row r="14" spans="3:17" ht="11.25" customHeight="1" x14ac:dyDescent="0.2">
      <c r="E14" s="172"/>
      <c r="F14" s="172"/>
      <c r="G14" s="39"/>
      <c r="J14" s="39"/>
      <c r="K14" s="39"/>
      <c r="P14" s="407">
        <f>_xll.qlCalendarAdvance(Calendar,P13,"1D","f")</f>
        <v>41970</v>
      </c>
      <c r="Q14" s="262">
        <f>_xll.qlInterpolationInterpolate($M$1,P14,TRUE)</f>
        <v>1.1072763154758828E-3</v>
      </c>
    </row>
    <row r="15" spans="3:17" ht="11.25" customHeight="1" x14ac:dyDescent="0.2">
      <c r="E15" s="172"/>
      <c r="F15" s="172"/>
      <c r="G15" s="39"/>
      <c r="J15" s="39"/>
      <c r="K15" s="39"/>
      <c r="P15" s="407">
        <f>_xll.qlCalendarAdvance(Calendar,P14,"1D","f")</f>
        <v>41971</v>
      </c>
      <c r="Q15" s="262">
        <f>_xll.qlInterpolationInterpolate($M$1,P15,TRUE)</f>
        <v>1.1108332834133955E-3</v>
      </c>
    </row>
    <row r="16" spans="3:17" ht="11.25" customHeight="1" x14ac:dyDescent="0.2">
      <c r="E16" s="172"/>
      <c r="F16" s="172"/>
      <c r="G16" s="39"/>
      <c r="J16" s="39"/>
      <c r="K16" s="39"/>
      <c r="P16" s="407">
        <f>_xll.qlCalendarAdvance(Calendar,P15,"1D","f")</f>
        <v>41974</v>
      </c>
      <c r="Q16" s="262">
        <f>_xll.qlInterpolationInterpolate($M$1,P16,TRUE)</f>
        <v>1.1214246755801346E-3</v>
      </c>
    </row>
    <row r="17" spans="5:17" ht="11.25" customHeight="1" x14ac:dyDescent="0.2">
      <c r="E17" s="172"/>
      <c r="F17" s="172"/>
      <c r="G17" s="39"/>
      <c r="J17" s="39"/>
      <c r="K17" s="39"/>
      <c r="P17" s="407">
        <f>_xll.qlCalendarAdvance(Calendar,P16,"1D","f")</f>
        <v>41975</v>
      </c>
      <c r="Q17" s="262">
        <f>_xll.qlInterpolationInterpolate($M$1,P17,TRUE)</f>
        <v>1.1249240661189649E-3</v>
      </c>
    </row>
    <row r="18" spans="5:17" ht="11.25" customHeight="1" x14ac:dyDescent="0.2">
      <c r="E18" s="172"/>
      <c r="F18" s="172"/>
      <c r="G18" s="39"/>
      <c r="J18" s="39"/>
      <c r="K18" s="39"/>
      <c r="P18" s="407">
        <f>_xll.qlCalendarAdvance(Calendar,P17,"1D","f")</f>
        <v>41976</v>
      </c>
      <c r="Q18" s="262">
        <f>_xll.qlInterpolationInterpolate($M$1,P18,TRUE)</f>
        <v>1.1284056350820127E-3</v>
      </c>
    </row>
    <row r="19" spans="5:17" ht="11.25" customHeight="1" x14ac:dyDescent="0.2">
      <c r="E19" s="172"/>
      <c r="F19" s="172"/>
      <c r="G19" s="39"/>
      <c r="J19" s="39"/>
      <c r="K19" s="39"/>
      <c r="P19" s="407">
        <f>_xll.qlCalendarAdvance(Calendar,P18,"1D","f")</f>
        <v>41977</v>
      </c>
      <c r="Q19" s="262">
        <f>_xll.qlInterpolationInterpolate($M$1,P19,TRUE)</f>
        <v>1.1318680115788328E-3</v>
      </c>
    </row>
    <row r="20" spans="5:17" ht="11.25" customHeight="1" x14ac:dyDescent="0.2">
      <c r="E20" s="172"/>
      <c r="F20" s="172"/>
      <c r="G20" s="39"/>
      <c r="J20" s="39"/>
      <c r="K20" s="39"/>
      <c r="P20" s="407">
        <f>_xll.qlCalendarAdvance(Calendar,P19,"1D","f")</f>
        <v>41978</v>
      </c>
      <c r="Q20" s="262">
        <f>_xll.qlInterpolationInterpolate($M$1,P20,TRUE)</f>
        <v>1.135309824718981E-3</v>
      </c>
    </row>
    <row r="21" spans="5:17" ht="11.25" customHeight="1" x14ac:dyDescent="0.2">
      <c r="E21" s="172"/>
      <c r="F21" s="172"/>
      <c r="G21" s="39"/>
      <c r="J21" s="39"/>
      <c r="K21" s="39"/>
      <c r="P21" s="407">
        <f>_xll.qlCalendarAdvance(Calendar,P20,"1D","f")</f>
        <v>41981</v>
      </c>
      <c r="Q21" s="262">
        <f>_xll.qlInterpolationInterpolate($M$1,P21,TRUE)</f>
        <v>1.1454981750949429E-3</v>
      </c>
    </row>
    <row r="22" spans="5:17" ht="11.25" customHeight="1" x14ac:dyDescent="0.2">
      <c r="E22" s="172"/>
      <c r="F22" s="172"/>
      <c r="G22" s="39"/>
      <c r="J22" s="39"/>
      <c r="K22" s="39"/>
      <c r="P22" s="407">
        <f>_xll.qlCalendarAdvance(Calendar,P21,"1D","f")</f>
        <v>41982</v>
      </c>
      <c r="Q22" s="262">
        <f>_xll.qlInterpolationInterpolate($M$1,P22,TRUE)</f>
        <v>1.1488440259039537E-3</v>
      </c>
    </row>
    <row r="23" spans="5:17" ht="11.25" customHeight="1" x14ac:dyDescent="0.2">
      <c r="E23" s="172"/>
      <c r="F23" s="172"/>
      <c r="G23" s="39"/>
      <c r="J23" s="39"/>
      <c r="K23" s="39"/>
      <c r="P23" s="407">
        <f>_xll.qlCalendarAdvance(Calendar,P22,"1D","f")</f>
        <v>41983</v>
      </c>
      <c r="Q23" s="262">
        <f>_xll.qlInterpolationInterpolate($M$1,P23,TRUE)</f>
        <v>1.1521624589040679E-3</v>
      </c>
    </row>
    <row r="24" spans="5:17" ht="11.25" customHeight="1" x14ac:dyDescent="0.2">
      <c r="E24" s="172"/>
      <c r="F24" s="172"/>
      <c r="G24" s="39"/>
      <c r="J24" s="39"/>
      <c r="K24" s="39"/>
      <c r="P24" s="407">
        <f>_xll.qlCalendarAdvance(Calendar,P23,"1D","f")</f>
        <v>41984</v>
      </c>
      <c r="Q24" s="262">
        <f>_xll.qlInterpolationInterpolate($M$1,P24,TRUE)</f>
        <v>1.1554521032048411E-3</v>
      </c>
    </row>
    <row r="25" spans="5:17" ht="11.25" customHeight="1" x14ac:dyDescent="0.2">
      <c r="E25" s="172"/>
      <c r="F25" s="172"/>
      <c r="G25" s="39"/>
      <c r="J25" s="39"/>
      <c r="K25" s="39"/>
      <c r="P25" s="407">
        <f>_xll.qlCalendarAdvance(Calendar,P24,"1D","f")</f>
        <v>41985</v>
      </c>
      <c r="Q25" s="262">
        <f>_xll.qlInterpolationInterpolate($M$1,P25,TRUE)</f>
        <v>1.1587115879158282E-3</v>
      </c>
    </row>
    <row r="26" spans="5:17" ht="11.25" customHeight="1" x14ac:dyDescent="0.2">
      <c r="E26" s="172"/>
      <c r="F26" s="172"/>
      <c r="G26" s="39"/>
      <c r="J26" s="39"/>
      <c r="K26" s="39"/>
      <c r="P26" s="407">
        <f>_xll.qlCalendarAdvance(Calendar,P25,"1D","f")</f>
        <v>41988</v>
      </c>
      <c r="Q26" s="262">
        <f>_xll.qlInterpolationInterpolate($M$1,P26,TRUE)</f>
        <v>1.1682953756056249E-3</v>
      </c>
    </row>
    <row r="27" spans="5:17" ht="11.25" customHeight="1" x14ac:dyDescent="0.2">
      <c r="E27" s="172"/>
      <c r="F27" s="172"/>
      <c r="G27" s="39"/>
      <c r="J27" s="39"/>
      <c r="K27" s="39"/>
      <c r="P27" s="407">
        <f>_xll.qlCalendarAdvance(Calendar,P26,"1D","f")</f>
        <v>41989</v>
      </c>
      <c r="Q27" s="262">
        <f>_xll.qlInterpolationInterpolate($M$1,P27,TRUE)</f>
        <v>1.1714205130530198E-3</v>
      </c>
    </row>
    <row r="28" spans="5:17" ht="11.25" customHeight="1" x14ac:dyDescent="0.2">
      <c r="E28" s="172"/>
      <c r="F28" s="172"/>
      <c r="G28" s="39"/>
      <c r="J28" s="39"/>
      <c r="K28" s="39"/>
      <c r="P28" s="407">
        <f>_xll.qlCalendarAdvance(Calendar,P27,"1D","f")</f>
        <v>41990</v>
      </c>
      <c r="Q28" s="262">
        <f>_xll.qlInterpolationInterpolate($M$1,P28,TRUE)</f>
        <v>1.1745086364584045E-3</v>
      </c>
    </row>
    <row r="29" spans="5:17" ht="11.25" customHeight="1" x14ac:dyDescent="0.2">
      <c r="E29" s="172"/>
      <c r="F29" s="172"/>
      <c r="G29" s="39"/>
      <c r="J29" s="39"/>
      <c r="K29" s="39"/>
      <c r="P29" s="407">
        <f>_xll.qlCalendarAdvance(Calendar,P28,"1D","f")</f>
        <v>41991</v>
      </c>
      <c r="Q29" s="262">
        <f>_xll.qlInterpolationInterpolate($M$1,P29,TRUE)</f>
        <v>1.1775586608783976E-3</v>
      </c>
    </row>
    <row r="30" spans="5:17" ht="11.25" customHeight="1" x14ac:dyDescent="0.2">
      <c r="E30" s="172"/>
      <c r="F30" s="172"/>
      <c r="G30" s="39"/>
      <c r="J30" s="39"/>
      <c r="K30" s="39"/>
      <c r="P30" s="407">
        <f>_xll.qlCalendarAdvance(Calendar,P29,"1D","f")</f>
        <v>41992</v>
      </c>
      <c r="Q30" s="262">
        <f>_xll.qlInterpolationInterpolate($M$1,P30,TRUE)</f>
        <v>1.1805706451578702E-3</v>
      </c>
    </row>
    <row r="31" spans="5:17" ht="11.25" customHeight="1" x14ac:dyDescent="0.2">
      <c r="E31" s="172"/>
      <c r="F31" s="172"/>
      <c r="G31" s="39"/>
      <c r="J31" s="39"/>
      <c r="K31" s="39"/>
      <c r="P31" s="407">
        <f>_xll.qlCalendarAdvance(Calendar,P30,"1D","f")</f>
        <v>41995</v>
      </c>
      <c r="Q31" s="262">
        <f>_xll.qlInterpolationInterpolate($M$1,P31,TRUE)</f>
        <v>1.1893818050725119E-3</v>
      </c>
    </row>
    <row r="32" spans="5:17" ht="11.25" customHeight="1" x14ac:dyDescent="0.2">
      <c r="E32" s="172"/>
      <c r="F32" s="172"/>
      <c r="G32" s="39"/>
      <c r="J32" s="39"/>
      <c r="K32" s="39"/>
      <c r="P32" s="407">
        <f>_xll.qlCalendarAdvance(Calendar,P31,"1D","f")</f>
        <v>41996</v>
      </c>
      <c r="Q32" s="262">
        <f>_xll.qlInterpolationInterpolate($M$1,P32,TRUE)</f>
        <v>1.192245076709249E-3</v>
      </c>
    </row>
    <row r="33" spans="5:17" ht="11.25" customHeight="1" x14ac:dyDescent="0.2">
      <c r="E33" s="172"/>
      <c r="F33" s="172"/>
      <c r="G33" s="39"/>
      <c r="J33" s="39"/>
      <c r="K33" s="39"/>
      <c r="P33" s="407">
        <f>_xll.qlCalendarAdvance(Calendar,P32,"1D","f")</f>
        <v>41997</v>
      </c>
      <c r="Q33" s="262">
        <f>_xll.qlInterpolationInterpolate($M$1,P33,TRUE)</f>
        <v>1.1950720321651385E-3</v>
      </c>
    </row>
    <row r="34" spans="5:17" ht="11.25" customHeight="1" x14ac:dyDescent="0.2">
      <c r="E34" s="172"/>
      <c r="F34" s="172"/>
      <c r="G34" s="39"/>
      <c r="J34" s="39"/>
      <c r="K34" s="39"/>
      <c r="P34" s="407">
        <f>_xll.qlCalendarAdvance(Calendar,P33,"1D","f")</f>
        <v>42002</v>
      </c>
      <c r="Q34" s="262">
        <f>_xll.qlInterpolationInterpolate($M$1,P34,TRUE)</f>
        <v>1.2086741344495859E-3</v>
      </c>
    </row>
    <row r="35" spans="5:17" ht="11.25" customHeight="1" x14ac:dyDescent="0.2">
      <c r="E35" s="172"/>
      <c r="F35" s="172"/>
      <c r="G35" s="39"/>
      <c r="J35" s="39"/>
      <c r="K35" s="39"/>
      <c r="P35" s="407">
        <f>_xll.qlCalendarAdvance(Calendar,P34,"1D","f")</f>
        <v>42003</v>
      </c>
      <c r="Q35" s="262">
        <f>_xll.qlInterpolationInterpolate($M$1,P35,TRUE)</f>
        <v>1.2112904334510171E-3</v>
      </c>
    </row>
    <row r="36" spans="5:17" ht="11.25" customHeight="1" x14ac:dyDescent="0.2">
      <c r="E36" s="172"/>
      <c r="F36" s="172"/>
      <c r="G36" s="39"/>
      <c r="J36" s="39"/>
      <c r="K36" s="39"/>
      <c r="P36" s="407">
        <f>_xll.qlCalendarAdvance(Calendar,P35,"1D","f")</f>
        <v>42004</v>
      </c>
      <c r="Q36" s="262">
        <f>_xll.qlInterpolationInterpolate($M$1,P36,TRUE)</f>
        <v>1.2138728298151432E-3</v>
      </c>
    </row>
    <row r="37" spans="5:17" ht="11.25" customHeight="1" x14ac:dyDescent="0.2">
      <c r="E37" s="172"/>
      <c r="F37" s="172"/>
      <c r="G37" s="39"/>
      <c r="J37" s="39"/>
      <c r="K37" s="39"/>
      <c r="P37" s="407">
        <f>_xll.qlCalendarAdvance(Calendar,P36,"1D","f")</f>
        <v>42006</v>
      </c>
      <c r="Q37" s="262">
        <f>_xll.qlInterpolationInterpolate($M$1,P37,TRUE)</f>
        <v>1.2189372937992174E-3</v>
      </c>
    </row>
    <row r="38" spans="5:17" ht="11.25" customHeight="1" x14ac:dyDescent="0.2">
      <c r="E38" s="172"/>
      <c r="F38" s="172"/>
      <c r="G38" s="39"/>
      <c r="J38" s="39"/>
      <c r="K38" s="39"/>
      <c r="P38" s="407">
        <f>_xll.qlCalendarAdvance(Calendar,P37,"1D","f")</f>
        <v>42009</v>
      </c>
      <c r="Q38" s="262">
        <f>_xll.qlInterpolationInterpolate($M$1,P38,TRUE)</f>
        <v>1.2262883397939034E-3</v>
      </c>
    </row>
    <row r="39" spans="5:17" ht="11.25" customHeight="1" x14ac:dyDescent="0.2">
      <c r="E39" s="172"/>
      <c r="F39" s="172"/>
      <c r="G39" s="39"/>
      <c r="J39" s="39"/>
      <c r="K39" s="39"/>
      <c r="P39" s="407">
        <f>_xll.qlCalendarAdvance(Calendar,P38,"1D","f")</f>
        <v>42010</v>
      </c>
      <c r="Q39" s="262">
        <f>_xll.qlInterpolationInterpolate($M$1,P39,TRUE)</f>
        <v>1.2286745609648235E-3</v>
      </c>
    </row>
    <row r="40" spans="5:17" ht="11.25" customHeight="1" x14ac:dyDescent="0.2">
      <c r="E40" s="172"/>
      <c r="F40" s="172"/>
      <c r="G40" s="39"/>
      <c r="J40" s="39"/>
      <c r="K40" s="39"/>
      <c r="P40" s="407">
        <f>_xll.qlCalendarAdvance(Calendar,P39,"1D","f")</f>
        <v>42011</v>
      </c>
      <c r="Q40" s="262">
        <f>_xll.qlInterpolationInterpolate($M$1,P40,TRUE)</f>
        <v>1.2310292930419805E-3</v>
      </c>
    </row>
    <row r="41" spans="5:17" ht="11.25" customHeight="1" x14ac:dyDescent="0.2">
      <c r="E41" s="172"/>
      <c r="F41" s="172"/>
      <c r="G41" s="39"/>
      <c r="J41" s="39"/>
      <c r="K41" s="39"/>
      <c r="P41" s="407">
        <f>_xll.qlCalendarAdvance(Calendar,P40,"1D","f")</f>
        <v>42012</v>
      </c>
      <c r="Q41" s="262">
        <f>_xll.qlInterpolationInterpolate($M$1,P41,TRUE)</f>
        <v>1.2333528808173087E-3</v>
      </c>
    </row>
    <row r="42" spans="5:17" ht="11.25" customHeight="1" x14ac:dyDescent="0.2">
      <c r="E42" s="172"/>
      <c r="F42" s="172"/>
      <c r="G42" s="39"/>
      <c r="J42" s="39"/>
      <c r="K42" s="39"/>
      <c r="P42" s="407">
        <f>_xll.qlCalendarAdvance(Calendar,P41,"1D","f")</f>
        <v>42013</v>
      </c>
      <c r="Q42" s="262">
        <f>_xll.qlInterpolationInterpolate($M$1,P42,TRUE)</f>
        <v>1.2356456690827428E-3</v>
      </c>
    </row>
    <row r="43" spans="5:17" ht="11.25" customHeight="1" x14ac:dyDescent="0.2">
      <c r="E43" s="172"/>
      <c r="F43" s="172"/>
      <c r="G43" s="39"/>
      <c r="J43" s="39"/>
      <c r="K43" s="39"/>
      <c r="P43" s="407">
        <f>_xll.qlCalendarAdvance(Calendar,P42,"1D","f")</f>
        <v>42016</v>
      </c>
      <c r="Q43" s="262">
        <f>_xll.qlInterpolationInterpolate($M$1,P43,TRUE)</f>
        <v>1.2423426847390266E-3</v>
      </c>
    </row>
    <row r="44" spans="5:17" ht="11.25" customHeight="1" x14ac:dyDescent="0.2">
      <c r="E44" s="172"/>
      <c r="F44" s="172"/>
      <c r="G44" s="39"/>
      <c r="J44" s="39"/>
      <c r="K44" s="39"/>
      <c r="P44" s="407">
        <f>_xll.qlCalendarAdvance(Calendar,P43,"1D","f")</f>
        <v>42017</v>
      </c>
      <c r="Q44" s="262">
        <f>_xll.qlInterpolationInterpolate($M$1,P44,TRUE)</f>
        <v>1.2445157228842302E-3</v>
      </c>
    </row>
    <row r="45" spans="5:17" ht="11.25" customHeight="1" x14ac:dyDescent="0.2">
      <c r="E45" s="172"/>
      <c r="F45" s="172"/>
      <c r="G45" s="39"/>
      <c r="J45" s="39"/>
      <c r="K45" s="39"/>
      <c r="P45" s="407">
        <f>_xll.qlCalendarAdvance(Calendar,P44,"1D","f")</f>
        <v>42018</v>
      </c>
      <c r="Q45" s="262">
        <f>_xll.qlInterpolationInterpolate($M$1,P45,TRUE)</f>
        <v>1.2466596854792127E-3</v>
      </c>
    </row>
    <row r="46" spans="5:17" ht="11.25" customHeight="1" x14ac:dyDescent="0.2">
      <c r="E46" s="172"/>
      <c r="F46" s="172"/>
      <c r="G46" s="39"/>
      <c r="J46" s="39"/>
      <c r="K46" s="39"/>
      <c r="P46" s="407">
        <f>_xll.qlCalendarAdvance(Calendar,P45,"1D","f")</f>
        <v>42019</v>
      </c>
      <c r="Q46" s="262">
        <f>_xll.qlInterpolationInterpolate($M$1,P46,TRUE)</f>
        <v>1.2487749173159086E-3</v>
      </c>
    </row>
    <row r="47" spans="5:17" ht="11.25" customHeight="1" x14ac:dyDescent="0.2">
      <c r="E47" s="172"/>
      <c r="F47" s="172"/>
      <c r="G47" s="39"/>
      <c r="J47" s="39"/>
      <c r="K47" s="39"/>
      <c r="P47" s="407">
        <f>_xll.qlCalendarAdvance(Calendar,P46,"1D","f")</f>
        <v>42020</v>
      </c>
      <c r="Q47" s="262">
        <f>_xll.qlInterpolationInterpolate($M$1,P47,TRUE)</f>
        <v>1.2508617631862523E-3</v>
      </c>
    </row>
    <row r="48" spans="5:17" ht="11.25" customHeight="1" x14ac:dyDescent="0.2">
      <c r="E48" s="172"/>
      <c r="F48" s="172"/>
      <c r="G48" s="39"/>
      <c r="J48" s="39"/>
      <c r="K48" s="39"/>
      <c r="P48" s="407">
        <f>_xll.qlCalendarAdvance(Calendar,P47,"1D","f")</f>
        <v>42023</v>
      </c>
      <c r="Q48" s="262">
        <f>_xll.qlInterpolationInterpolate($M$1,P48,TRUE)</f>
        <v>1.2569554329185176E-3</v>
      </c>
    </row>
    <row r="49" spans="5:20" ht="11.25" customHeight="1" x14ac:dyDescent="0.2">
      <c r="E49" s="172"/>
      <c r="F49" s="172"/>
      <c r="G49" s="39"/>
      <c r="J49" s="39"/>
      <c r="K49" s="39"/>
      <c r="P49" s="407">
        <f>_xll.qlCalendarAdvance(Calendar,P48,"1D","f")</f>
        <v>42024</v>
      </c>
      <c r="Q49" s="262">
        <f>_xll.qlInterpolationInterpolate($M$1,P49,TRUE)</f>
        <v>1.2589321828427994E-3</v>
      </c>
    </row>
    <row r="50" spans="5:20" ht="11.25" customHeight="1" x14ac:dyDescent="0.2">
      <c r="E50" s="172"/>
      <c r="F50" s="172"/>
      <c r="G50" s="39"/>
      <c r="J50" s="39"/>
      <c r="K50" s="39"/>
      <c r="P50" s="407">
        <f>_xll.qlCalendarAdvance(Calendar,P49,"1D","f")</f>
        <v>42025</v>
      </c>
      <c r="Q50" s="262">
        <f>_xll.qlInterpolationInterpolate($M$1,P50,TRUE)</f>
        <v>1.2608822707604018E-3</v>
      </c>
    </row>
    <row r="51" spans="5:20" ht="11.25" customHeight="1" x14ac:dyDescent="0.2">
      <c r="E51" s="172"/>
      <c r="F51" s="172"/>
      <c r="G51" s="39"/>
      <c r="J51" s="39"/>
      <c r="K51" s="39"/>
      <c r="P51" s="407">
        <f>_xll.qlCalendarAdvance(Calendar,P50,"1D","f")</f>
        <v>42026</v>
      </c>
      <c r="Q51" s="262">
        <f>_xll.qlInterpolationInterpolate($M$1,P51,TRUE)</f>
        <v>1.2628060414632599E-3</v>
      </c>
    </row>
    <row r="52" spans="5:20" ht="11.25" customHeight="1" x14ac:dyDescent="0.2">
      <c r="E52" s="172"/>
      <c r="F52" s="172"/>
      <c r="G52" s="39"/>
      <c r="J52" s="39"/>
      <c r="K52" s="39"/>
      <c r="P52" s="407">
        <f>_xll.qlCalendarAdvance(Calendar,P51,"1D","f")</f>
        <v>42027</v>
      </c>
      <c r="Q52" s="262">
        <f>_xll.qlInterpolationInterpolate($M$1,P52,TRUE)</f>
        <v>1.2647038397433081E-3</v>
      </c>
    </row>
    <row r="53" spans="5:20" ht="11.25" customHeight="1" x14ac:dyDescent="0.2">
      <c r="E53" s="172"/>
      <c r="F53" s="172"/>
      <c r="G53" s="39"/>
      <c r="J53" s="39"/>
      <c r="K53" s="39"/>
      <c r="P53" s="407">
        <f>_xll.qlCalendarAdvance(Calendar,P52,"1D","f")</f>
        <v>42030</v>
      </c>
      <c r="Q53" s="262">
        <f>_xll.qlInterpolationInterpolate($M$1,P53,TRUE)</f>
        <v>1.2702448479659388E-3</v>
      </c>
    </row>
    <row r="54" spans="5:20" ht="11.25" customHeight="1" x14ac:dyDescent="0.2">
      <c r="E54" s="172"/>
      <c r="F54" s="172"/>
      <c r="G54" s="39"/>
      <c r="J54" s="39"/>
      <c r="K54" s="39"/>
      <c r="P54" s="407">
        <f>_xll.qlCalendarAdvance(Calendar,P53,"1D","f")</f>
        <v>42031</v>
      </c>
      <c r="Q54" s="262">
        <f>_xll.qlInterpolationInterpolate($M$1,P54,TRUE)</f>
        <v>1.272042204474093E-3</v>
      </c>
    </row>
    <row r="55" spans="5:20" ht="11.25" customHeight="1" x14ac:dyDescent="0.2">
      <c r="E55" s="172"/>
      <c r="F55" s="172"/>
      <c r="G55" s="39"/>
      <c r="J55" s="39"/>
      <c r="K55" s="39"/>
      <c r="P55" s="407">
        <f>_xll.qlCalendarAdvance(Calendar,P54,"1D","f")</f>
        <v>42032</v>
      </c>
      <c r="Q55" s="262">
        <f>_xll.qlInterpolationInterpolate($M$1,P55,TRUE)</f>
        <v>1.2738153125191104E-3</v>
      </c>
    </row>
    <row r="56" spans="5:20" ht="11.25" customHeight="1" x14ac:dyDescent="0.2">
      <c r="E56" s="172"/>
      <c r="F56" s="172"/>
      <c r="G56" s="39"/>
      <c r="J56" s="39"/>
      <c r="K56" s="39"/>
      <c r="P56" s="407">
        <f>_xll.qlCalendarAdvance(Calendar,P55,"1D","f")</f>
        <v>42033</v>
      </c>
      <c r="Q56" s="262">
        <f>_xll.qlInterpolationInterpolate($M$1,P56,TRUE)</f>
        <v>1.2755645168929252E-3</v>
      </c>
    </row>
    <row r="57" spans="5:20" ht="11.25" customHeight="1" x14ac:dyDescent="0.2">
      <c r="E57" s="172"/>
      <c r="F57" s="172"/>
      <c r="G57" s="39"/>
      <c r="J57" s="39"/>
      <c r="K57" s="39"/>
      <c r="P57" s="407">
        <f>_xll.qlCalendarAdvance(Calendar,P56,"1D","f")</f>
        <v>42034</v>
      </c>
      <c r="Q57" s="262">
        <f>_xll.qlInterpolationInterpolate($M$1,P57,TRUE)</f>
        <v>1.2772901623874723E-3</v>
      </c>
    </row>
    <row r="58" spans="5:20" ht="11.25" customHeight="1" x14ac:dyDescent="0.2">
      <c r="E58" s="172"/>
      <c r="F58" s="172"/>
      <c r="G58" s="39"/>
      <c r="J58" s="39"/>
      <c r="K58" s="39"/>
      <c r="P58" s="407">
        <f>_xll.qlCalendarAdvance(Calendar,P57,"1D","f")</f>
        <v>42037</v>
      </c>
      <c r="Q58" s="262">
        <f>_xll.qlInterpolationInterpolate($M$1,P58,TRUE)</f>
        <v>1.2823291935148522E-3</v>
      </c>
    </row>
    <row r="59" spans="5:20" ht="11.25" customHeight="1" x14ac:dyDescent="0.2">
      <c r="E59" s="172"/>
      <c r="F59" s="172"/>
      <c r="G59" s="39"/>
      <c r="J59" s="39"/>
      <c r="K59" s="39"/>
      <c r="P59" s="407">
        <f>_xll.qlCalendarAdvance(Calendar,P58,"1D","f")</f>
        <v>42038</v>
      </c>
      <c r="Q59" s="262">
        <f>_xll.qlInterpolationInterpolate($M$1,P59,TRUE)</f>
        <v>1.2839640514116736E-3</v>
      </c>
    </row>
    <row r="60" spans="5:20" ht="11.25" customHeight="1" x14ac:dyDescent="0.2">
      <c r="E60" s="172"/>
      <c r="F60" s="172"/>
      <c r="G60" s="39"/>
      <c r="J60" s="39"/>
      <c r="K60" s="39"/>
      <c r="P60" s="407">
        <f>_xll.qlCalendarAdvance(Calendar,P59,"1D","f")</f>
        <v>42039</v>
      </c>
      <c r="Q60" s="262">
        <f>_xll.qlInterpolationInterpolate($M$1,P60,TRUE)</f>
        <v>1.2855770743889002E-3</v>
      </c>
    </row>
    <row r="61" spans="5:20" ht="11.25" customHeight="1" x14ac:dyDescent="0.2">
      <c r="E61" s="172"/>
      <c r="F61" s="172"/>
      <c r="G61" s="39"/>
      <c r="J61" s="39"/>
      <c r="K61" s="39"/>
      <c r="P61" s="407">
        <f>_xll.qlCalendarAdvance(Calendar,P60,"1D","f")</f>
        <v>42040</v>
      </c>
      <c r="Q61" s="262">
        <f>_xll.qlInterpolationInterpolate($M$1,P61,TRUE)</f>
        <v>1.2871686072384665E-3</v>
      </c>
    </row>
    <row r="62" spans="5:20" ht="11.25" customHeight="1" x14ac:dyDescent="0.2">
      <c r="E62" s="172"/>
      <c r="F62" s="172"/>
      <c r="G62" s="39"/>
      <c r="J62" s="39"/>
      <c r="K62" s="39"/>
      <c r="P62" s="407">
        <f>_xll.qlCalendarAdvance(Calendar,P61,"1D","f")</f>
        <v>42041</v>
      </c>
      <c r="Q62" s="262">
        <f>_xll.qlInterpolationInterpolate($M$1,P62,TRUE)</f>
        <v>1.288738994752307E-3</v>
      </c>
    </row>
    <row r="63" spans="5:20" ht="11.25" customHeight="1" x14ac:dyDescent="0.2">
      <c r="E63" s="172"/>
      <c r="F63" s="172"/>
      <c r="G63" s="39"/>
      <c r="J63" s="39"/>
      <c r="K63" s="39"/>
      <c r="P63" s="407">
        <f>_xll.qlCalendarAdvance(Calendar,P62,"1D","f")</f>
        <v>42044</v>
      </c>
      <c r="Q63" s="262">
        <f>_xll.qlInterpolationInterpolate($M$1,P63,TRUE)</f>
        <v>1.2933267331988198E-3</v>
      </c>
      <c r="T63" s="36" t="s">
        <v>134</v>
      </c>
    </row>
    <row r="64" spans="5:20" ht="11.25" customHeight="1" x14ac:dyDescent="0.2">
      <c r="E64" s="172"/>
      <c r="F64" s="172"/>
      <c r="G64" s="39"/>
      <c r="J64" s="39"/>
      <c r="K64" s="39"/>
      <c r="P64" s="407">
        <f>_xll.qlCalendarAdvance(Calendar,P63,"1D","f")</f>
        <v>42045</v>
      </c>
      <c r="Q64" s="262">
        <f>_xll.qlInterpolationInterpolate($M$1,P64,TRUE)</f>
        <v>1.2948159872891033E-3</v>
      </c>
    </row>
    <row r="65" spans="5:17" ht="11.25" customHeight="1" x14ac:dyDescent="0.2">
      <c r="E65" s="172"/>
      <c r="F65" s="172"/>
      <c r="G65" s="39"/>
      <c r="J65" s="39"/>
      <c r="K65" s="39"/>
      <c r="P65" s="407">
        <f>_xll.qlCalendarAdvance(Calendar,P64,"1D","f")</f>
        <v>42046</v>
      </c>
      <c r="Q65" s="262">
        <f>_xll.qlInterpolationInterpolate($M$1,P65,TRUE)</f>
        <v>1.2962858200033338E-3</v>
      </c>
    </row>
    <row r="66" spans="5:17" ht="11.25" customHeight="1" x14ac:dyDescent="0.2">
      <c r="E66" s="172"/>
      <c r="F66" s="172"/>
      <c r="G66" s="39"/>
      <c r="J66" s="39"/>
      <c r="K66" s="39"/>
      <c r="P66" s="407">
        <f>_xll.qlCalendarAdvance(Calendar,P65,"1D","f")</f>
        <v>42047</v>
      </c>
      <c r="Q66" s="262">
        <f>_xll.qlInterpolationInterpolate($M$1,P66,TRUE)</f>
        <v>1.2977365761334459E-3</v>
      </c>
    </row>
    <row r="67" spans="5:17" ht="11.25" customHeight="1" x14ac:dyDescent="0.2">
      <c r="E67" s="172"/>
      <c r="F67" s="172"/>
      <c r="G67" s="39"/>
      <c r="J67" s="39"/>
      <c r="K67" s="39"/>
      <c r="P67" s="407">
        <f>_xll.qlCalendarAdvance(Calendar,P66,"1D","f")</f>
        <v>42048</v>
      </c>
      <c r="Q67" s="262">
        <f>_xll.qlInterpolationInterpolate($M$1,P67,TRUE)</f>
        <v>1.2991686004713745E-3</v>
      </c>
    </row>
    <row r="68" spans="5:17" ht="11.25" customHeight="1" x14ac:dyDescent="0.2">
      <c r="E68" s="172"/>
      <c r="F68" s="172"/>
      <c r="G68" s="39"/>
      <c r="J68" s="39"/>
      <c r="K68" s="39"/>
      <c r="P68" s="407">
        <f>_xll.qlCalendarAdvance(Calendar,P67,"1D","f")</f>
        <v>42051</v>
      </c>
      <c r="Q68" s="262">
        <f>_xll.qlInterpolationInterpolate($M$1,P68,TRUE)</f>
        <v>1.3033557306514041E-3</v>
      </c>
    </row>
    <row r="69" spans="5:17" ht="11.25" customHeight="1" x14ac:dyDescent="0.2">
      <c r="E69" s="172"/>
      <c r="F69" s="172"/>
      <c r="G69" s="39"/>
      <c r="J69" s="39"/>
      <c r="K69" s="39"/>
      <c r="P69" s="407">
        <f>_xll.qlCalendarAdvance(Calendar,P68,"1D","f")</f>
        <v>42052</v>
      </c>
      <c r="Q69" s="262">
        <f>_xll.qlInterpolationInterpolate($M$1,P69,TRUE)</f>
        <v>1.3047162757399439E-3</v>
      </c>
    </row>
    <row r="70" spans="5:17" ht="11.25" customHeight="1" x14ac:dyDescent="0.2">
      <c r="E70" s="172"/>
      <c r="F70" s="172"/>
      <c r="G70" s="39"/>
      <c r="J70" s="39"/>
      <c r="K70" s="39"/>
      <c r="P70" s="407">
        <f>_xll.qlCalendarAdvance(Calendar,P69,"1D","f")</f>
        <v>42053</v>
      </c>
      <c r="Q70" s="262">
        <f>_xll.qlInterpolationInterpolate($M$1,P70,TRUE)</f>
        <v>1.3060598129959731E-3</v>
      </c>
    </row>
    <row r="71" spans="5:17" ht="11.25" customHeight="1" x14ac:dyDescent="0.2">
      <c r="E71" s="172"/>
      <c r="F71" s="172"/>
      <c r="G71" s="39"/>
      <c r="J71" s="39"/>
      <c r="K71" s="39"/>
      <c r="P71" s="407">
        <f>_xll.qlCalendarAdvance(Calendar,P70,"1D","f")</f>
        <v>42054</v>
      </c>
      <c r="Q71" s="262">
        <f>_xll.qlInterpolationInterpolate($M$1,P71,TRUE)</f>
        <v>1.3073866872114258E-3</v>
      </c>
    </row>
    <row r="72" spans="5:17" ht="11.25" customHeight="1" x14ac:dyDescent="0.2">
      <c r="E72" s="172"/>
      <c r="F72" s="172"/>
      <c r="G72" s="39"/>
      <c r="J72" s="39"/>
      <c r="K72" s="39"/>
      <c r="P72" s="407">
        <f>_xll.qlCalendarAdvance(Calendar,P71,"1D","f")</f>
        <v>42055</v>
      </c>
      <c r="Q72" s="262">
        <f>_xll.qlInterpolationInterpolate($M$1,P72,TRUE)</f>
        <v>1.308697243178237E-3</v>
      </c>
    </row>
    <row r="73" spans="5:17" ht="11.25" customHeight="1" x14ac:dyDescent="0.2">
      <c r="E73" s="172"/>
      <c r="F73" s="172"/>
      <c r="G73" s="39"/>
      <c r="J73" s="39"/>
      <c r="K73" s="39"/>
      <c r="P73" s="407">
        <f>_xll.qlCalendarAdvance(Calendar,P72,"1D","f")</f>
        <v>42058</v>
      </c>
      <c r="Q73" s="262">
        <f>_xll.qlInterpolationInterpolate($M$1,P73,TRUE)</f>
        <v>1.3125344495061673E-3</v>
      </c>
    </row>
    <row r="74" spans="5:17" ht="11.25" customHeight="1" x14ac:dyDescent="0.2">
      <c r="E74" s="172"/>
      <c r="F74" s="172"/>
      <c r="G74" s="39"/>
      <c r="J74" s="39"/>
      <c r="K74" s="39"/>
      <c r="P74" s="407">
        <f>_xll.qlCalendarAdvance(Calendar,P73,"1D","f")</f>
        <v>42059</v>
      </c>
      <c r="Q74" s="262">
        <f>_xll.qlInterpolationInterpolate($M$1,P74,TRUE)</f>
        <v>1.3137831803977582E-3</v>
      </c>
    </row>
    <row r="75" spans="5:17" ht="11.25" customHeight="1" x14ac:dyDescent="0.2">
      <c r="E75" s="172"/>
      <c r="F75" s="172"/>
      <c r="G75" s="39"/>
      <c r="J75" s="39"/>
      <c r="K75" s="39"/>
      <c r="P75" s="407">
        <f>_xll.qlCalendarAdvance(Calendar,P74,"1D","f")</f>
        <v>42060</v>
      </c>
      <c r="Q75" s="262">
        <f>_xll.qlInterpolationInterpolate($M$1,P75,TRUE)</f>
        <v>1.3150173170003803E-3</v>
      </c>
    </row>
    <row r="76" spans="5:17" ht="11.25" customHeight="1" x14ac:dyDescent="0.2">
      <c r="E76" s="172"/>
      <c r="F76" s="172"/>
      <c r="G76" s="39"/>
      <c r="J76" s="39"/>
      <c r="K76" s="39"/>
      <c r="P76" s="407">
        <f>_xll.qlCalendarAdvance(Calendar,P75,"1D","f")</f>
        <v>42061</v>
      </c>
      <c r="Q76" s="262">
        <f>_xll.qlInterpolationInterpolate($M$1,P76,TRUE)</f>
        <v>1.3162372041059683E-3</v>
      </c>
    </row>
    <row r="77" spans="5:17" ht="11.25" customHeight="1" x14ac:dyDescent="0.2">
      <c r="E77" s="172"/>
      <c r="F77" s="172"/>
      <c r="G77" s="39"/>
      <c r="J77" s="39"/>
      <c r="K77" s="39"/>
      <c r="P77" s="407">
        <f>_xll.qlCalendarAdvance(Calendar,P76,"1D","f")</f>
        <v>42062</v>
      </c>
      <c r="Q77" s="262">
        <f>_xll.qlInterpolationInterpolate($M$1,P77,TRUE)</f>
        <v>1.3174431865064567E-3</v>
      </c>
    </row>
    <row r="78" spans="5:17" ht="11.25" customHeight="1" x14ac:dyDescent="0.2">
      <c r="E78" s="172"/>
      <c r="F78" s="172"/>
      <c r="G78" s="39"/>
      <c r="J78" s="39"/>
      <c r="K78" s="39"/>
      <c r="P78" s="407">
        <f>_xll.qlCalendarAdvance(Calendar,P77,"1D","f")</f>
        <v>42065</v>
      </c>
      <c r="Q78" s="262">
        <f>_xll.qlInterpolationInterpolate($M$1,P78,TRUE)</f>
        <v>1.3209811533966714E-3</v>
      </c>
    </row>
    <row r="79" spans="5:17" ht="11.25" customHeight="1" x14ac:dyDescent="0.2">
      <c r="E79" s="172"/>
      <c r="F79" s="172"/>
      <c r="G79" s="39"/>
      <c r="J79" s="39"/>
      <c r="K79" s="39"/>
      <c r="P79" s="407">
        <f>_xll.qlCalendarAdvance(Calendar,P78,"1D","f")</f>
        <v>42066</v>
      </c>
      <c r="Q79" s="262">
        <f>_xll.qlInterpolationInterpolate($M$1,P79,TRUE)</f>
        <v>1.3221349648961077E-3</v>
      </c>
    </row>
    <row r="80" spans="5:17" ht="11.25" customHeight="1" x14ac:dyDescent="0.2">
      <c r="E80" s="172"/>
      <c r="F80" s="172"/>
      <c r="G80" s="39"/>
      <c r="J80" s="39"/>
      <c r="K80" s="39"/>
      <c r="P80" s="407">
        <f>_xll.qlCalendarAdvance(Calendar,P79,"1D","f")</f>
        <v>42067</v>
      </c>
      <c r="Q80" s="262">
        <f>_xll.qlInterpolationInterpolate($M$1,P80,TRUE)</f>
        <v>1.3232765956501175E-3</v>
      </c>
    </row>
    <row r="81" spans="5:17" ht="11.25" customHeight="1" x14ac:dyDescent="0.2">
      <c r="E81" s="172"/>
      <c r="F81" s="172"/>
      <c r="G81" s="39"/>
      <c r="J81" s="39"/>
      <c r="K81" s="39"/>
      <c r="P81" s="407">
        <f>_xll.qlCalendarAdvance(Calendar,P80,"1D","f")</f>
        <v>42068</v>
      </c>
      <c r="Q81" s="262">
        <f>_xll.qlInterpolationInterpolate($M$1,P81,TRUE)</f>
        <v>1.3244063904506353E-3</v>
      </c>
    </row>
    <row r="82" spans="5:17" ht="11.25" customHeight="1" x14ac:dyDescent="0.2">
      <c r="E82" s="172"/>
      <c r="F82" s="172"/>
      <c r="G82" s="39"/>
      <c r="J82" s="39"/>
      <c r="K82" s="39"/>
      <c r="P82" s="407">
        <f>_xll.qlCalendarAdvance(Calendar,P81,"1D","f")</f>
        <v>42069</v>
      </c>
      <c r="Q82" s="262">
        <f>_xll.qlInterpolationInterpolate($M$1,P82,TRUE)</f>
        <v>1.3255246940895959E-3</v>
      </c>
    </row>
    <row r="83" spans="5:17" ht="11.25" customHeight="1" x14ac:dyDescent="0.2">
      <c r="E83" s="172"/>
      <c r="F83" s="172"/>
      <c r="G83" s="39"/>
      <c r="J83" s="39"/>
      <c r="K83" s="39"/>
      <c r="P83" s="407">
        <f>_xll.qlCalendarAdvance(Calendar,P82,"1D","f")</f>
        <v>42072</v>
      </c>
      <c r="Q83" s="262">
        <f>_xll.qlInterpolationInterpolate($M$1,P83,TRUE)</f>
        <v>1.3288141059564786E-3</v>
      </c>
    </row>
    <row r="84" spans="5:17" ht="11.25" customHeight="1" x14ac:dyDescent="0.2">
      <c r="E84" s="172"/>
      <c r="F84" s="172"/>
      <c r="G84" s="39"/>
      <c r="J84" s="39"/>
      <c r="K84" s="39"/>
      <c r="P84" s="407">
        <f>_xll.qlCalendarAdvance(Calendar,P83,"1D","f")</f>
        <v>42073</v>
      </c>
      <c r="Q84" s="262">
        <f>_xll.qlInterpolationInterpolate($M$1,P84,TRUE)</f>
        <v>1.3298898928685552E-3</v>
      </c>
    </row>
    <row r="85" spans="5:17" ht="11.25" customHeight="1" x14ac:dyDescent="0.2">
      <c r="E85" s="172"/>
      <c r="F85" s="172"/>
      <c r="G85" s="39"/>
      <c r="J85" s="39"/>
      <c r="K85" s="39"/>
      <c r="P85" s="407">
        <f>_xll.qlCalendarAdvance(Calendar,P84,"1D","f")</f>
        <v>42074</v>
      </c>
      <c r="Q85" s="262">
        <f>_xll.qlInterpolationInterpolate($M$1,P85,TRUE)</f>
        <v>1.3309559125787474E-3</v>
      </c>
    </row>
    <row r="86" spans="5:17" ht="11.25" customHeight="1" x14ac:dyDescent="0.2">
      <c r="E86" s="172"/>
      <c r="F86" s="172"/>
      <c r="G86" s="39"/>
      <c r="J86" s="39"/>
      <c r="K86" s="39"/>
      <c r="P86" s="407">
        <f>_xll.qlCalendarAdvance(Calendar,P85,"1D","f")</f>
        <v>42075</v>
      </c>
      <c r="Q86" s="262">
        <f>_xll.qlInterpolationInterpolate($M$1,P86,TRUE)</f>
        <v>1.3320125098789895E-3</v>
      </c>
    </row>
    <row r="87" spans="5:17" ht="11.25" customHeight="1" x14ac:dyDescent="0.2">
      <c r="E87" s="172"/>
      <c r="F87" s="172"/>
      <c r="G87" s="39"/>
      <c r="J87" s="39"/>
      <c r="K87" s="39"/>
      <c r="P87" s="407">
        <f>_xll.qlCalendarAdvance(Calendar,P86,"1D","f")</f>
        <v>42076</v>
      </c>
      <c r="Q87" s="262">
        <f>_xll.qlInterpolationInterpolate($M$1,P87,TRUE)</f>
        <v>1.3330600295612164E-3</v>
      </c>
    </row>
    <row r="88" spans="5:17" ht="11.25" customHeight="1" x14ac:dyDescent="0.2">
      <c r="E88" s="172"/>
      <c r="F88" s="172"/>
      <c r="G88" s="39"/>
      <c r="J88" s="39"/>
      <c r="K88" s="39"/>
      <c r="P88" s="407">
        <f>_xll.qlCalendarAdvance(Calendar,P87,"1D","f")</f>
        <v>42079</v>
      </c>
      <c r="Q88" s="262">
        <f>_xll.qlInterpolationInterpolate($M$1,P88,TRUE)</f>
        <v>1.3361515708191511E-3</v>
      </c>
    </row>
    <row r="89" spans="5:17" ht="11.25" customHeight="1" x14ac:dyDescent="0.2">
      <c r="E89" s="172"/>
      <c r="F89" s="172"/>
      <c r="G89" s="39"/>
      <c r="J89" s="39"/>
      <c r="K89" s="39"/>
      <c r="P89" s="407">
        <f>_xll.qlCalendarAdvance(Calendar,P88,"1D","f")</f>
        <v>42080</v>
      </c>
      <c r="Q89" s="262">
        <f>_xll.qlInterpolationInterpolate($M$1,P89,TRUE)</f>
        <v>1.3371662279486624E-3</v>
      </c>
    </row>
    <row r="90" spans="5:17" ht="11.25" customHeight="1" x14ac:dyDescent="0.2">
      <c r="E90" s="172"/>
      <c r="F90" s="172"/>
      <c r="G90" s="39"/>
      <c r="J90" s="39"/>
      <c r="K90" s="39"/>
      <c r="P90" s="407">
        <f>_xll.qlCalendarAdvance(Calendar,P89,"1D","f")</f>
        <v>42081</v>
      </c>
      <c r="Q90" s="262">
        <f>_xll.qlInterpolationInterpolate($M$1,P90,TRUE)</f>
        <v>1.3381735314198315E-3</v>
      </c>
    </row>
    <row r="91" spans="5:17" ht="11.25" customHeight="1" x14ac:dyDescent="0.2">
      <c r="E91" s="172"/>
      <c r="F91" s="172"/>
      <c r="G91" s="39"/>
      <c r="J91" s="39"/>
      <c r="K91" s="39"/>
      <c r="P91" s="407">
        <f>_xll.qlCalendarAdvance(Calendar,P90,"1D","f")</f>
        <v>42082</v>
      </c>
      <c r="Q91" s="262">
        <f>_xll.qlInterpolationInterpolate($M$1,P91,TRUE)</f>
        <v>1.3391737896954821E-3</v>
      </c>
    </row>
    <row r="92" spans="5:17" ht="11.25" customHeight="1" x14ac:dyDescent="0.2">
      <c r="E92" s="172"/>
      <c r="F92" s="172"/>
      <c r="G92" s="39"/>
      <c r="J92" s="39"/>
      <c r="K92" s="39"/>
      <c r="P92" s="407">
        <f>_xll.qlCalendarAdvance(Calendar,P91,"1D","f")</f>
        <v>42083</v>
      </c>
      <c r="Q92" s="262">
        <f>_xll.qlInterpolationInterpolate($M$1,P92,TRUE)</f>
        <v>1.3401671659219949E-3</v>
      </c>
    </row>
    <row r="93" spans="5:17" ht="11.25" customHeight="1" x14ac:dyDescent="0.2">
      <c r="E93" s="172"/>
      <c r="F93" s="172"/>
      <c r="G93" s="39"/>
      <c r="J93" s="39"/>
      <c r="K93" s="39"/>
      <c r="P93" s="407">
        <f>_xll.qlCalendarAdvance(Calendar,P92,"1D","f")</f>
        <v>42086</v>
      </c>
      <c r="Q93" s="262">
        <f>_xll.qlInterpolationInterpolate($M$1,P93,TRUE)</f>
        <v>1.3431072704794089E-3</v>
      </c>
    </row>
    <row r="94" spans="5:17" ht="11.25" customHeight="1" x14ac:dyDescent="0.2">
      <c r="E94" s="172"/>
      <c r="F94" s="172"/>
      <c r="G94" s="39"/>
      <c r="J94" s="39"/>
      <c r="K94" s="39"/>
      <c r="P94" s="407">
        <f>_xll.qlCalendarAdvance(Calendar,P93,"1D","f")</f>
        <v>42087</v>
      </c>
      <c r="Q94" s="262">
        <f>_xll.qlInterpolationInterpolate($M$1,P94,TRUE)</f>
        <v>1.3440743866820724E-3</v>
      </c>
    </row>
    <row r="95" spans="5:17" ht="11.25" customHeight="1" x14ac:dyDescent="0.2">
      <c r="E95" s="172"/>
      <c r="F95" s="172"/>
      <c r="G95" s="39"/>
      <c r="J95" s="39"/>
      <c r="K95" s="39"/>
      <c r="P95" s="407">
        <f>_xll.qlCalendarAdvance(Calendar,P94,"1D","f")</f>
        <v>42088</v>
      </c>
      <c r="Q95" s="262">
        <f>_xll.qlInterpolationInterpolate($M$1,P95,TRUE)</f>
        <v>1.3450352549219493E-3</v>
      </c>
    </row>
    <row r="96" spans="5:17" ht="11.25" customHeight="1" x14ac:dyDescent="0.2">
      <c r="E96" s="172"/>
      <c r="F96" s="172"/>
      <c r="G96" s="39"/>
      <c r="J96" s="39"/>
      <c r="K96" s="39"/>
      <c r="P96" s="407">
        <f>_xll.qlCalendarAdvance(Calendar,P95,"1D","f")</f>
        <v>42089</v>
      </c>
      <c r="Q96" s="262">
        <f>_xll.qlInterpolationInterpolate($M$1,P96,TRUE)</f>
        <v>1.3459900020163092E-3</v>
      </c>
    </row>
    <row r="97" spans="5:17" ht="11.25" customHeight="1" x14ac:dyDescent="0.2">
      <c r="E97" s="172"/>
      <c r="F97" s="172"/>
      <c r="G97" s="39"/>
      <c r="J97" s="39"/>
      <c r="K97" s="39"/>
      <c r="P97" s="407">
        <f>_xll.qlCalendarAdvance(Calendar,P96,"1D","f")</f>
        <v>42090</v>
      </c>
      <c r="Q97" s="262">
        <f>_xll.qlInterpolationInterpolate($M$1,P97,TRUE)</f>
        <v>1.3469387547824228E-3</v>
      </c>
    </row>
    <row r="98" spans="5:17" ht="11.25" customHeight="1" x14ac:dyDescent="0.2">
      <c r="E98" s="172"/>
      <c r="F98" s="172"/>
      <c r="G98" s="39"/>
      <c r="J98" s="39"/>
      <c r="K98" s="39"/>
      <c r="P98" s="407">
        <f>_xll.qlCalendarAdvance(Calendar,P97,"1D","f")</f>
        <v>42093</v>
      </c>
      <c r="Q98" s="262">
        <f>_xll.qlInterpolationInterpolate($M$1,P98,TRUE)</f>
        <v>1.3497503152839852E-3</v>
      </c>
    </row>
    <row r="99" spans="5:17" ht="11.25" customHeight="1" x14ac:dyDescent="0.2">
      <c r="E99" s="172"/>
      <c r="F99" s="172"/>
      <c r="G99" s="39"/>
      <c r="J99" s="39"/>
      <c r="K99" s="39"/>
      <c r="P99" s="407">
        <f>_xll.qlCalendarAdvance(Calendar,P98,"1D","f")</f>
        <v>42094</v>
      </c>
      <c r="Q99" s="262">
        <f>_xll.qlInterpolationInterpolate($M$1,P99,TRUE)</f>
        <v>1.3506763589098139E-3</v>
      </c>
    </row>
    <row r="100" spans="5:17" ht="11.25" customHeight="1" x14ac:dyDescent="0.2">
      <c r="E100" s="172"/>
      <c r="F100" s="172"/>
      <c r="G100" s="39"/>
      <c r="J100" s="39"/>
      <c r="K100" s="39"/>
      <c r="P100" s="407">
        <f>_xll.qlCalendarAdvance(Calendar,P99,"1D","f")</f>
        <v>42095</v>
      </c>
      <c r="Q100" s="262">
        <f>_xll.qlInterpolationInterpolate($M$1,P100,TRUE)</f>
        <v>1.3515970422937468E-3</v>
      </c>
    </row>
    <row r="101" spans="5:17" ht="11.25" customHeight="1" x14ac:dyDescent="0.2">
      <c r="E101" s="172"/>
      <c r="F101" s="172"/>
      <c r="G101" s="39"/>
      <c r="J101" s="39"/>
      <c r="K101" s="39"/>
      <c r="P101" s="407">
        <f>_xll.qlCalendarAdvance(Calendar,P100,"1D","f")</f>
        <v>42096</v>
      </c>
      <c r="Q101" s="262">
        <f>_xll.qlInterpolationInterpolate($M$1,P101,TRUE)</f>
        <v>1.352512492253054E-3</v>
      </c>
    </row>
    <row r="102" spans="5:17" ht="11.25" customHeight="1" x14ac:dyDescent="0.2">
      <c r="E102" s="172"/>
      <c r="F102" s="172"/>
      <c r="G102" s="39"/>
      <c r="J102" s="39"/>
      <c r="K102" s="39"/>
      <c r="P102" s="407">
        <f>_xll.qlCalendarAdvance(Calendar,P101,"1D","f")</f>
        <v>42101</v>
      </c>
      <c r="Q102" s="262">
        <f>_xll.qlInterpolationInterpolate($M$1,P102,TRUE)</f>
        <v>1.3570156792846605E-3</v>
      </c>
    </row>
    <row r="103" spans="5:17" ht="11.25" customHeight="1" x14ac:dyDescent="0.2">
      <c r="E103" s="172"/>
      <c r="F103" s="172"/>
      <c r="G103" s="39"/>
      <c r="J103" s="39"/>
      <c r="K103" s="39"/>
      <c r="P103" s="407">
        <f>_xll.qlCalendarAdvance(Calendar,P102,"1D","f")</f>
        <v>42102</v>
      </c>
      <c r="Q103" s="262">
        <f>_xll.qlInterpolationInterpolate($M$1,P103,TRUE)</f>
        <v>1.3579023918588869E-3</v>
      </c>
    </row>
    <row r="104" spans="5:17" ht="11.25" customHeight="1" x14ac:dyDescent="0.2">
      <c r="E104" s="172"/>
      <c r="F104" s="172"/>
      <c r="G104" s="39"/>
      <c r="J104" s="39"/>
      <c r="K104" s="39"/>
      <c r="P104" s="407">
        <f>_xll.qlCalendarAdvance(Calendar,P103,"1D","f")</f>
        <v>42103</v>
      </c>
      <c r="Q104" s="262">
        <f>_xll.qlInterpolationInterpolate($M$1,P104,TRUE)</f>
        <v>1.3587847587293788E-3</v>
      </c>
    </row>
    <row r="105" spans="5:17" ht="11.25" customHeight="1" x14ac:dyDescent="0.2">
      <c r="E105" s="172"/>
      <c r="F105" s="172"/>
      <c r="G105" s="39"/>
      <c r="J105" s="39"/>
      <c r="K105" s="39"/>
      <c r="P105" s="407">
        <f>_xll.qlCalendarAdvance(Calendar,P104,"1D","f")</f>
        <v>42104</v>
      </c>
      <c r="Q105" s="262">
        <f>_xll.qlInterpolationInterpolate($M$1,P105,TRUE)</f>
        <v>1.3596629067134064E-3</v>
      </c>
    </row>
    <row r="106" spans="5:17" ht="11.25" customHeight="1" x14ac:dyDescent="0.2">
      <c r="E106" s="172"/>
      <c r="F106" s="172"/>
      <c r="G106" s="39"/>
      <c r="J106" s="39"/>
      <c r="K106" s="39"/>
      <c r="P106" s="407">
        <f>_xll.qlCalendarAdvance(Calendar,P105,"1D","f")</f>
        <v>42107</v>
      </c>
      <c r="Q106" s="262">
        <f>_xll.qlInterpolationInterpolate($M$1,P106,TRUE)</f>
        <v>1.3622733055194038E-3</v>
      </c>
    </row>
    <row r="107" spans="5:17" ht="11.25" customHeight="1" x14ac:dyDescent="0.2">
      <c r="E107" s="172"/>
      <c r="F107" s="172"/>
      <c r="G107" s="39"/>
      <c r="J107" s="39"/>
      <c r="K107" s="39"/>
      <c r="P107" s="407">
        <f>_xll.qlCalendarAdvance(Calendar,P106,"1D","f")</f>
        <v>42108</v>
      </c>
      <c r="Q107" s="262">
        <f>_xll.qlInterpolationInterpolate($M$1,P107,TRUE)</f>
        <v>1.3631358461302751E-3</v>
      </c>
    </row>
    <row r="108" spans="5:17" ht="11.25" customHeight="1" x14ac:dyDescent="0.2">
      <c r="E108" s="172"/>
      <c r="F108" s="172"/>
      <c r="G108" s="39"/>
      <c r="J108" s="39"/>
      <c r="K108" s="39"/>
      <c r="P108" s="407">
        <f>_xll.qlCalendarAdvance(Calendar,P107,"1D","f")</f>
        <v>42109</v>
      </c>
      <c r="Q108" s="262">
        <f>_xll.qlInterpolationInterpolate($M$1,P108,TRUE)</f>
        <v>1.3639948019410328E-3</v>
      </c>
    </row>
    <row r="109" spans="5:17" ht="11.25" customHeight="1" x14ac:dyDescent="0.2">
      <c r="E109" s="172"/>
      <c r="F109" s="172"/>
      <c r="G109" s="39"/>
      <c r="J109" s="39"/>
      <c r="K109" s="39"/>
      <c r="P109" s="407">
        <f>_xll.qlCalendarAdvance(Calendar,P108,"1D","f")</f>
        <v>42110</v>
      </c>
      <c r="Q109" s="262">
        <f>_xll.qlInterpolationInterpolate($M$1,P109,TRUE)</f>
        <v>1.364850299768947E-3</v>
      </c>
    </row>
    <row r="110" spans="5:17" ht="11.25" customHeight="1" x14ac:dyDescent="0.2">
      <c r="E110" s="172"/>
      <c r="F110" s="172"/>
      <c r="G110" s="39"/>
      <c r="J110" s="39"/>
      <c r="K110" s="39"/>
      <c r="P110" s="407">
        <f>_xll.qlCalendarAdvance(Calendar,P109,"1D","f")</f>
        <v>42111</v>
      </c>
      <c r="Q110" s="262">
        <f>_xll.qlInterpolationInterpolate($M$1,P110,TRUE)</f>
        <v>1.365702466431288E-3</v>
      </c>
    </row>
    <row r="111" spans="5:17" ht="11.25" customHeight="1" x14ac:dyDescent="0.2">
      <c r="E111" s="172"/>
      <c r="F111" s="172"/>
      <c r="G111" s="39"/>
      <c r="J111" s="39"/>
      <c r="K111" s="39"/>
      <c r="P111" s="407">
        <f>_xll.qlCalendarAdvance(Calendar,P110,"1D","f")</f>
        <v>42114</v>
      </c>
      <c r="Q111" s="262">
        <f>_xll.qlInterpolationInterpolate($M$1,P111,TRUE)</f>
        <v>1.3682402475975722E-3</v>
      </c>
    </row>
    <row r="112" spans="5:17" ht="11.25" customHeight="1" x14ac:dyDescent="0.2">
      <c r="E112" s="172"/>
      <c r="F112" s="172"/>
      <c r="G112" s="39"/>
      <c r="J112" s="39"/>
      <c r="K112" s="39"/>
      <c r="P112" s="407">
        <f>_xll.qlCalendarAdvance(Calendar,P111,"1D","f")</f>
        <v>42115</v>
      </c>
      <c r="Q112" s="262">
        <f>_xll.qlInterpolationInterpolate($M$1,P112,TRUE)</f>
        <v>1.3690803577703211E-3</v>
      </c>
    </row>
    <row r="113" spans="5:17" ht="11.25" customHeight="1" x14ac:dyDescent="0.2">
      <c r="E113" s="172"/>
      <c r="F113" s="172"/>
      <c r="G113" s="39"/>
      <c r="J113" s="39"/>
      <c r="K113" s="39"/>
      <c r="P113" s="407">
        <f>_xll.qlCalendarAdvance(Calendar,P112,"1D","f")</f>
        <v>42116</v>
      </c>
      <c r="Q113" s="262">
        <f>_xll.qlInterpolationInterpolate($M$1,P113,TRUE)</f>
        <v>1.3699177708638476E-3</v>
      </c>
    </row>
    <row r="114" spans="5:17" ht="11.25" customHeight="1" x14ac:dyDescent="0.2">
      <c r="E114" s="172"/>
      <c r="F114" s="172"/>
      <c r="G114" s="39"/>
      <c r="J114" s="39"/>
      <c r="K114" s="39"/>
      <c r="P114" s="407">
        <f>_xll.qlCalendarAdvance(Calendar,P113,"1D","f")</f>
        <v>42117</v>
      </c>
      <c r="Q114" s="262">
        <f>_xll.qlInterpolationInterpolate($M$1,P114,TRUE)</f>
        <v>1.3707526136954218E-3</v>
      </c>
    </row>
    <row r="115" spans="5:17" ht="11.25" customHeight="1" x14ac:dyDescent="0.2">
      <c r="E115" s="172"/>
      <c r="F115" s="172"/>
      <c r="G115" s="39"/>
      <c r="J115" s="39"/>
      <c r="K115" s="39"/>
      <c r="P115" s="407">
        <f>_xll.qlCalendarAdvance(Calendar,P114,"1D","f")</f>
        <v>42118</v>
      </c>
      <c r="Q115" s="262">
        <f>_xll.qlInterpolationInterpolate($M$1,P115,TRUE)</f>
        <v>1.3715850130823135E-3</v>
      </c>
    </row>
    <row r="116" spans="5:17" ht="11.25" customHeight="1" x14ac:dyDescent="0.2">
      <c r="E116" s="172"/>
      <c r="F116" s="172"/>
      <c r="G116" s="39"/>
      <c r="J116" s="39"/>
      <c r="K116" s="39"/>
      <c r="P116" s="407">
        <f>_xll.qlCalendarAdvance(Calendar,P115,"1D","f")</f>
        <v>42121</v>
      </c>
      <c r="Q116" s="262">
        <f>_xll.qlInterpolationInterpolate($M$1,P116,TRUE)</f>
        <v>1.3740688187475971E-3</v>
      </c>
    </row>
    <row r="117" spans="5:17" ht="11.25" customHeight="1" x14ac:dyDescent="0.2">
      <c r="E117" s="172"/>
      <c r="F117" s="172"/>
      <c r="G117" s="39"/>
      <c r="J117" s="39"/>
      <c r="K117" s="39"/>
      <c r="P117" s="407">
        <f>_xll.qlCalendarAdvance(Calendar,P116,"1D","f")</f>
        <v>42122</v>
      </c>
      <c r="Q117" s="262">
        <f>_xll.qlInterpolationInterpolate($M$1,P117,TRUE)</f>
        <v>1.3748927125284613E-3</v>
      </c>
    </row>
    <row r="118" spans="5:17" ht="11.25" customHeight="1" x14ac:dyDescent="0.2">
      <c r="E118" s="172"/>
      <c r="F118" s="172"/>
      <c r="G118" s="39"/>
      <c r="J118" s="39"/>
      <c r="K118" s="39"/>
      <c r="P118" s="407">
        <f>_xll.qlCalendarAdvance(Calendar,P117,"1D","f")</f>
        <v>42123</v>
      </c>
      <c r="Q118" s="262">
        <f>_xll.qlInterpolationInterpolate($M$1,P118,TRUE)</f>
        <v>1.3757147969509942E-3</v>
      </c>
    </row>
    <row r="119" spans="5:17" ht="11.25" customHeight="1" x14ac:dyDescent="0.2">
      <c r="E119" s="172"/>
      <c r="F119" s="172"/>
      <c r="G119" s="39"/>
      <c r="J119" s="39"/>
      <c r="K119" s="39"/>
      <c r="P119" s="407">
        <f>_xll.qlCalendarAdvance(Calendar,P118,"1D","f")</f>
        <v>42124</v>
      </c>
      <c r="Q119" s="262">
        <f>_xll.qlInterpolationInterpolate($M$1,P119,TRUE)</f>
        <v>1.3765351988324656E-3</v>
      </c>
    </row>
    <row r="120" spans="5:17" ht="11.25" customHeight="1" x14ac:dyDescent="0.2">
      <c r="E120" s="172"/>
      <c r="F120" s="172"/>
      <c r="G120" s="39"/>
      <c r="J120" s="39"/>
      <c r="K120" s="39"/>
      <c r="P120" s="407">
        <f>_xll.qlCalendarAdvance(Calendar,P119,"1D","f")</f>
        <v>42128</v>
      </c>
      <c r="Q120" s="262">
        <f>_xll.qlInterpolationInterpolate($M$1,P120,TRUE)</f>
        <v>1.3798025172931416E-3</v>
      </c>
    </row>
    <row r="121" spans="5:17" ht="11.25" customHeight="1" x14ac:dyDescent="0.2">
      <c r="E121" s="172"/>
      <c r="F121" s="172"/>
      <c r="G121" s="39"/>
      <c r="J121" s="39"/>
      <c r="K121" s="39"/>
      <c r="P121" s="407">
        <f>_xll.qlCalendarAdvance(Calendar,P120,"1D","f")</f>
        <v>42129</v>
      </c>
      <c r="Q121" s="262">
        <f>_xll.qlInterpolationInterpolate($M$1,P121,TRUE)</f>
        <v>1.3806164087283588E-3</v>
      </c>
    </row>
    <row r="122" spans="5:17" ht="11.25" customHeight="1" x14ac:dyDescent="0.2">
      <c r="E122" s="172"/>
      <c r="F122" s="172"/>
      <c r="G122" s="39"/>
      <c r="J122" s="39"/>
      <c r="K122" s="39"/>
      <c r="P122" s="407">
        <f>_xll.qlCalendarAdvance(Calendar,P121,"1D","f")</f>
        <v>42130</v>
      </c>
      <c r="Q122" s="262">
        <f>_xll.qlInterpolationInterpolate($M$1,P122,TRUE)</f>
        <v>1.3814293785261356E-3</v>
      </c>
    </row>
    <row r="123" spans="5:17" ht="11.25" customHeight="1" x14ac:dyDescent="0.2">
      <c r="E123" s="172"/>
      <c r="F123" s="172"/>
      <c r="G123" s="39"/>
      <c r="J123" s="39"/>
      <c r="K123" s="39"/>
      <c r="P123" s="407">
        <f>_xll.qlCalendarAdvance(Calendar,P122,"1D","f")</f>
        <v>42131</v>
      </c>
      <c r="Q123" s="262">
        <f>_xll.qlInterpolationInterpolate($M$1,P123,TRUE)</f>
        <v>1.3822415535037422E-3</v>
      </c>
    </row>
    <row r="124" spans="5:17" ht="11.25" customHeight="1" x14ac:dyDescent="0.2">
      <c r="E124" s="172"/>
      <c r="F124" s="172"/>
      <c r="G124" s="39"/>
      <c r="J124" s="39"/>
      <c r="K124" s="39"/>
      <c r="P124" s="407">
        <f>_xll.qlCalendarAdvance(Calendar,P123,"1D","f")</f>
        <v>42132</v>
      </c>
      <c r="Q124" s="262">
        <f>_xll.qlInterpolationInterpolate($M$1,P124,TRUE)</f>
        <v>1.3830530604784486E-3</v>
      </c>
    </row>
    <row r="125" spans="5:17" ht="11.25" customHeight="1" x14ac:dyDescent="0.2">
      <c r="E125" s="172"/>
      <c r="F125" s="172"/>
      <c r="G125" s="39"/>
      <c r="J125" s="39"/>
      <c r="K125" s="39"/>
      <c r="P125" s="407">
        <f>_xll.qlCalendarAdvance(Calendar,P124,"1D","f")</f>
        <v>42135</v>
      </c>
      <c r="Q125" s="262">
        <f>_xll.qlInterpolationInterpolate($M$1,P125,TRUE)</f>
        <v>1.3854848415578689E-3</v>
      </c>
    </row>
    <row r="126" spans="5:17" ht="11.25" customHeight="1" x14ac:dyDescent="0.2">
      <c r="E126" s="172"/>
      <c r="F126" s="172"/>
      <c r="G126" s="39"/>
      <c r="J126" s="39"/>
      <c r="K126" s="39"/>
      <c r="P126" s="407">
        <f>_xll.qlCalendarAdvance(Calendar,P125,"1D","f")</f>
        <v>42136</v>
      </c>
      <c r="Q126" s="262">
        <f>_xll.qlInterpolationInterpolate($M$1,P126,TRUE)</f>
        <v>1.3862949446936765E-3</v>
      </c>
    </row>
    <row r="127" spans="5:17" ht="11.25" customHeight="1" x14ac:dyDescent="0.2">
      <c r="E127" s="172"/>
      <c r="F127" s="172"/>
      <c r="G127" s="39"/>
      <c r="J127" s="39"/>
      <c r="K127" s="39"/>
      <c r="P127" s="407">
        <f>_xll.qlCalendarAdvance(Calendar,P126,"1D","f")</f>
        <v>42137</v>
      </c>
      <c r="Q127" s="262">
        <f>_xll.qlInterpolationInterpolate($M$1,P127,TRUE)</f>
        <v>1.3871050139129348E-3</v>
      </c>
    </row>
    <row r="128" spans="5:17" ht="11.25" customHeight="1" x14ac:dyDescent="0.2">
      <c r="E128" s="172"/>
      <c r="F128" s="172"/>
      <c r="G128" s="39"/>
      <c r="J128" s="39"/>
      <c r="K128" s="39"/>
      <c r="P128" s="407">
        <f>_xll.qlCalendarAdvance(Calendar,P127,"1D","f")</f>
        <v>42138</v>
      </c>
      <c r="Q128" s="262">
        <f>_xll.qlInterpolationInterpolate($M$1,P128,TRUE)</f>
        <v>1.3879151760329139E-3</v>
      </c>
    </row>
    <row r="129" spans="5:17" ht="11.25" customHeight="1" x14ac:dyDescent="0.2">
      <c r="E129" s="172"/>
      <c r="F129" s="172"/>
      <c r="G129" s="39"/>
      <c r="J129" s="39"/>
      <c r="K129" s="39"/>
      <c r="P129" s="407">
        <f>_xll.qlCalendarAdvance(Calendar,P128,"1D","f")</f>
        <v>42139</v>
      </c>
      <c r="Q129" s="262">
        <f>_xll.qlInterpolationInterpolate($M$1,P129,TRUE)</f>
        <v>1.388725557870884E-3</v>
      </c>
    </row>
    <row r="130" spans="5:17" ht="11.25" customHeight="1" x14ac:dyDescent="0.2">
      <c r="E130" s="172"/>
      <c r="F130" s="172"/>
      <c r="G130" s="39"/>
      <c r="J130" s="39"/>
      <c r="K130" s="39"/>
      <c r="P130" s="407">
        <f>_xll.qlCalendarAdvance(Calendar,P129,"1D","f")</f>
        <v>42142</v>
      </c>
      <c r="Q130" s="262">
        <f>_xll.qlInterpolationInterpolate($M$1,P130,TRUE)</f>
        <v>1.3911592898654419E-3</v>
      </c>
    </row>
    <row r="131" spans="5:17" ht="11.25" customHeight="1" x14ac:dyDescent="0.2">
      <c r="E131" s="172"/>
      <c r="F131" s="172"/>
      <c r="G131" s="39"/>
      <c r="J131" s="39"/>
      <c r="K131" s="39"/>
      <c r="P131" s="407">
        <f>_xll.qlCalendarAdvance(Calendar,P130,"1D","f")</f>
        <v>42143</v>
      </c>
      <c r="Q131" s="262">
        <f>_xll.qlInterpolationInterpolate($M$1,P131,TRUE)</f>
        <v>1.3919718187480775E-3</v>
      </c>
    </row>
    <row r="132" spans="5:17" ht="11.25" customHeight="1" x14ac:dyDescent="0.2">
      <c r="E132" s="172"/>
      <c r="F132" s="172"/>
      <c r="G132" s="39"/>
      <c r="J132" s="39"/>
      <c r="K132" s="39"/>
      <c r="P132" s="407">
        <f>_xll.qlCalendarAdvance(Calendar,P131,"1D","f")</f>
        <v>42144</v>
      </c>
      <c r="Q132" s="262">
        <f>_xll.qlInterpolationInterpolate($M$1,P132,TRUE)</f>
        <v>1.392785201435055E-3</v>
      </c>
    </row>
    <row r="133" spans="5:17" ht="11.25" customHeight="1" x14ac:dyDescent="0.2">
      <c r="E133" s="172"/>
      <c r="F133" s="172"/>
      <c r="G133" s="39"/>
      <c r="J133" s="39"/>
      <c r="K133" s="39"/>
      <c r="P133" s="407">
        <f>_xll.qlCalendarAdvance(Calendar,P132,"1D","f")</f>
        <v>42145</v>
      </c>
      <c r="Q133" s="262">
        <f>_xll.qlInterpolationInterpolate($M$1,P133,TRUE)</f>
        <v>1.3935995647436441E-3</v>
      </c>
    </row>
    <row r="134" spans="5:17" ht="11.25" customHeight="1" x14ac:dyDescent="0.2">
      <c r="E134" s="172"/>
      <c r="F134" s="172"/>
      <c r="G134" s="39"/>
      <c r="J134" s="39"/>
      <c r="K134" s="39"/>
      <c r="P134" s="407">
        <f>_xll.qlCalendarAdvance(Calendar,P133,"1D","f")</f>
        <v>42146</v>
      </c>
      <c r="Q134" s="262">
        <f>_xll.qlInterpolationInterpolate($M$1,P134,TRUE)</f>
        <v>1.3944150354911154E-3</v>
      </c>
    </row>
    <row r="135" spans="5:17" ht="11.25" customHeight="1" x14ac:dyDescent="0.2">
      <c r="E135" s="172"/>
      <c r="F135" s="172"/>
      <c r="G135" s="39"/>
      <c r="J135" s="39"/>
      <c r="K135" s="39"/>
      <c r="P135" s="407">
        <f>_xll.qlCalendarAdvance(Calendar,P134,"1D","f")</f>
        <v>42149</v>
      </c>
      <c r="Q135" s="262">
        <f>_xll.qlInterpolationInterpolate($M$1,P135,TRUE)</f>
        <v>1.3968693605395236E-3</v>
      </c>
    </row>
    <row r="136" spans="5:17" ht="11.25" customHeight="1" x14ac:dyDescent="0.2">
      <c r="E136" s="172"/>
      <c r="F136" s="172"/>
      <c r="G136" s="39"/>
      <c r="J136" s="39"/>
      <c r="K136" s="39"/>
      <c r="P136" s="407">
        <f>_xll.qlCalendarAdvance(Calendar,P135,"1D","f")</f>
        <v>42150</v>
      </c>
      <c r="Q136" s="262">
        <f>_xll.qlInterpolationInterpolate($M$1,P136,TRUE)</f>
        <v>1.3976905292152249E-3</v>
      </c>
    </row>
    <row r="137" spans="5:17" ht="11.25" customHeight="1" x14ac:dyDescent="0.2">
      <c r="E137" s="172"/>
      <c r="F137" s="172"/>
      <c r="G137" s="39"/>
      <c r="J137" s="39"/>
      <c r="K137" s="39"/>
      <c r="P137" s="407">
        <f>_xll.qlCalendarAdvance(Calendar,P136,"1D","f")</f>
        <v>42151</v>
      </c>
      <c r="Q137" s="262">
        <f>_xll.qlInterpolationInterpolate($M$1,P137,TRUE)</f>
        <v>1.3985134394161589E-3</v>
      </c>
    </row>
    <row r="138" spans="5:17" ht="11.25" customHeight="1" x14ac:dyDescent="0.2">
      <c r="E138" s="172"/>
      <c r="F138" s="172"/>
      <c r="G138" s="39"/>
      <c r="J138" s="39"/>
      <c r="K138" s="39"/>
      <c r="P138" s="407">
        <f>_xll.qlCalendarAdvance(Calendar,P137,"1D","f")</f>
        <v>42152</v>
      </c>
      <c r="Q138" s="262">
        <f>_xll.qlInterpolationInterpolate($M$1,P138,TRUE)</f>
        <v>1.3993382179595959E-3</v>
      </c>
    </row>
    <row r="139" spans="5:17" ht="11.25" customHeight="1" x14ac:dyDescent="0.2">
      <c r="E139" s="172"/>
      <c r="F139" s="172"/>
      <c r="G139" s="39"/>
      <c r="J139" s="39"/>
      <c r="K139" s="39"/>
      <c r="P139" s="407">
        <f>_xll.qlCalendarAdvance(Calendar,P138,"1D","f")</f>
        <v>42153</v>
      </c>
      <c r="Q139" s="262">
        <f>_xll.qlInterpolationInterpolate($M$1,P139,TRUE)</f>
        <v>1.4001649916628061E-3</v>
      </c>
    </row>
    <row r="140" spans="5:17" ht="11.25" customHeight="1" x14ac:dyDescent="0.2">
      <c r="E140" s="172"/>
      <c r="F140" s="172"/>
      <c r="G140" s="39"/>
      <c r="J140" s="39"/>
      <c r="K140" s="39"/>
      <c r="P140" s="407">
        <f>_xll.qlCalendarAdvance(Calendar,P139,"1D","f")</f>
        <v>42156</v>
      </c>
      <c r="Q140" s="262">
        <f>_xll.qlInterpolationInterpolate($M$1,P140,TRUE)</f>
        <v>1.4026585519037772E-3</v>
      </c>
    </row>
    <row r="141" spans="5:17" ht="11.25" customHeight="1" x14ac:dyDescent="0.2">
      <c r="E141" s="172"/>
      <c r="F141" s="172"/>
      <c r="G141" s="39"/>
      <c r="J141" s="39"/>
      <c r="K141" s="39"/>
      <c r="P141" s="407">
        <f>_xll.qlCalendarAdvance(Calendar,P140,"1D","f")</f>
        <v>42157</v>
      </c>
      <c r="Q141" s="262">
        <f>_xll.qlInterpolationInterpolate($M$1,P141,TRUE)</f>
        <v>1.4034945744187816E-3</v>
      </c>
    </row>
    <row r="142" spans="5:17" ht="11.25" customHeight="1" x14ac:dyDescent="0.2">
      <c r="E142" s="172"/>
      <c r="F142" s="172"/>
      <c r="G142" s="39"/>
      <c r="J142" s="39"/>
      <c r="K142" s="39"/>
      <c r="P142" s="407">
        <f>_xll.qlCalendarAdvance(Calendar,P141,"1D","f")</f>
        <v>42158</v>
      </c>
      <c r="Q142" s="262">
        <f>_xll.qlInterpolationInterpolate($M$1,P142,TRUE)</f>
        <v>1.4043332261799097E-3</v>
      </c>
    </row>
    <row r="143" spans="5:17" ht="11.25" customHeight="1" x14ac:dyDescent="0.2">
      <c r="E143" s="172"/>
      <c r="F143" s="172"/>
      <c r="G143" s="39"/>
      <c r="J143" s="39"/>
      <c r="K143" s="39"/>
      <c r="P143" s="407">
        <f>_xll.qlCalendarAdvance(Calendar,P142,"1D","f")</f>
        <v>42159</v>
      </c>
      <c r="Q143" s="262">
        <f>_xll.qlInterpolationInterpolate($M$1,P143,TRUE)</f>
        <v>1.4051746340044322E-3</v>
      </c>
    </row>
    <row r="144" spans="5:17" ht="11.25" customHeight="1" x14ac:dyDescent="0.2">
      <c r="E144" s="172"/>
      <c r="F144" s="172"/>
      <c r="G144" s="39"/>
      <c r="J144" s="39"/>
      <c r="K144" s="39"/>
      <c r="P144" s="407">
        <f>_xll.qlCalendarAdvance(Calendar,P143,"1D","f")</f>
        <v>42160</v>
      </c>
      <c r="Q144" s="262">
        <f>_xll.qlInterpolationInterpolate($M$1,P144,TRUE)</f>
        <v>1.4060189247096188E-3</v>
      </c>
    </row>
    <row r="145" spans="5:17" ht="11.25" customHeight="1" x14ac:dyDescent="0.2">
      <c r="E145" s="172"/>
      <c r="F145" s="172"/>
      <c r="G145" s="39"/>
      <c r="J145" s="39"/>
      <c r="K145" s="39"/>
      <c r="P145" s="407">
        <f>_xll.qlCalendarAdvance(Calendar,P144,"1D","f")</f>
        <v>42163</v>
      </c>
      <c r="Q145" s="262">
        <f>_xll.qlInterpolationInterpolate($M$1,P145,TRUE)</f>
        <v>1.4085703622818656E-3</v>
      </c>
    </row>
    <row r="146" spans="5:17" ht="11.25" customHeight="1" x14ac:dyDescent="0.2">
      <c r="E146" s="172"/>
      <c r="F146" s="172"/>
      <c r="G146" s="39"/>
      <c r="J146" s="39"/>
      <c r="K146" s="39"/>
      <c r="P146" s="407">
        <f>_xll.qlCalendarAdvance(Calendar,P145,"1D","f")</f>
        <v>42164</v>
      </c>
      <c r="Q146" s="262">
        <f>_xll.qlInterpolationInterpolate($M$1,P146,TRUE)</f>
        <v>1.4094274526824106E-3</v>
      </c>
    </row>
    <row r="147" spans="5:17" ht="11.25" customHeight="1" x14ac:dyDescent="0.2">
      <c r="E147" s="172"/>
      <c r="F147" s="172"/>
      <c r="G147" s="39"/>
      <c r="J147" s="39"/>
      <c r="K147" s="39"/>
      <c r="P147" s="407">
        <f>_xll.qlCalendarAdvance(Calendar,P146,"1D","f")</f>
        <v>42165</v>
      </c>
      <c r="Q147" s="262">
        <f>_xll.qlInterpolationInterpolate($M$1,P147,TRUE)</f>
        <v>1.4102880600499706E-3</v>
      </c>
    </row>
    <row r="148" spans="5:17" ht="11.25" customHeight="1" x14ac:dyDescent="0.2">
      <c r="E148" s="172"/>
      <c r="F148" s="172"/>
      <c r="G148" s="39"/>
      <c r="J148" s="39"/>
      <c r="K148" s="39"/>
      <c r="P148" s="407">
        <f>_xll.qlCalendarAdvance(Calendar,P147,"1D","f")</f>
        <v>42166</v>
      </c>
      <c r="Q148" s="262">
        <f>_xll.qlInterpolationInterpolate($M$1,P148,TRUE)</f>
        <v>1.411152311201816E-3</v>
      </c>
    </row>
    <row r="149" spans="5:17" ht="11.25" customHeight="1" x14ac:dyDescent="0.2">
      <c r="E149" s="172"/>
      <c r="F149" s="172"/>
      <c r="G149" s="39"/>
      <c r="J149" s="39"/>
      <c r="K149" s="39"/>
      <c r="P149" s="407">
        <f>_xll.qlCalendarAdvance(Calendar,P148,"1D","f")</f>
        <v>42167</v>
      </c>
      <c r="Q149" s="262">
        <f>_xll.qlInterpolationInterpolate($M$1,P149,TRUE)</f>
        <v>1.4120203329552165E-3</v>
      </c>
    </row>
    <row r="150" spans="5:17" ht="11.25" customHeight="1" x14ac:dyDescent="0.2">
      <c r="E150" s="172"/>
      <c r="F150" s="172"/>
      <c r="G150" s="39"/>
      <c r="J150" s="39"/>
      <c r="K150" s="39"/>
      <c r="P150" s="407">
        <f>_xll.qlCalendarAdvance(Calendar,P149,"1D","f")</f>
        <v>42170</v>
      </c>
      <c r="Q150" s="262">
        <f>_xll.qlInterpolationInterpolate($M$1,P150,TRUE)</f>
        <v>1.4146482899974515E-3</v>
      </c>
    </row>
    <row r="151" spans="5:17" ht="11.25" customHeight="1" x14ac:dyDescent="0.2">
      <c r="E151" s="172"/>
      <c r="F151" s="172"/>
      <c r="G151" s="39"/>
      <c r="J151" s="39"/>
      <c r="K151" s="39"/>
      <c r="P151" s="407">
        <f>_xll.qlCalendarAdvance(Calendar,P150,"1D","f")</f>
        <v>42171</v>
      </c>
      <c r="Q151" s="262">
        <f>_xll.qlInterpolationInterpolate($M$1,P151,TRUE)</f>
        <v>1.415532662329775E-3</v>
      </c>
    </row>
    <row r="152" spans="5:17" ht="11.25" customHeight="1" x14ac:dyDescent="0.2">
      <c r="E152" s="172"/>
      <c r="F152" s="172"/>
      <c r="G152" s="39"/>
      <c r="J152" s="39"/>
      <c r="K152" s="39"/>
      <c r="P152" s="407">
        <f>_xll.qlCalendarAdvance(Calendar,P151,"1D","f")</f>
        <v>42172</v>
      </c>
      <c r="Q152" s="262">
        <f>_xll.qlInterpolationInterpolate($M$1,P152,TRUE)</f>
        <v>1.4164214393500045E-3</v>
      </c>
    </row>
    <row r="153" spans="5:17" ht="11.25" customHeight="1" x14ac:dyDescent="0.2">
      <c r="E153" s="172"/>
      <c r="F153" s="172"/>
      <c r="G153" s="39"/>
      <c r="J153" s="39"/>
      <c r="K153" s="39"/>
      <c r="P153" s="407">
        <f>_xll.qlCalendarAdvance(Calendar,P152,"1D","f")</f>
        <v>42173</v>
      </c>
      <c r="Q153" s="262">
        <f>_xll.qlInterpolationInterpolate($M$1,P153,TRUE)</f>
        <v>1.4173147107986431E-3</v>
      </c>
    </row>
    <row r="154" spans="5:17" ht="11.25" customHeight="1" x14ac:dyDescent="0.2">
      <c r="E154" s="172"/>
      <c r="F154" s="172"/>
      <c r="G154" s="39"/>
      <c r="J154" s="39"/>
      <c r="K154" s="39"/>
      <c r="P154" s="407">
        <f>_xll.qlCalendarAdvance(Calendar,P153,"1D","f")</f>
        <v>42174</v>
      </c>
      <c r="Q154" s="262">
        <f>_xll.qlInterpolationInterpolate($M$1,P154,TRUE)</f>
        <v>1.4182124181091255E-3</v>
      </c>
    </row>
    <row r="155" spans="5:17" ht="11.25" customHeight="1" x14ac:dyDescent="0.2">
      <c r="E155" s="172"/>
      <c r="F155" s="172"/>
      <c r="G155" s="39"/>
      <c r="J155" s="39"/>
      <c r="K155" s="39"/>
      <c r="P155" s="407">
        <f>_xll.qlCalendarAdvance(Calendar,P154,"1D","f")</f>
        <v>42177</v>
      </c>
      <c r="Q155" s="262">
        <f>_xll.qlInterpolationInterpolate($M$1,P155,TRUE)</f>
        <v>1.4209311987783116E-3</v>
      </c>
    </row>
    <row r="156" spans="5:17" ht="11.25" customHeight="1" x14ac:dyDescent="0.2">
      <c r="E156" s="172"/>
      <c r="F156" s="172"/>
      <c r="G156" s="39"/>
      <c r="J156" s="39"/>
      <c r="K156" s="39"/>
      <c r="P156" s="407">
        <f>_xll.qlCalendarAdvance(Calendar,P155,"1D","f")</f>
        <v>42178</v>
      </c>
      <c r="Q156" s="262">
        <f>_xll.qlInterpolationInterpolate($M$1,P156,TRUE)</f>
        <v>1.421845693102845E-3</v>
      </c>
    </row>
    <row r="157" spans="5:17" ht="11.25" customHeight="1" x14ac:dyDescent="0.2">
      <c r="E157" s="172"/>
      <c r="F157" s="172"/>
      <c r="G157" s="39"/>
      <c r="J157" s="39"/>
      <c r="K157" s="39"/>
      <c r="P157" s="407">
        <f>_xll.qlCalendarAdvance(Calendar,P156,"1D","f")</f>
        <v>42179</v>
      </c>
      <c r="Q157" s="262">
        <f>_xll.qlInterpolationInterpolate($M$1,P157,TRUE)</f>
        <v>1.4227641450725601E-3</v>
      </c>
    </row>
    <row r="158" spans="5:17" ht="11.25" customHeight="1" x14ac:dyDescent="0.2">
      <c r="E158" s="172"/>
      <c r="F158" s="172"/>
      <c r="G158" s="39"/>
      <c r="J158" s="39"/>
      <c r="K158" s="39"/>
      <c r="P158" s="407">
        <f>_xll.qlCalendarAdvance(Calendar,P157,"1D","f")</f>
        <v>42180</v>
      </c>
      <c r="Q158" s="262">
        <f>_xll.qlInterpolationInterpolate($M$1,P158,TRUE)</f>
        <v>1.4236864590441245E-3</v>
      </c>
    </row>
    <row r="159" spans="5:17" ht="11.25" customHeight="1" x14ac:dyDescent="0.2">
      <c r="E159" s="172"/>
      <c r="F159" s="172"/>
      <c r="G159" s="39"/>
      <c r="J159" s="39"/>
      <c r="K159" s="39"/>
      <c r="P159" s="407">
        <f>_xll.qlCalendarAdvance(Calendar,P158,"1D","f")</f>
        <v>42181</v>
      </c>
      <c r="Q159" s="262">
        <f>_xll.qlInterpolationInterpolate($M$1,P159,TRUE)</f>
        <v>1.4246125393742057E-3</v>
      </c>
    </row>
    <row r="160" spans="5:17" ht="11.25" customHeight="1" x14ac:dyDescent="0.2">
      <c r="E160" s="172"/>
      <c r="F160" s="172"/>
      <c r="G160" s="39"/>
      <c r="J160" s="39"/>
      <c r="K160" s="39"/>
      <c r="P160" s="407">
        <f>_xll.qlCalendarAdvance(Calendar,P159,"1D","f")</f>
        <v>42184</v>
      </c>
      <c r="Q160" s="262">
        <f>_xll.qlInterpolationInterpolate($M$1,P160,TRUE)</f>
        <v>1.4274124220822262E-3</v>
      </c>
    </row>
    <row r="161" spans="5:17" ht="11.25" customHeight="1" x14ac:dyDescent="0.2">
      <c r="E161" s="172"/>
      <c r="F161" s="172"/>
      <c r="G161" s="39"/>
      <c r="J161" s="39"/>
      <c r="K161" s="39"/>
      <c r="P161" s="407">
        <f>_xll.qlCalendarAdvance(Calendar,P160,"1D","f")</f>
        <v>42185</v>
      </c>
      <c r="Q161" s="262">
        <f>_xll.qlInterpolationInterpolate($M$1,P161,TRUE)</f>
        <v>1.4283526114130505E-3</v>
      </c>
    </row>
    <row r="162" spans="5:17" ht="11.25" customHeight="1" x14ac:dyDescent="0.2">
      <c r="E162" s="172"/>
      <c r="F162" s="172"/>
      <c r="G162" s="39"/>
      <c r="J162" s="39"/>
      <c r="K162" s="39"/>
      <c r="P162" s="407">
        <f>_xll.qlCalendarAdvance(Calendar,P161,"1D","f")</f>
        <v>42186</v>
      </c>
      <c r="Q162" s="262">
        <f>_xll.qlInterpolationInterpolate($M$1,P162,TRUE)</f>
        <v>1.4292960888857295E-3</v>
      </c>
    </row>
    <row r="163" spans="5:17" ht="11.25" customHeight="1" x14ac:dyDescent="0.2">
      <c r="E163" s="172"/>
      <c r="F163" s="172"/>
      <c r="G163" s="39"/>
      <c r="J163" s="39"/>
      <c r="K163" s="39"/>
      <c r="P163" s="407">
        <f>_xll.qlCalendarAdvance(Calendar,P162,"1D","f")</f>
        <v>42187</v>
      </c>
      <c r="Q163" s="262">
        <f>_xll.qlInterpolationInterpolate($M$1,P163,TRUE)</f>
        <v>1.4302427588569308E-3</v>
      </c>
    </row>
    <row r="164" spans="5:17" ht="11.25" customHeight="1" x14ac:dyDescent="0.2">
      <c r="E164" s="172"/>
      <c r="F164" s="172"/>
      <c r="G164" s="39"/>
      <c r="J164" s="39"/>
      <c r="K164" s="39"/>
      <c r="P164" s="407">
        <f>_xll.qlCalendarAdvance(Calendar,P163,"1D","f")</f>
        <v>42188</v>
      </c>
      <c r="Q164" s="262">
        <f>_xll.qlInterpolationInterpolate($M$1,P164,TRUE)</f>
        <v>1.4311925256833219E-3</v>
      </c>
    </row>
    <row r="165" spans="5:17" ht="11.25" customHeight="1" x14ac:dyDescent="0.2">
      <c r="E165" s="172"/>
      <c r="F165" s="172"/>
      <c r="G165" s="39"/>
      <c r="J165" s="39"/>
      <c r="K165" s="39"/>
      <c r="P165" s="407">
        <f>_xll.qlCalendarAdvance(Calendar,P164,"1D","f")</f>
        <v>42191</v>
      </c>
      <c r="Q165" s="262">
        <f>_xll.qlInterpolationInterpolate($M$1,P165,TRUE)</f>
        <v>1.4340594508603104E-3</v>
      </c>
    </row>
    <row r="166" spans="5:17" ht="11.25" customHeight="1" x14ac:dyDescent="0.2">
      <c r="E166" s="172"/>
      <c r="F166" s="172"/>
      <c r="G166" s="39"/>
      <c r="J166" s="39"/>
      <c r="K166" s="39"/>
      <c r="P166" s="407">
        <f>_xll.qlCalendarAdvance(Calendar,P165,"1D","f")</f>
        <v>42192</v>
      </c>
      <c r="Q166" s="262">
        <f>_xll.qlInterpolationInterpolate($M$1,P166,TRUE)</f>
        <v>1.4350206486741365E-3</v>
      </c>
    </row>
    <row r="167" spans="5:17" ht="11.25" customHeight="1" x14ac:dyDescent="0.2">
      <c r="E167" s="172"/>
      <c r="F167" s="172"/>
      <c r="G167" s="39"/>
      <c r="J167" s="39"/>
      <c r="K167" s="39"/>
      <c r="P167" s="407">
        <f>_xll.qlCalendarAdvance(Calendar,P166,"1D","f")</f>
        <v>42193</v>
      </c>
      <c r="Q167" s="262">
        <f>_xll.qlInterpolationInterpolate($M$1,P167,TRUE)</f>
        <v>1.4359844651264907E-3</v>
      </c>
    </row>
    <row r="168" spans="5:17" ht="11.25" customHeight="1" x14ac:dyDescent="0.2">
      <c r="E168" s="172"/>
      <c r="F168" s="172"/>
      <c r="G168" s="39"/>
      <c r="J168" s="39"/>
      <c r="K168" s="39"/>
      <c r="P168" s="407">
        <f>_xll.qlCalendarAdvance(Calendar,P167,"1D","f")</f>
        <v>42194</v>
      </c>
      <c r="Q168" s="262">
        <f>_xll.qlInterpolationInterpolate($M$1,P168,TRUE)</f>
        <v>1.43695080457404E-3</v>
      </c>
    </row>
    <row r="169" spans="5:17" ht="11.25" customHeight="1" x14ac:dyDescent="0.2">
      <c r="E169" s="172"/>
      <c r="F169" s="172"/>
      <c r="G169" s="39"/>
      <c r="J169" s="39"/>
      <c r="K169" s="39"/>
      <c r="P169" s="407">
        <f>_xll.qlCalendarAdvance(Calendar,P168,"1D","f")</f>
        <v>42195</v>
      </c>
      <c r="Q169" s="262">
        <f>_xll.qlInterpolationInterpolate($M$1,P169,TRUE)</f>
        <v>1.437919571373452E-3</v>
      </c>
    </row>
    <row r="170" spans="5:17" ht="11.25" customHeight="1" x14ac:dyDescent="0.2">
      <c r="E170" s="172"/>
      <c r="F170" s="172"/>
      <c r="G170" s="39"/>
      <c r="J170" s="39"/>
      <c r="K170" s="39"/>
      <c r="P170" s="407">
        <f>_xll.qlCalendarAdvance(Calendar,P169,"1D","f")</f>
        <v>42198</v>
      </c>
      <c r="Q170" s="262">
        <f>_xll.qlInterpolationInterpolate($M$1,P170,TRUE)</f>
        <v>1.4408394794495417E-3</v>
      </c>
    </row>
    <row r="171" spans="5:17" ht="11.25" customHeight="1" x14ac:dyDescent="0.2">
      <c r="E171" s="172"/>
      <c r="F171" s="172"/>
      <c r="G171" s="39"/>
      <c r="J171" s="39"/>
      <c r="K171" s="39"/>
      <c r="P171" s="407">
        <f>_xll.qlCalendarAdvance(Calendar,P170,"1D","f")</f>
        <v>42199</v>
      </c>
      <c r="Q171" s="262">
        <f>_xll.qlInterpolationInterpolate($M$1,P171,TRUE)</f>
        <v>1.4418169992230811E-3</v>
      </c>
    </row>
    <row r="172" spans="5:17" ht="11.25" customHeight="1" x14ac:dyDescent="0.2">
      <c r="E172" s="172"/>
      <c r="F172" s="172"/>
      <c r="G172" s="39"/>
      <c r="J172" s="39"/>
      <c r="K172" s="39"/>
      <c r="P172" s="407">
        <f>_xll.qlCalendarAdvance(Calendar,P171,"1D","f")</f>
        <v>42200</v>
      </c>
      <c r="Q172" s="262">
        <f>_xll.qlInterpolationInterpolate($M$1,P172,TRUE)</f>
        <v>1.4427964681318212E-3</v>
      </c>
    </row>
    <row r="173" spans="5:17" ht="11.25" customHeight="1" x14ac:dyDescent="0.2">
      <c r="E173" s="172"/>
      <c r="F173" s="172"/>
      <c r="G173" s="39"/>
      <c r="J173" s="39"/>
      <c r="K173" s="39"/>
      <c r="P173" s="407">
        <f>_xll.qlCalendarAdvance(Calendar,P172,"1D","f")</f>
        <v>42201</v>
      </c>
      <c r="Q173" s="262">
        <f>_xll.qlInterpolationInterpolate($M$1,P173,TRUE)</f>
        <v>1.4437777905324295E-3</v>
      </c>
    </row>
    <row r="174" spans="5:17" ht="11.25" customHeight="1" x14ac:dyDescent="0.2">
      <c r="E174" s="172"/>
      <c r="F174" s="172"/>
      <c r="G174" s="39"/>
      <c r="J174" s="39"/>
      <c r="K174" s="39"/>
      <c r="P174" s="407">
        <f>_xll.qlCalendarAdvance(Calendar,P173,"1D","f")</f>
        <v>42202</v>
      </c>
      <c r="Q174" s="262">
        <f>_xll.qlInterpolationInterpolate($M$1,P174,TRUE)</f>
        <v>1.4447608707815738E-3</v>
      </c>
    </row>
    <row r="175" spans="5:17" ht="11.25" customHeight="1" x14ac:dyDescent="0.2">
      <c r="E175" s="172"/>
      <c r="F175" s="172"/>
      <c r="G175" s="39"/>
      <c r="J175" s="39"/>
      <c r="K175" s="39"/>
      <c r="P175" s="407">
        <f>_xll.qlCalendarAdvance(Calendar,P174,"1D","f")</f>
        <v>42205</v>
      </c>
      <c r="Q175" s="262">
        <f>_xll.qlInterpolationInterpolate($M$1,P175,TRUE)</f>
        <v>1.4477197021868979E-3</v>
      </c>
    </row>
    <row r="176" spans="5:17" ht="11.25" customHeight="1" x14ac:dyDescent="0.2">
      <c r="E176" s="172"/>
      <c r="F176" s="172"/>
      <c r="G176" s="39"/>
      <c r="J176" s="39"/>
      <c r="K176" s="39"/>
      <c r="P176" s="407">
        <f>_xll.qlCalendarAdvance(Calendar,P175,"1D","f")</f>
        <v>42206</v>
      </c>
      <c r="Q176" s="262">
        <f>_xll.qlInterpolationInterpolate($M$1,P176,TRUE)</f>
        <v>1.4487088573968616E-3</v>
      </c>
    </row>
    <row r="177" spans="5:17" ht="11.25" customHeight="1" x14ac:dyDescent="0.2">
      <c r="E177" s="172"/>
      <c r="F177" s="172"/>
      <c r="G177" s="39"/>
      <c r="J177" s="39"/>
      <c r="K177" s="39"/>
      <c r="P177" s="407">
        <f>_xll.qlCalendarAdvance(Calendar,P176,"1D","f")</f>
        <v>42207</v>
      </c>
      <c r="Q177" s="262">
        <f>_xll.qlInterpolationInterpolate($M$1,P177,TRUE)</f>
        <v>1.449699292238699E-3</v>
      </c>
    </row>
    <row r="178" spans="5:17" ht="11.25" customHeight="1" x14ac:dyDescent="0.2">
      <c r="E178" s="172"/>
      <c r="F178" s="172"/>
      <c r="G178" s="39"/>
      <c r="J178" s="39"/>
      <c r="K178" s="39"/>
      <c r="P178" s="407">
        <f>_xll.qlCalendarAdvance(Calendar,P177,"1D","f")</f>
        <v>42208</v>
      </c>
      <c r="Q178" s="262">
        <f>_xll.qlInterpolationInterpolate($M$1,P178,TRUE)</f>
        <v>1.4506909110690777E-3</v>
      </c>
    </row>
    <row r="179" spans="5:17" ht="11.25" customHeight="1" x14ac:dyDescent="0.2">
      <c r="E179" s="172"/>
      <c r="F179" s="172"/>
      <c r="G179" s="39"/>
      <c r="J179" s="39"/>
      <c r="K179" s="39"/>
      <c r="P179" s="407">
        <f>_xll.qlCalendarAdvance(Calendar,P178,"1D","f")</f>
        <v>42209</v>
      </c>
      <c r="Q179" s="262">
        <f>_xll.qlInterpolationInterpolate($M$1,P179,TRUE)</f>
        <v>1.4516836182446654E-3</v>
      </c>
    </row>
    <row r="180" spans="5:17" ht="11.25" customHeight="1" x14ac:dyDescent="0.2">
      <c r="E180" s="172"/>
      <c r="F180" s="172"/>
      <c r="G180" s="39"/>
      <c r="J180" s="39"/>
      <c r="K180" s="39"/>
      <c r="P180" s="407">
        <f>_xll.qlCalendarAdvance(Calendar,P179,"1D","f")</f>
        <v>42212</v>
      </c>
      <c r="Q180" s="262">
        <f>_xll.qlInterpolationInterpolate($M$1,P180,TRUE)</f>
        <v>1.4546673134093573E-3</v>
      </c>
    </row>
    <row r="181" spans="5:17" ht="11.25" customHeight="1" x14ac:dyDescent="0.2">
      <c r="E181" s="172"/>
      <c r="F181" s="172"/>
      <c r="G181" s="39"/>
      <c r="J181" s="39"/>
      <c r="K181" s="39"/>
      <c r="P181" s="407">
        <f>_xll.qlCalendarAdvance(Calendar,P180,"1D","f")</f>
        <v>42213</v>
      </c>
      <c r="Q181" s="262">
        <f>_xll.qlInterpolationInterpolate($M$1,P181,TRUE)</f>
        <v>1.4556634175324561E-3</v>
      </c>
    </row>
    <row r="182" spans="5:17" ht="11.25" customHeight="1" x14ac:dyDescent="0.2">
      <c r="E182" s="172"/>
      <c r="F182" s="172"/>
      <c r="G182" s="39"/>
      <c r="J182" s="39"/>
      <c r="K182" s="39"/>
      <c r="P182" s="407">
        <f>_xll.qlCalendarAdvance(Calendar,P181,"1D","f")</f>
        <v>42214</v>
      </c>
      <c r="Q182" s="262">
        <f>_xll.qlInterpolationInterpolate($M$1,P182,TRUE)</f>
        <v>1.4566601317841019E-3</v>
      </c>
    </row>
    <row r="183" spans="5:17" ht="11.25" customHeight="1" x14ac:dyDescent="0.2">
      <c r="E183" s="172"/>
      <c r="F183" s="172"/>
      <c r="G183" s="39"/>
      <c r="J183" s="39"/>
      <c r="K183" s="39"/>
      <c r="P183" s="407">
        <f>_xll.qlCalendarAdvance(Calendar,P182,"1D","f")</f>
        <v>42215</v>
      </c>
      <c r="Q183" s="262">
        <f>_xll.qlInterpolationInterpolate($M$1,P183,TRUE)</f>
        <v>1.457657360520962E-3</v>
      </c>
    </row>
    <row r="184" spans="5:17" ht="11.25" customHeight="1" x14ac:dyDescent="0.2">
      <c r="E184" s="172"/>
      <c r="F184" s="172"/>
      <c r="G184" s="39"/>
      <c r="J184" s="39"/>
      <c r="K184" s="39"/>
      <c r="P184" s="407">
        <f>_xll.qlCalendarAdvance(Calendar,P183,"1D","f")</f>
        <v>42216</v>
      </c>
      <c r="Q184" s="262">
        <f>_xll.qlInterpolationInterpolate($M$1,P184,TRUE)</f>
        <v>1.4586550080997042E-3</v>
      </c>
    </row>
    <row r="185" spans="5:17" ht="11.25" customHeight="1" x14ac:dyDescent="0.2">
      <c r="E185" s="172"/>
      <c r="F185" s="172"/>
      <c r="G185" s="39"/>
      <c r="J185" s="39"/>
      <c r="K185" s="39"/>
      <c r="P185" s="407">
        <f>_xll.qlCalendarAdvance(Calendar,P184,"1D","f")</f>
        <v>42219</v>
      </c>
      <c r="Q185" s="262">
        <f>_xll.qlInterpolationInterpolate($M$1,P185,TRUE)</f>
        <v>1.4616495074538972E-3</v>
      </c>
    </row>
    <row r="186" spans="5:17" ht="11.25" customHeight="1" x14ac:dyDescent="0.2">
      <c r="E186" s="172"/>
      <c r="F186" s="172"/>
      <c r="G186" s="39"/>
      <c r="J186" s="39"/>
      <c r="K186" s="39"/>
      <c r="P186" s="407">
        <f>_xll.qlCalendarAdvance(Calendar,P185,"1D","f")</f>
        <v>42220</v>
      </c>
      <c r="Q186" s="262">
        <f>_xll.qlInterpolationInterpolate($M$1,P186,TRUE)</f>
        <v>1.4626478739668428E-3</v>
      </c>
    </row>
    <row r="187" spans="5:17" ht="11.25" customHeight="1" x14ac:dyDescent="0.2">
      <c r="E187" s="172"/>
      <c r="F187" s="172"/>
      <c r="G187" s="39"/>
      <c r="J187" s="39"/>
      <c r="K187" s="39"/>
      <c r="P187" s="407">
        <f>_xll.qlCalendarAdvance(Calendar,P186,"1D","f")</f>
        <v>42221</v>
      </c>
      <c r="Q187" s="262">
        <f>_xll.qlInterpolationInterpolate($M$1,P187,TRUE)</f>
        <v>1.463646181105008E-3</v>
      </c>
    </row>
    <row r="188" spans="5:17" ht="11.25" customHeight="1" x14ac:dyDescent="0.2">
      <c r="E188" s="172"/>
      <c r="F188" s="172"/>
      <c r="G188" s="39"/>
      <c r="J188" s="39"/>
      <c r="K188" s="39"/>
      <c r="P188" s="407">
        <f>_xll.qlCalendarAdvance(Calendar,P187,"1D","f")</f>
        <v>42222</v>
      </c>
      <c r="Q188" s="262">
        <f>_xll.qlInterpolationInterpolate($M$1,P188,TRUE)</f>
        <v>1.4646443332250606E-3</v>
      </c>
    </row>
    <row r="189" spans="5:17" ht="11.25" customHeight="1" x14ac:dyDescent="0.2">
      <c r="E189" s="172"/>
      <c r="F189" s="172"/>
      <c r="G189" s="39"/>
      <c r="J189" s="39"/>
      <c r="K189" s="39"/>
      <c r="P189" s="407">
        <f>_xll.qlCalendarAdvance(Calendar,P188,"1D","f")</f>
        <v>42223</v>
      </c>
      <c r="Q189" s="262">
        <f>_xll.qlInterpolationInterpolate($M$1,P189,TRUE)</f>
        <v>1.465642234683668E-3</v>
      </c>
    </row>
    <row r="190" spans="5:17" ht="11.25" customHeight="1" x14ac:dyDescent="0.2">
      <c r="E190" s="172"/>
      <c r="F190" s="172"/>
      <c r="G190" s="39"/>
      <c r="J190" s="39"/>
      <c r="K190" s="39"/>
      <c r="P190" s="407">
        <f>_xll.qlCalendarAdvance(Calendar,P189,"1D","f")</f>
        <v>42226</v>
      </c>
      <c r="Q190" s="262">
        <f>_xll.qlInterpolationInterpolate($M$1,P190,TRUE)</f>
        <v>1.468633478657496E-3</v>
      </c>
    </row>
    <row r="191" spans="5:17" ht="11.25" customHeight="1" x14ac:dyDescent="0.2">
      <c r="E191" s="172"/>
      <c r="F191" s="172"/>
      <c r="G191" s="39"/>
      <c r="J191" s="39"/>
      <c r="K191" s="39"/>
      <c r="P191" s="407">
        <f>_xll.qlCalendarAdvance(Calendar,P190,"1D","f")</f>
        <v>42227</v>
      </c>
      <c r="Q191" s="262">
        <f>_xll.qlInterpolationInterpolate($M$1,P191,TRUE)</f>
        <v>1.469629421036999E-3</v>
      </c>
    </row>
    <row r="192" spans="5:17" ht="11.25" customHeight="1" x14ac:dyDescent="0.2">
      <c r="E192" s="172"/>
      <c r="F192" s="172"/>
      <c r="G192" s="39"/>
      <c r="J192" s="39"/>
      <c r="K192" s="39"/>
      <c r="P192" s="407">
        <f>_xll.qlCalendarAdvance(Calendar,P191,"1D","f")</f>
        <v>42228</v>
      </c>
      <c r="Q192" s="262">
        <f>_xll.qlInterpolationInterpolate($M$1,P192,TRUE)</f>
        <v>1.4706246345383947E-3</v>
      </c>
    </row>
    <row r="193" spans="5:17" ht="11.25" customHeight="1" x14ac:dyDescent="0.2">
      <c r="E193" s="172"/>
      <c r="F193" s="172"/>
      <c r="G193" s="39"/>
      <c r="J193" s="39"/>
      <c r="K193" s="39"/>
      <c r="P193" s="407">
        <f>_xll.qlCalendarAdvance(Calendar,P192,"1D","f")</f>
        <v>42229</v>
      </c>
      <c r="Q193" s="262">
        <f>_xll.qlInterpolationInterpolate($M$1,P193,TRUE)</f>
        <v>1.4716190235183509E-3</v>
      </c>
    </row>
    <row r="194" spans="5:17" ht="11.25" customHeight="1" x14ac:dyDescent="0.2">
      <c r="E194" s="172"/>
      <c r="F194" s="172"/>
      <c r="G194" s="39"/>
      <c r="J194" s="39"/>
      <c r="K194" s="39"/>
      <c r="P194" s="407">
        <f>_xll.qlCalendarAdvance(Calendar,P193,"1D","f")</f>
        <v>42230</v>
      </c>
      <c r="Q194" s="262">
        <f>_xll.qlInterpolationInterpolate($M$1,P194,TRUE)</f>
        <v>1.4726124923335349E-3</v>
      </c>
    </row>
    <row r="195" spans="5:17" ht="11.25" customHeight="1" x14ac:dyDescent="0.2">
      <c r="E195" s="172"/>
      <c r="F195" s="172"/>
      <c r="G195" s="39"/>
      <c r="J195" s="39"/>
      <c r="K195" s="39"/>
      <c r="P195" s="407">
        <f>_xll.qlCalendarAdvance(Calendar,P194,"1D","f")</f>
        <v>42233</v>
      </c>
      <c r="Q195" s="262">
        <f>_xll.qlInterpolationInterpolate($M$1,P195,TRUE)</f>
        <v>1.4755864213571309E-3</v>
      </c>
    </row>
    <row r="196" spans="5:17" ht="11.25" customHeight="1" x14ac:dyDescent="0.2">
      <c r="E196" s="172"/>
      <c r="F196" s="172"/>
      <c r="G196" s="39"/>
      <c r="J196" s="39"/>
      <c r="K196" s="39"/>
      <c r="P196" s="407">
        <f>_xll.qlCalendarAdvance(Calendar,P195,"1D","f")</f>
        <v>42234</v>
      </c>
      <c r="Q196" s="262">
        <f>_xll.qlInterpolationInterpolate($M$1,P196,TRUE)</f>
        <v>1.4765752530799027E-3</v>
      </c>
    </row>
    <row r="197" spans="5:17" ht="11.25" customHeight="1" x14ac:dyDescent="0.2">
      <c r="E197" s="172"/>
      <c r="F197" s="172"/>
      <c r="G197" s="39"/>
      <c r="J197" s="39"/>
      <c r="K197" s="39"/>
      <c r="P197" s="407">
        <f>_xll.qlCalendarAdvance(Calendar,P196,"1D","f")</f>
        <v>42235</v>
      </c>
      <c r="Q197" s="262">
        <f>_xll.qlInterpolationInterpolate($M$1,P197,TRUE)</f>
        <v>1.4775626864212401E-3</v>
      </c>
    </row>
    <row r="198" spans="5:17" ht="11.25" customHeight="1" x14ac:dyDescent="0.2">
      <c r="E198" s="172"/>
      <c r="F198" s="172"/>
      <c r="G198" s="39"/>
      <c r="J198" s="39"/>
      <c r="K198" s="39"/>
      <c r="P198" s="407">
        <f>_xll.qlCalendarAdvance(Calendar,P197,"1D","f")</f>
        <v>42236</v>
      </c>
      <c r="Q198" s="262">
        <f>_xll.qlInterpolationInterpolate($M$1,P198,TRUE)</f>
        <v>1.4785486257378111E-3</v>
      </c>
    </row>
    <row r="199" spans="5:17" ht="11.25" customHeight="1" x14ac:dyDescent="0.2">
      <c r="E199" s="172"/>
      <c r="F199" s="172"/>
      <c r="G199" s="39"/>
      <c r="J199" s="39"/>
      <c r="K199" s="39"/>
      <c r="P199" s="407">
        <f>_xll.qlCalendarAdvance(Calendar,P198,"1D","f")</f>
        <v>42237</v>
      </c>
      <c r="Q199" s="262">
        <f>_xll.qlInterpolationInterpolate($M$1,P199,TRUE)</f>
        <v>1.479532975386283E-3</v>
      </c>
    </row>
    <row r="200" spans="5:17" ht="11.25" customHeight="1" x14ac:dyDescent="0.2">
      <c r="E200" s="172"/>
      <c r="F200" s="172"/>
      <c r="G200" s="39"/>
      <c r="J200" s="39"/>
      <c r="K200" s="39"/>
      <c r="P200" s="407">
        <f>_xll.qlCalendarAdvance(Calendar,P199,"1D","f")</f>
        <v>42240</v>
      </c>
      <c r="Q200" s="262">
        <f>_xll.qlInterpolationInterpolate($M$1,P200,TRUE)</f>
        <v>1.4824755298897801E-3</v>
      </c>
    </row>
    <row r="201" spans="5:17" ht="11.25" customHeight="1" x14ac:dyDescent="0.2">
      <c r="E201" s="172"/>
      <c r="F201" s="172"/>
      <c r="G201" s="39"/>
      <c r="J201" s="39"/>
      <c r="K201" s="39"/>
      <c r="P201" s="407">
        <f>_xll.qlCalendarAdvance(Calendar,P200,"1D","f")</f>
        <v>42241</v>
      </c>
      <c r="Q201" s="262">
        <f>_xll.qlInterpolationInterpolate($M$1,P201,TRUE)</f>
        <v>1.4834525644325317E-3</v>
      </c>
    </row>
    <row r="202" spans="5:17" ht="11.25" customHeight="1" x14ac:dyDescent="0.2">
      <c r="E202" s="172"/>
      <c r="F202" s="172"/>
      <c r="G202" s="39"/>
      <c r="J202" s="39"/>
      <c r="K202" s="39"/>
      <c r="P202" s="407">
        <f>_xll.qlCalendarAdvance(Calendar,P201,"1D","f")</f>
        <v>42242</v>
      </c>
      <c r="Q202" s="262">
        <f>_xll.qlInterpolationInterpolate($M$1,P202,TRUE)</f>
        <v>1.484427531090522E-3</v>
      </c>
    </row>
    <row r="203" spans="5:17" ht="11.25" customHeight="1" x14ac:dyDescent="0.2">
      <c r="E203" s="172"/>
      <c r="F203" s="172"/>
      <c r="G203" s="39"/>
      <c r="J203" s="39"/>
      <c r="K203" s="39"/>
      <c r="P203" s="407">
        <f>_xll.qlCalendarAdvance(Calendar,P202,"1D","f")</f>
        <v>42243</v>
      </c>
      <c r="Q203" s="262">
        <f>_xll.qlInterpolationInterpolate($M$1,P203,TRUE)</f>
        <v>1.4854003342204187E-3</v>
      </c>
    </row>
    <row r="204" spans="5:17" ht="11.25" customHeight="1" x14ac:dyDescent="0.2">
      <c r="E204" s="172"/>
      <c r="F204" s="172"/>
      <c r="G204" s="39"/>
      <c r="J204" s="39"/>
      <c r="K204" s="39"/>
      <c r="P204" s="407">
        <f>_xll.qlCalendarAdvance(Calendar,P203,"1D","f")</f>
        <v>42244</v>
      </c>
      <c r="Q204" s="262">
        <f>_xll.qlInterpolationInterpolate($M$1,P204,TRUE)</f>
        <v>1.4863708781788895E-3</v>
      </c>
    </row>
    <row r="205" spans="5:17" ht="11.25" customHeight="1" x14ac:dyDescent="0.2">
      <c r="E205" s="172"/>
      <c r="F205" s="172"/>
      <c r="G205" s="39"/>
      <c r="J205" s="39"/>
      <c r="K205" s="39"/>
      <c r="P205" s="407">
        <f>_xll.qlCalendarAdvance(Calendar,P204,"1D","f")</f>
        <v>42247</v>
      </c>
      <c r="Q205" s="262">
        <f>_xll.qlInterpolationInterpolate($M$1,P205,TRUE)</f>
        <v>1.4892679985924215E-3</v>
      </c>
    </row>
    <row r="206" spans="5:17" ht="11.25" customHeight="1" x14ac:dyDescent="0.2">
      <c r="E206" s="172"/>
      <c r="F206" s="172"/>
      <c r="G206" s="39"/>
      <c r="J206" s="39"/>
      <c r="K206" s="39"/>
      <c r="P206" s="407">
        <f>_xll.qlCalendarAdvance(Calendar,P205,"1D","f")</f>
        <v>42248</v>
      </c>
      <c r="Q206" s="262">
        <f>_xll.qlInterpolationInterpolate($M$1,P206,TRUE)</f>
        <v>1.4902285494318638E-3</v>
      </c>
    </row>
    <row r="207" spans="5:17" ht="11.25" customHeight="1" x14ac:dyDescent="0.2">
      <c r="E207" s="172"/>
      <c r="F207" s="172"/>
      <c r="G207" s="39"/>
      <c r="J207" s="39"/>
      <c r="K207" s="39"/>
      <c r="P207" s="407">
        <f>_xll.qlCalendarAdvance(Calendar,P206,"1D","f")</f>
        <v>42249</v>
      </c>
      <c r="Q207" s="262">
        <f>_xll.qlInterpolationInterpolate($M$1,P207,TRUE)</f>
        <v>1.4911863628832181E-3</v>
      </c>
    </row>
    <row r="208" spans="5:17" ht="11.25" customHeight="1" x14ac:dyDescent="0.2">
      <c r="E208" s="172"/>
      <c r="F208" s="172"/>
      <c r="G208" s="39"/>
      <c r="J208" s="39"/>
      <c r="K208" s="39"/>
      <c r="P208" s="407">
        <f>_xll.qlCalendarAdvance(Calendar,P207,"1D","f")</f>
        <v>42250</v>
      </c>
      <c r="Q208" s="262">
        <f>_xll.qlInterpolationInterpolate($M$1,P208,TRUE)</f>
        <v>1.492141343303152E-3</v>
      </c>
    </row>
    <row r="209" spans="5:17" ht="11.25" customHeight="1" x14ac:dyDescent="0.2">
      <c r="E209" s="172"/>
      <c r="F209" s="172"/>
      <c r="G209" s="39"/>
      <c r="J209" s="39"/>
      <c r="K209" s="39"/>
      <c r="P209" s="407">
        <f>_xll.qlCalendarAdvance(Calendar,P208,"1D","f")</f>
        <v>42251</v>
      </c>
      <c r="Q209" s="262">
        <f>_xll.qlInterpolationInterpolate($M$1,P209,TRUE)</f>
        <v>1.4930933950483326E-3</v>
      </c>
    </row>
    <row r="210" spans="5:17" ht="11.25" customHeight="1" x14ac:dyDescent="0.2">
      <c r="E210" s="172"/>
      <c r="F210" s="172"/>
      <c r="G210" s="39"/>
      <c r="J210" s="39"/>
      <c r="K210" s="39"/>
      <c r="P210" s="407">
        <f>_xll.qlCalendarAdvance(Calendar,P209,"1D","f")</f>
        <v>42254</v>
      </c>
      <c r="Q210" s="262">
        <f>_xll.qlInterpolationInterpolate($M$1,P210,TRUE)</f>
        <v>1.4959310218020327E-3</v>
      </c>
    </row>
    <row r="211" spans="5:17" ht="11.25" customHeight="1" x14ac:dyDescent="0.2">
      <c r="E211" s="172"/>
      <c r="F211" s="172"/>
      <c r="G211" s="39"/>
      <c r="J211" s="39"/>
      <c r="K211" s="39"/>
      <c r="P211" s="407">
        <f>_xll.qlCalendarAdvance(Calendar,P210,"1D","f")</f>
        <v>42255</v>
      </c>
      <c r="Q211" s="262">
        <f>_xll.qlInterpolationInterpolate($M$1,P211,TRUE)</f>
        <v>1.496870402414877E-3</v>
      </c>
    </row>
    <row r="212" spans="5:17" ht="11.25" customHeight="1" x14ac:dyDescent="0.2">
      <c r="E212" s="172"/>
      <c r="F212" s="172"/>
      <c r="G212" s="39"/>
      <c r="J212" s="39"/>
      <c r="K212" s="39"/>
      <c r="P212" s="407">
        <f>_xll.qlCalendarAdvance(Calendar,P211,"1D","f")</f>
        <v>42256</v>
      </c>
      <c r="Q212" s="262">
        <f>_xll.qlInterpolationInterpolate($M$1,P212,TRUE)</f>
        <v>1.4978063761363065E-3</v>
      </c>
    </row>
    <row r="213" spans="5:17" ht="11.25" customHeight="1" x14ac:dyDescent="0.2">
      <c r="E213" s="172"/>
      <c r="F213" s="172"/>
      <c r="G213" s="39"/>
      <c r="J213" s="39"/>
      <c r="K213" s="39"/>
      <c r="P213" s="407">
        <f>_xll.qlCalendarAdvance(Calendar,P212,"1D","f")</f>
        <v>42257</v>
      </c>
      <c r="Q213" s="262">
        <f>_xll.qlInterpolationInterpolate($M$1,P213,TRUE)</f>
        <v>1.4987388473229881E-3</v>
      </c>
    </row>
    <row r="214" spans="5:17" ht="11.25" customHeight="1" x14ac:dyDescent="0.2">
      <c r="E214" s="172"/>
      <c r="F214" s="172"/>
      <c r="G214" s="39"/>
      <c r="J214" s="39"/>
      <c r="K214" s="39"/>
      <c r="P214" s="407">
        <f>_xll.qlCalendarAdvance(Calendar,P213,"1D","f")</f>
        <v>42258</v>
      </c>
      <c r="Q214" s="262">
        <f>_xll.qlInterpolationInterpolate($M$1,P214,TRUE)</f>
        <v>1.49966772033159E-3</v>
      </c>
    </row>
    <row r="215" spans="5:17" ht="11.25" customHeight="1" x14ac:dyDescent="0.2">
      <c r="E215" s="172"/>
      <c r="F215" s="172"/>
      <c r="G215" s="39"/>
      <c r="J215" s="39"/>
      <c r="K215" s="39"/>
      <c r="P215" s="407">
        <f>_xll.qlCalendarAdvance(Calendar,P214,"1D","f")</f>
        <v>42261</v>
      </c>
      <c r="Q215" s="262">
        <f>_xll.qlInterpolationInterpolate($M$1,P215,TRUE)</f>
        <v>1.5024317938555915E-3</v>
      </c>
    </row>
    <row r="216" spans="5:17" ht="11.25" customHeight="1" x14ac:dyDescent="0.2">
      <c r="E216" s="172"/>
      <c r="F216" s="172"/>
      <c r="G216" s="39"/>
      <c r="J216" s="39"/>
      <c r="K216" s="39"/>
      <c r="P216" s="407">
        <f>_xll.qlCalendarAdvance(Calendar,P215,"1D","f")</f>
        <v>42262</v>
      </c>
      <c r="Q216" s="262">
        <f>_xll.qlInterpolationInterpolate($M$1,P216,TRUE)</f>
        <v>1.5033453177185491E-3</v>
      </c>
    </row>
    <row r="217" spans="5:17" ht="11.25" customHeight="1" x14ac:dyDescent="0.2">
      <c r="E217" s="172"/>
      <c r="F217" s="172"/>
      <c r="G217" s="39"/>
      <c r="J217" s="39"/>
      <c r="K217" s="39"/>
      <c r="P217" s="407">
        <f>_xll.qlCalendarAdvance(Calendar,P216,"1D","f")</f>
        <v>42263</v>
      </c>
      <c r="Q217" s="262">
        <f>_xll.qlInterpolationInterpolate($M$1,P217,TRUE)</f>
        <v>1.5042547651867647E-3</v>
      </c>
    </row>
    <row r="218" spans="5:17" ht="11.25" customHeight="1" x14ac:dyDescent="0.2">
      <c r="E218" s="172"/>
      <c r="F218" s="172"/>
      <c r="G218" s="39"/>
      <c r="J218" s="39"/>
      <c r="K218" s="39"/>
      <c r="P218" s="407">
        <f>_xll.qlCalendarAdvance(Calendar,P217,"1D","f")</f>
        <v>42264</v>
      </c>
      <c r="Q218" s="262">
        <f>_xll.qlInterpolationInterpolate($M$1,P218,TRUE)</f>
        <v>1.5051600618506118E-3</v>
      </c>
    </row>
    <row r="219" spans="5:17" ht="11.25" customHeight="1" x14ac:dyDescent="0.2">
      <c r="E219" s="172"/>
      <c r="F219" s="172"/>
      <c r="G219" s="39"/>
      <c r="J219" s="39"/>
      <c r="K219" s="39"/>
      <c r="P219" s="407">
        <f>_xll.qlCalendarAdvance(Calendar,P218,"1D","f")</f>
        <v>42265</v>
      </c>
      <c r="Q219" s="262">
        <f>_xll.qlInterpolationInterpolate($M$1,P219,TRUE)</f>
        <v>1.5060612182352887E-3</v>
      </c>
    </row>
    <row r="220" spans="5:17" ht="11.25" customHeight="1" x14ac:dyDescent="0.2">
      <c r="E220" s="172"/>
      <c r="F220" s="172"/>
      <c r="G220" s="39"/>
      <c r="J220" s="39"/>
      <c r="K220" s="39"/>
      <c r="P220" s="407">
        <f>_xll.qlCalendarAdvance(Calendar,P219,"1D","f")</f>
        <v>42268</v>
      </c>
      <c r="Q220" s="262">
        <f>_xll.qlInterpolationInterpolate($M$1,P220,TRUE)</f>
        <v>1.5087401633033419E-3</v>
      </c>
    </row>
    <row r="221" spans="5:17" ht="11.25" customHeight="1" x14ac:dyDescent="0.2">
      <c r="E221" s="172"/>
      <c r="F221" s="172"/>
      <c r="G221" s="39"/>
      <c r="J221" s="39"/>
      <c r="K221" s="39"/>
      <c r="P221" s="407">
        <f>_xll.qlCalendarAdvance(Calendar,P220,"1D","f")</f>
        <v>42269</v>
      </c>
      <c r="Q221" s="262">
        <f>_xll.qlInterpolationInterpolate($M$1,P221,TRUE)</f>
        <v>1.5096250761603815E-3</v>
      </c>
    </row>
    <row r="222" spans="5:17" ht="11.25" customHeight="1" x14ac:dyDescent="0.2">
      <c r="E222" s="172"/>
      <c r="F222" s="172"/>
      <c r="G222" s="39"/>
      <c r="J222" s="39"/>
      <c r="K222" s="39"/>
      <c r="P222" s="407">
        <f>_xll.qlCalendarAdvance(Calendar,P221,"1D","f")</f>
        <v>42270</v>
      </c>
      <c r="Q222" s="262">
        <f>_xll.qlInterpolationInterpolate($M$1,P222,TRUE)</f>
        <v>1.5105060075327726E-3</v>
      </c>
    </row>
    <row r="223" spans="5:17" ht="11.25" customHeight="1" x14ac:dyDescent="0.2">
      <c r="E223" s="172"/>
      <c r="F223" s="172"/>
      <c r="G223" s="39"/>
      <c r="J223" s="39"/>
      <c r="K223" s="39"/>
      <c r="P223" s="407">
        <f>_xll.qlCalendarAdvance(Calendar,P222,"1D","f")</f>
        <v>42271</v>
      </c>
      <c r="Q223" s="262">
        <f>_xll.qlInterpolationInterpolate($M$1,P223,TRUE)</f>
        <v>1.5113829891794195E-3</v>
      </c>
    </row>
    <row r="224" spans="5:17" ht="11.25" customHeight="1" x14ac:dyDescent="0.2">
      <c r="E224" s="172"/>
      <c r="F224" s="172"/>
      <c r="G224" s="39"/>
      <c r="J224" s="39"/>
      <c r="K224" s="39"/>
      <c r="P224" s="407">
        <f>_xll.qlCalendarAdvance(Calendar,P223,"1D","f")</f>
        <v>42272</v>
      </c>
      <c r="Q224" s="262">
        <f>_xll.qlInterpolationInterpolate($M$1,P224,TRUE)</f>
        <v>1.5122560528592266E-3</v>
      </c>
    </row>
    <row r="225" spans="5:17" ht="11.25" customHeight="1" x14ac:dyDescent="0.2">
      <c r="E225" s="172"/>
      <c r="F225" s="172"/>
      <c r="G225" s="39"/>
      <c r="J225" s="39"/>
      <c r="K225" s="39"/>
      <c r="P225" s="407">
        <f>_xll.qlCalendarAdvance(Calendar,P224,"1D","f")</f>
        <v>42275</v>
      </c>
      <c r="Q225" s="262">
        <f>_xll.qlInterpolationInterpolate($M$1,P225,TRUE)</f>
        <v>1.5148520536866525E-3</v>
      </c>
    </row>
    <row r="226" spans="5:17" ht="11.25" customHeight="1" x14ac:dyDescent="0.2">
      <c r="E226" s="172"/>
      <c r="F226" s="172"/>
      <c r="G226" s="39"/>
      <c r="J226" s="39"/>
      <c r="K226" s="39"/>
      <c r="P226" s="407">
        <f>_xll.qlCalendarAdvance(Calendar,P225,"1D","f")</f>
        <v>42276</v>
      </c>
      <c r="Q226" s="262">
        <f>_xll.qlInterpolationInterpolate($M$1,P226,TRUE)</f>
        <v>1.5157097630881437E-3</v>
      </c>
    </row>
    <row r="227" spans="5:17" ht="11.25" customHeight="1" x14ac:dyDescent="0.2">
      <c r="E227" s="172"/>
      <c r="F227" s="172"/>
      <c r="G227" s="39"/>
      <c r="J227" s="39"/>
      <c r="K227" s="39"/>
      <c r="P227" s="407">
        <f>_xll.qlCalendarAdvance(Calendar,P226,"1D","f")</f>
        <v>42277</v>
      </c>
      <c r="Q227" s="262">
        <f>_xll.qlInterpolationInterpolate($M$1,P227,TRUE)</f>
        <v>1.516563713317317E-3</v>
      </c>
    </row>
    <row r="228" spans="5:17" ht="11.25" customHeight="1" x14ac:dyDescent="0.2">
      <c r="E228" s="172"/>
      <c r="F228" s="172"/>
      <c r="G228" s="39"/>
      <c r="J228" s="39"/>
      <c r="K228" s="39"/>
      <c r="P228" s="407">
        <f>_xll.qlCalendarAdvance(Calendar,P227,"1D","f")</f>
        <v>42278</v>
      </c>
      <c r="Q228" s="262">
        <f>_xll.qlInterpolationInterpolate($M$1,P228,TRUE)</f>
        <v>1.5174139361330764E-3</v>
      </c>
    </row>
    <row r="229" spans="5:17" ht="11.25" customHeight="1" x14ac:dyDescent="0.2">
      <c r="E229" s="172"/>
      <c r="F229" s="172"/>
      <c r="G229" s="39"/>
      <c r="J229" s="39"/>
      <c r="K229" s="39"/>
      <c r="P229" s="407">
        <f>_xll.qlCalendarAdvance(Calendar,P228,"1D","f")</f>
        <v>42279</v>
      </c>
      <c r="Q229" s="262">
        <f>_xll.qlInterpolationInterpolate($M$1,P229,TRUE)</f>
        <v>1.5182604632943265E-3</v>
      </c>
    </row>
    <row r="230" spans="5:17" ht="11.25" customHeight="1" x14ac:dyDescent="0.2">
      <c r="E230" s="172"/>
      <c r="F230" s="172"/>
      <c r="G230" s="39"/>
      <c r="J230" s="39"/>
      <c r="K230" s="39"/>
      <c r="P230" s="407">
        <f>_xll.qlCalendarAdvance(Calendar,P229,"1D","f")</f>
        <v>42282</v>
      </c>
      <c r="Q230" s="262">
        <f>_xll.qlInterpolationInterpolate($M$1,P230,TRUE)</f>
        <v>1.5207781884400632E-3</v>
      </c>
    </row>
    <row r="231" spans="5:17" ht="11.25" customHeight="1" x14ac:dyDescent="0.2">
      <c r="E231" s="172"/>
      <c r="F231" s="172"/>
      <c r="G231" s="39"/>
      <c r="J231" s="39"/>
      <c r="K231" s="39"/>
      <c r="P231" s="407">
        <f>_xll.qlCalendarAdvance(Calendar,P230,"1D","f")</f>
        <v>42283</v>
      </c>
      <c r="Q231" s="262">
        <f>_xll.qlInterpolationInterpolate($M$1,P231,TRUE)</f>
        <v>1.521610250572319E-3</v>
      </c>
    </row>
    <row r="232" spans="5:17" ht="11.25" customHeight="1" x14ac:dyDescent="0.2">
      <c r="E232" s="172"/>
      <c r="F232" s="172"/>
      <c r="G232" s="39"/>
      <c r="J232" s="39"/>
      <c r="K232" s="39"/>
      <c r="P232" s="407">
        <f>_xll.qlCalendarAdvance(Calendar,P231,"1D","f")</f>
        <v>42284</v>
      </c>
      <c r="Q232" s="262">
        <f>_xll.qlInterpolationInterpolate($M$1,P232,TRUE)</f>
        <v>1.522438775844587E-3</v>
      </c>
    </row>
    <row r="233" spans="5:17" ht="11.25" customHeight="1" x14ac:dyDescent="0.2">
      <c r="E233" s="172"/>
      <c r="F233" s="172"/>
      <c r="G233" s="39"/>
      <c r="J233" s="39"/>
      <c r="K233" s="39"/>
      <c r="P233" s="407">
        <f>_xll.qlCalendarAdvance(Calendar,P232,"1D","f")</f>
        <v>42285</v>
      </c>
      <c r="Q233" s="262">
        <f>_xll.qlInterpolationInterpolate($M$1,P233,TRUE)</f>
        <v>1.5232637960157717E-3</v>
      </c>
    </row>
    <row r="234" spans="5:17" ht="11.25" customHeight="1" x14ac:dyDescent="0.2">
      <c r="E234" s="172"/>
      <c r="F234" s="172"/>
      <c r="G234" s="39"/>
      <c r="J234" s="39"/>
      <c r="K234" s="39"/>
      <c r="P234" s="407">
        <f>_xll.qlCalendarAdvance(Calendar,P233,"1D","f")</f>
        <v>42286</v>
      </c>
      <c r="Q234" s="262">
        <f>_xll.qlInterpolationInterpolate($M$1,P234,TRUE)</f>
        <v>1.5240853428447772E-3</v>
      </c>
    </row>
    <row r="235" spans="5:17" ht="11.25" customHeight="1" x14ac:dyDescent="0.2">
      <c r="E235" s="172"/>
      <c r="F235" s="172"/>
      <c r="G235" s="39"/>
      <c r="J235" s="39"/>
      <c r="K235" s="39"/>
      <c r="P235" s="407">
        <f>_xll.qlCalendarAdvance(Calendar,P234,"1D","f")</f>
        <v>42289</v>
      </c>
      <c r="Q235" s="262">
        <f>_xll.qlInterpolationInterpolate($M$1,P235,TRUE)</f>
        <v>1.526529460867763E-3</v>
      </c>
    </row>
    <row r="236" spans="5:17" ht="11.25" customHeight="1" x14ac:dyDescent="0.2">
      <c r="E236" s="172"/>
      <c r="F236" s="172"/>
      <c r="G236" s="39"/>
      <c r="J236" s="39"/>
      <c r="K236" s="39"/>
      <c r="P236" s="407">
        <f>_xll.qlCalendarAdvance(Calendar,P235,"1D","f")</f>
        <v>42290</v>
      </c>
      <c r="Q236" s="262">
        <f>_xll.qlInterpolationInterpolate($M$1,P236,TRUE)</f>
        <v>1.527337431917096E-3</v>
      </c>
    </row>
    <row r="237" spans="5:17" ht="11.25" customHeight="1" x14ac:dyDescent="0.2">
      <c r="E237" s="172"/>
      <c r="F237" s="172"/>
      <c r="G237" s="39"/>
      <c r="J237" s="39"/>
      <c r="K237" s="39"/>
      <c r="P237" s="407">
        <f>_xll.qlCalendarAdvance(Calendar,P236,"1D","f")</f>
        <v>42291</v>
      </c>
      <c r="Q237" s="262">
        <f>_xll.qlInterpolationInterpolate($M$1,P237,TRUE)</f>
        <v>1.5281420884187713E-3</v>
      </c>
    </row>
    <row r="238" spans="5:17" ht="11.25" customHeight="1" x14ac:dyDescent="0.2">
      <c r="E238" s="172"/>
      <c r="F238" s="172"/>
      <c r="G238" s="39"/>
      <c r="J238" s="39"/>
      <c r="K238" s="39"/>
      <c r="P238" s="407">
        <f>_xll.qlCalendarAdvance(Calendar,P237,"1D","f")</f>
        <v>42292</v>
      </c>
      <c r="Q238" s="262">
        <f>_xll.qlInterpolationInterpolate($M$1,P238,TRUE)</f>
        <v>1.5289434621316939E-3</v>
      </c>
    </row>
    <row r="239" spans="5:17" ht="11.25" customHeight="1" x14ac:dyDescent="0.2">
      <c r="E239" s="172"/>
      <c r="F239" s="172"/>
      <c r="G239" s="39"/>
      <c r="J239" s="39"/>
      <c r="K239" s="39"/>
      <c r="P239" s="407">
        <f>_xll.qlCalendarAdvance(Calendar,P238,"1D","f")</f>
        <v>42293</v>
      </c>
      <c r="Q239" s="262">
        <f>_xll.qlInterpolationInterpolate($M$1,P239,TRUE)</f>
        <v>1.5297415848147676E-3</v>
      </c>
    </row>
    <row r="240" spans="5:17" ht="11.25" customHeight="1" x14ac:dyDescent="0.2">
      <c r="E240" s="172"/>
      <c r="F240" s="172"/>
      <c r="G240" s="39"/>
      <c r="J240" s="39"/>
      <c r="K240" s="39"/>
      <c r="P240" s="407">
        <f>_xll.qlCalendarAdvance(Calendar,P239,"1D","f")</f>
        <v>42296</v>
      </c>
      <c r="Q240" s="262">
        <f>_xll.qlInterpolationInterpolate($M$1,P240,TRUE)</f>
        <v>1.5321167642739406E-3</v>
      </c>
    </row>
    <row r="241" spans="5:17" ht="11.25" customHeight="1" x14ac:dyDescent="0.2">
      <c r="E241" s="172"/>
      <c r="F241" s="172"/>
      <c r="G241" s="39"/>
      <c r="J241" s="39"/>
      <c r="K241" s="39"/>
      <c r="P241" s="407">
        <f>_xll.qlCalendarAdvance(Calendar,P240,"1D","f")</f>
        <v>42297</v>
      </c>
      <c r="Q241" s="262">
        <f>_xll.qlInterpolationInterpolate($M$1,P241,TRUE)</f>
        <v>1.5329022004266634E-3</v>
      </c>
    </row>
    <row r="242" spans="5:17" ht="11.25" customHeight="1" x14ac:dyDescent="0.2">
      <c r="E242" s="172"/>
      <c r="F242" s="172"/>
      <c r="G242" s="39"/>
      <c r="J242" s="39"/>
      <c r="K242" s="39"/>
      <c r="P242" s="407">
        <f>_xll.qlCalendarAdvance(Calendar,P241,"1D","f")</f>
        <v>42298</v>
      </c>
      <c r="Q242" s="262">
        <f>_xll.qlInterpolationInterpolate($M$1,P242,TRUE)</f>
        <v>1.533684544344059E-3</v>
      </c>
    </row>
    <row r="243" spans="5:17" ht="11.25" customHeight="1" x14ac:dyDescent="0.2">
      <c r="E243" s="172"/>
      <c r="F243" s="172"/>
      <c r="G243" s="39"/>
      <c r="J243" s="39"/>
      <c r="K243" s="39"/>
      <c r="P243" s="407">
        <f>_xll.qlCalendarAdvance(Calendar,P242,"1D","f")</f>
        <v>42299</v>
      </c>
      <c r="Q243" s="262">
        <f>_xll.qlInterpolationInterpolate($M$1,P243,TRUE)</f>
        <v>1.5344638277850319E-3</v>
      </c>
    </row>
    <row r="244" spans="5:17" ht="11.25" customHeight="1" x14ac:dyDescent="0.2">
      <c r="E244" s="172"/>
      <c r="F244" s="172"/>
      <c r="G244" s="39"/>
      <c r="J244" s="39"/>
      <c r="K244" s="39"/>
      <c r="P244" s="407">
        <f>_xll.qlCalendarAdvance(Calendar,P243,"1D","f")</f>
        <v>42300</v>
      </c>
      <c r="Q244" s="262">
        <f>_xll.qlInterpolationInterpolate($M$1,P244,TRUE)</f>
        <v>1.5352400825084868E-3</v>
      </c>
    </row>
    <row r="245" spans="5:17" ht="11.25" customHeight="1" x14ac:dyDescent="0.2">
      <c r="E245" s="172"/>
      <c r="F245" s="172"/>
      <c r="G245" s="39"/>
      <c r="J245" s="39"/>
      <c r="K245" s="39"/>
      <c r="P245" s="407">
        <f>_xll.qlCalendarAdvance(Calendar,P244,"1D","f")</f>
        <v>42303</v>
      </c>
      <c r="Q245" s="262">
        <f>_xll.qlInterpolationInterpolate($M$1,P245,TRUE)</f>
        <v>1.5375509919627851E-3</v>
      </c>
    </row>
    <row r="246" spans="5:17" ht="11.25" customHeight="1" x14ac:dyDescent="0.2">
      <c r="E246" s="172"/>
      <c r="F246" s="172"/>
      <c r="G246" s="39"/>
      <c r="J246" s="39"/>
      <c r="K246" s="39"/>
      <c r="P246" s="407">
        <f>_xll.qlCalendarAdvance(Calendar,P245,"1D","f")</f>
        <v>42304</v>
      </c>
      <c r="Q246" s="262">
        <f>_xll.qlInterpolationInterpolate($M$1,P246,TRUE)</f>
        <v>1.53831544940521E-3</v>
      </c>
    </row>
    <row r="247" spans="5:17" ht="11.25" customHeight="1" x14ac:dyDescent="0.2">
      <c r="E247" s="172"/>
      <c r="F247" s="172"/>
      <c r="G247" s="39"/>
      <c r="J247" s="39"/>
      <c r="K247" s="39"/>
      <c r="P247" s="407">
        <f>_xll.qlCalendarAdvance(Calendar,P246,"1D","f")</f>
        <v>42305</v>
      </c>
      <c r="Q247" s="262">
        <f>_xll.qlInterpolationInterpolate($M$1,P247,TRUE)</f>
        <v>1.5390770369246387E-3</v>
      </c>
    </row>
    <row r="248" spans="5:17" ht="11.25" customHeight="1" x14ac:dyDescent="0.2">
      <c r="E248" s="172"/>
      <c r="F248" s="172"/>
      <c r="G248" s="39"/>
      <c r="J248" s="39"/>
      <c r="K248" s="39"/>
      <c r="P248" s="407">
        <f>_xll.qlCalendarAdvance(Calendar,P247,"1D","f")</f>
        <v>42306</v>
      </c>
      <c r="Q248" s="262">
        <f>_xll.qlInterpolationInterpolate($M$1,P248,TRUE)</f>
        <v>1.539835786279975E-3</v>
      </c>
    </row>
    <row r="249" spans="5:17" ht="11.25" customHeight="1" x14ac:dyDescent="0.2">
      <c r="E249" s="172"/>
      <c r="F249" s="172"/>
      <c r="G249" s="39"/>
      <c r="J249" s="39"/>
      <c r="K249" s="39"/>
      <c r="P249" s="407">
        <f>_xll.qlCalendarAdvance(Calendar,P248,"1D","f")</f>
        <v>42307</v>
      </c>
      <c r="Q249" s="262">
        <f>_xll.qlInterpolationInterpolate($M$1,P249,TRUE)</f>
        <v>1.5405917292301233E-3</v>
      </c>
    </row>
    <row r="250" spans="5:17" ht="11.25" customHeight="1" x14ac:dyDescent="0.2">
      <c r="E250" s="172"/>
      <c r="F250" s="172"/>
      <c r="G250" s="39"/>
      <c r="J250" s="39"/>
      <c r="K250" s="39"/>
      <c r="P250" s="407">
        <f>_xll.qlCalendarAdvance(Calendar,P249,"1D","f")</f>
        <v>42310</v>
      </c>
      <c r="Q250" s="262">
        <f>_xll.qlInterpolationInterpolate($M$1,P250,TRUE)</f>
        <v>1.5428430372384848E-3</v>
      </c>
    </row>
    <row r="251" spans="5:17" ht="11.25" customHeight="1" x14ac:dyDescent="0.2">
      <c r="E251" s="172"/>
      <c r="F251" s="172"/>
      <c r="G251" s="39"/>
      <c r="J251" s="39"/>
      <c r="K251" s="39"/>
      <c r="P251" s="407">
        <f>_xll.qlCalendarAdvance(Calendar,P250,"1D","f")</f>
        <v>42311</v>
      </c>
      <c r="Q251" s="262">
        <f>_xll.qlInterpolationInterpolate($M$1,P251,TRUE)</f>
        <v>1.5435880721569252E-3</v>
      </c>
    </row>
    <row r="252" spans="5:17" ht="11.25" customHeight="1" x14ac:dyDescent="0.2">
      <c r="E252" s="172"/>
      <c r="F252" s="172"/>
      <c r="G252" s="39"/>
      <c r="J252" s="39"/>
      <c r="K252" s="39"/>
      <c r="P252" s="407">
        <f>_xll.qlCalendarAdvance(Calendar,P251,"1D","f")</f>
        <v>42312</v>
      </c>
      <c r="Q252" s="262">
        <f>_xll.qlInterpolationInterpolate($M$1,P252,TRUE)</f>
        <v>1.5443304594646994E-3</v>
      </c>
    </row>
    <row r="253" spans="5:17" ht="11.25" customHeight="1" x14ac:dyDescent="0.2">
      <c r="E253" s="172"/>
      <c r="F253" s="172"/>
      <c r="G253" s="39"/>
      <c r="J253" s="39"/>
      <c r="K253" s="39"/>
      <c r="P253" s="407">
        <f>_xll.qlCalendarAdvance(Calendar,P252,"1D","f")</f>
        <v>42313</v>
      </c>
      <c r="Q253" s="262">
        <f>_xll.qlInterpolationInterpolate($M$1,P253,TRUE)</f>
        <v>1.5450702309207115E-3</v>
      </c>
    </row>
    <row r="254" spans="5:17" ht="11.25" customHeight="1" x14ac:dyDescent="0.2">
      <c r="E254" s="172"/>
      <c r="F254" s="172"/>
      <c r="G254" s="39"/>
      <c r="J254" s="39"/>
      <c r="K254" s="39"/>
      <c r="P254" s="407">
        <f>_xll.qlCalendarAdvance(Calendar,P253,"1D","f")</f>
        <v>42314</v>
      </c>
      <c r="Q254" s="262">
        <f>_xll.qlInterpolationInterpolate($M$1,P254,TRUE)</f>
        <v>1.5458074182838665E-3</v>
      </c>
    </row>
    <row r="255" spans="5:17" ht="11.25" customHeight="1" x14ac:dyDescent="0.2">
      <c r="E255" s="172"/>
      <c r="F255" s="172"/>
      <c r="G255" s="39"/>
      <c r="J255" s="39"/>
      <c r="K255" s="39"/>
      <c r="P255" s="407">
        <f>_xll.qlCalendarAdvance(Calendar,P254,"1D","f")</f>
        <v>42317</v>
      </c>
      <c r="Q255" s="262">
        <f>_xll.qlInterpolationInterpolate($M$1,P255,TRUE)</f>
        <v>1.5480037934052292E-3</v>
      </c>
    </row>
    <row r="256" spans="5:17" ht="11.25" customHeight="1" x14ac:dyDescent="0.2">
      <c r="E256" s="172"/>
      <c r="F256" s="172"/>
      <c r="G256" s="39"/>
      <c r="J256" s="39"/>
      <c r="K256" s="39"/>
      <c r="P256" s="407">
        <f>_xll.qlCalendarAdvance(Calendar,P255,"1D","f")</f>
        <v>42318</v>
      </c>
      <c r="Q256" s="262">
        <f>_xll.qlInterpolationInterpolate($M$1,P256,TRUE)</f>
        <v>1.5487309619859973E-3</v>
      </c>
    </row>
    <row r="257" spans="5:17" ht="11.25" customHeight="1" x14ac:dyDescent="0.2">
      <c r="E257" s="172"/>
      <c r="F257" s="172"/>
      <c r="G257" s="39"/>
      <c r="J257" s="39"/>
      <c r="K257" s="39"/>
      <c r="P257" s="407">
        <f>_xll.qlCalendarAdvance(Calendar,P256,"1D","f")</f>
        <v>42319</v>
      </c>
      <c r="Q257" s="262">
        <f>_xll.qlInterpolationInterpolate($M$1,P257,TRUE)</f>
        <v>1.5494557052684297E-3</v>
      </c>
    </row>
    <row r="258" spans="5:17" ht="11.25" customHeight="1" x14ac:dyDescent="0.2">
      <c r="E258" s="172"/>
      <c r="F258" s="172"/>
      <c r="G258" s="39"/>
      <c r="J258" s="39"/>
      <c r="K258" s="39"/>
      <c r="P258" s="407">
        <f>_xll.qlCalendarAdvance(Calendar,P257,"1D","f")</f>
        <v>42320</v>
      </c>
      <c r="Q258" s="262">
        <f>_xll.qlInterpolationInterpolate($M$1,P258,TRUE)</f>
        <v>1.5501780550114307E-3</v>
      </c>
    </row>
    <row r="259" spans="5:17" ht="11.25" customHeight="1" x14ac:dyDescent="0.2">
      <c r="E259" s="172"/>
      <c r="F259" s="172"/>
      <c r="G259" s="39"/>
      <c r="J259" s="39"/>
      <c r="K259" s="39"/>
      <c r="P259" s="407">
        <f>_xll.qlCalendarAdvance(Calendar,P258,"1D","f")</f>
        <v>42321</v>
      </c>
      <c r="Q259" s="262">
        <f>_xll.qlInterpolationInterpolate($M$1,P259,TRUE)</f>
        <v>1.5508980429739046E-3</v>
      </c>
    </row>
    <row r="260" spans="5:17" ht="11.25" customHeight="1" x14ac:dyDescent="0.2">
      <c r="E260" s="172"/>
      <c r="F260" s="172"/>
      <c r="G260" s="39"/>
      <c r="J260" s="39"/>
      <c r="K260" s="39"/>
      <c r="P260" s="407">
        <f>_xll.qlCalendarAdvance(Calendar,P259,"1D","f")</f>
        <v>42324</v>
      </c>
      <c r="Q260" s="262">
        <f>_xll.qlInterpolationInterpolate($M$1,P260,TRUE)</f>
        <v>1.5530441537672066E-3</v>
      </c>
    </row>
    <row r="261" spans="5:17" ht="11.25" customHeight="1" x14ac:dyDescent="0.2">
      <c r="E261" s="172"/>
      <c r="F261" s="172"/>
      <c r="G261" s="39"/>
      <c r="J261" s="39"/>
      <c r="K261" s="39"/>
      <c r="P261" s="407">
        <f>_xll.qlCalendarAdvance(Calendar,P260,"1D","f")</f>
        <v>42325</v>
      </c>
      <c r="Q261" s="262">
        <f>_xll.qlInterpolationInterpolate($M$1,P261,TRUE)</f>
        <v>1.5537550121966154E-3</v>
      </c>
    </row>
    <row r="262" spans="5:17" ht="11.25" customHeight="1" x14ac:dyDescent="0.2">
      <c r="E262" s="172"/>
      <c r="F262" s="172"/>
      <c r="G262" s="39"/>
      <c r="J262" s="39"/>
      <c r="K262" s="39"/>
      <c r="P262" s="407">
        <f>_xll.qlCalendarAdvance(Calendar,P261,"1D","f")</f>
        <v>42326</v>
      </c>
      <c r="Q262" s="262">
        <f>_xll.qlInterpolationInterpolate($M$1,P262,TRUE)</f>
        <v>1.5544636676400189E-3</v>
      </c>
    </row>
    <row r="263" spans="5:17" ht="11.25" customHeight="1" x14ac:dyDescent="0.2">
      <c r="E263" s="172"/>
      <c r="F263" s="172"/>
      <c r="G263" s="39"/>
      <c r="J263" s="39"/>
      <c r="K263" s="39"/>
      <c r="P263" s="407">
        <f>_xll.qlCalendarAdvance(Calendar,P262,"1D","f")</f>
        <v>42327</v>
      </c>
      <c r="Q263" s="262">
        <f>_xll.qlInterpolationInterpolate($M$1,P263,TRUE)</f>
        <v>1.5551701518563212E-3</v>
      </c>
    </row>
    <row r="264" spans="5:17" ht="11.25" customHeight="1" x14ac:dyDescent="0.2">
      <c r="E264" s="172"/>
      <c r="F264" s="172"/>
      <c r="G264" s="39"/>
      <c r="J264" s="39"/>
      <c r="K264" s="39"/>
      <c r="P264" s="407">
        <f>_xll.qlCalendarAdvance(Calendar,P263,"1D","f")</f>
        <v>42328</v>
      </c>
      <c r="Q264" s="262">
        <f>_xll.qlInterpolationInterpolate($M$1,P264,TRUE)</f>
        <v>1.5558744966044267E-3</v>
      </c>
    </row>
    <row r="265" spans="5:17" ht="11.25" customHeight="1" x14ac:dyDescent="0.2">
      <c r="E265" s="172"/>
      <c r="F265" s="172"/>
      <c r="G265" s="39"/>
      <c r="J265" s="39"/>
      <c r="K265" s="39"/>
      <c r="P265" s="407">
        <f>_xll.qlCalendarAdvance(Calendar,P264,"1D","f")</f>
        <v>42331</v>
      </c>
      <c r="Q265" s="262">
        <f>_xll.qlInterpolationInterpolate($M$1,P265,TRUE)</f>
        <v>1.5579750116286064E-3</v>
      </c>
    </row>
    <row r="266" spans="5:17" ht="11.25" customHeight="1" x14ac:dyDescent="0.2">
      <c r="E266" s="172"/>
      <c r="F266" s="172"/>
      <c r="G266" s="39"/>
      <c r="J266" s="39"/>
      <c r="K266" s="39"/>
      <c r="P266" s="407">
        <f>_xll.qlCalendarAdvance(Calendar,P265,"1D","f")</f>
        <v>42332</v>
      </c>
      <c r="Q266" s="262">
        <f>_xll.qlInterpolationInterpolate($M$1,P266,TRUE)</f>
        <v>1.5586711160929685E-3</v>
      </c>
    </row>
    <row r="267" spans="5:17" ht="11.25" customHeight="1" x14ac:dyDescent="0.2">
      <c r="E267" s="172"/>
      <c r="F267" s="172"/>
      <c r="G267" s="39"/>
      <c r="J267" s="39"/>
      <c r="K267" s="39"/>
      <c r="P267" s="407">
        <f>_xll.qlCalendarAdvance(Calendar,P266,"1D","f")</f>
        <v>42333</v>
      </c>
      <c r="Q267" s="262">
        <f>_xll.qlInterpolationInterpolate($M$1,P267,TRUE)</f>
        <v>1.5593652398836555E-3</v>
      </c>
    </row>
    <row r="268" spans="5:17" ht="11.25" customHeight="1" x14ac:dyDescent="0.2">
      <c r="E268" s="172"/>
      <c r="F268" s="172"/>
      <c r="G268" s="39"/>
      <c r="J268" s="39"/>
      <c r="K268" s="39"/>
      <c r="P268" s="407">
        <f>_xll.qlCalendarAdvance(Calendar,P267,"1D","f")</f>
        <v>42334</v>
      </c>
      <c r="Q268" s="262">
        <f>_xll.qlInterpolationInterpolate($M$1,P268,TRUE)</f>
        <v>1.5600574147595718E-3</v>
      </c>
    </row>
    <row r="269" spans="5:17" ht="11.25" customHeight="1" x14ac:dyDescent="0.2">
      <c r="E269" s="172"/>
      <c r="F269" s="172"/>
      <c r="G269" s="39"/>
      <c r="J269" s="39"/>
      <c r="K269" s="39"/>
      <c r="P269" s="407">
        <f>_xll.qlCalendarAdvance(Calendar,P268,"1D","f")</f>
        <v>42335</v>
      </c>
      <c r="Q269" s="262">
        <f>_xll.qlInterpolationInterpolate($M$1,P269,TRUE)</f>
        <v>1.5607476724796218E-3</v>
      </c>
    </row>
    <row r="270" spans="5:17" ht="11.25" customHeight="1" x14ac:dyDescent="0.2">
      <c r="E270" s="172"/>
      <c r="F270" s="172"/>
      <c r="G270" s="39"/>
      <c r="J270" s="39"/>
      <c r="K270" s="39"/>
      <c r="P270" s="407">
        <f>_xll.qlCalendarAdvance(Calendar,P269,"1D","f")</f>
        <v>42338</v>
      </c>
      <c r="Q270" s="262">
        <f>_xll.qlInterpolationInterpolate($M$1,P270,TRUE)</f>
        <v>1.562807260293617E-3</v>
      </c>
    </row>
    <row r="271" spans="5:17" ht="11.25" customHeight="1" x14ac:dyDescent="0.2">
      <c r="E271" s="172"/>
      <c r="F271" s="172"/>
      <c r="G271" s="39"/>
      <c r="J271" s="39"/>
      <c r="K271" s="39"/>
      <c r="P271" s="407">
        <f>_xll.qlCalendarAdvance(Calendar,P270,"1D","f")</f>
        <v>42339</v>
      </c>
      <c r="Q271" s="262">
        <f>_xll.qlInterpolationInterpolate($M$1,P271,TRUE)</f>
        <v>1.5634901669792452E-3</v>
      </c>
    </row>
    <row r="272" spans="5:17" ht="11.25" customHeight="1" x14ac:dyDescent="0.2">
      <c r="E272" s="172"/>
      <c r="F272" s="172"/>
      <c r="G272" s="39"/>
      <c r="J272" s="39"/>
      <c r="K272" s="39"/>
      <c r="P272" s="407">
        <f>_xll.qlCalendarAdvance(Calendar,P271,"1D","f")</f>
        <v>42340</v>
      </c>
      <c r="Q272" s="262">
        <f>_xll.qlInterpolationInterpolate($M$1,P272,TRUE)</f>
        <v>1.5641713153035286E-3</v>
      </c>
    </row>
    <row r="273" spans="5:17" ht="11.25" customHeight="1" x14ac:dyDescent="0.2">
      <c r="E273" s="172"/>
      <c r="F273" s="172"/>
      <c r="G273" s="39"/>
      <c r="J273" s="39"/>
      <c r="K273" s="39"/>
      <c r="P273" s="407">
        <f>_xll.qlCalendarAdvance(Calendar,P272,"1D","f")</f>
        <v>42341</v>
      </c>
      <c r="Q273" s="262">
        <f>_xll.qlInterpolationInterpolate($M$1,P273,TRUE)</f>
        <v>1.5648507370253715E-3</v>
      </c>
    </row>
    <row r="274" spans="5:17" ht="11.25" customHeight="1" x14ac:dyDescent="0.2">
      <c r="E274" s="172"/>
      <c r="F274" s="172"/>
      <c r="G274" s="39"/>
      <c r="J274" s="39"/>
      <c r="K274" s="39"/>
      <c r="P274" s="407">
        <f>_xll.qlCalendarAdvance(Calendar,P273,"1D","f")</f>
        <v>42342</v>
      </c>
      <c r="Q274" s="262">
        <f>_xll.qlInterpolationInterpolate($M$1,P274,TRUE)</f>
        <v>1.5655284639036788E-3</v>
      </c>
    </row>
    <row r="275" spans="5:17" ht="11.25" customHeight="1" x14ac:dyDescent="0.2">
      <c r="E275" s="172"/>
      <c r="F275" s="172"/>
      <c r="G275" s="39"/>
      <c r="J275" s="39"/>
      <c r="K275" s="39"/>
      <c r="P275" s="407">
        <f>_xll.qlCalendarAdvance(Calendar,P274,"1D","f")</f>
        <v>42345</v>
      </c>
      <c r="Q275" s="262">
        <f>_xll.qlInterpolationInterpolate($M$1,P275,TRUE)</f>
        <v>1.5675517930664276E-3</v>
      </c>
    </row>
    <row r="276" spans="5:17" ht="11.25" customHeight="1" x14ac:dyDescent="0.2">
      <c r="E276" s="172"/>
      <c r="F276" s="172"/>
      <c r="G276" s="39"/>
      <c r="J276" s="39"/>
      <c r="K276" s="39"/>
      <c r="P276" s="407">
        <f>_xll.qlCalendarAdvance(Calendar,P275,"1D","f")</f>
        <v>42346</v>
      </c>
      <c r="Q276" s="262">
        <f>_xll.qlInterpolationInterpolate($M$1,P276,TRUE)</f>
        <v>1.5682230581596343E-3</v>
      </c>
    </row>
    <row r="277" spans="5:17" ht="11.25" customHeight="1" x14ac:dyDescent="0.2">
      <c r="E277" s="172"/>
      <c r="F277" s="172"/>
      <c r="G277" s="39"/>
      <c r="J277" s="39"/>
      <c r="K277" s="39"/>
      <c r="P277" s="407">
        <f>_xll.qlCalendarAdvance(Calendar,P276,"1D","f")</f>
        <v>42347</v>
      </c>
      <c r="Q277" s="262">
        <f>_xll.qlInterpolationInterpolate($M$1,P277,TRUE)</f>
        <v>1.5688927872038268E-3</v>
      </c>
    </row>
    <row r="278" spans="5:17" ht="11.25" customHeight="1" x14ac:dyDescent="0.2">
      <c r="E278" s="172"/>
      <c r="F278" s="172"/>
      <c r="G278" s="39"/>
      <c r="J278" s="39"/>
      <c r="K278" s="39"/>
      <c r="P278" s="407">
        <f>_xll.qlCalendarAdvance(Calendar,P277,"1D","f")</f>
        <v>42348</v>
      </c>
      <c r="Q278" s="262">
        <f>_xll.qlInterpolationInterpolate($M$1,P278,TRUE)</f>
        <v>1.5695610119579092E-3</v>
      </c>
    </row>
    <row r="279" spans="5:17" ht="11.25" customHeight="1" x14ac:dyDescent="0.2">
      <c r="E279" s="172"/>
      <c r="F279" s="172"/>
      <c r="G279" s="39"/>
      <c r="J279" s="39"/>
      <c r="K279" s="39"/>
      <c r="P279" s="407">
        <f>_xll.qlCalendarAdvance(Calendar,P278,"1D","f")</f>
        <v>42349</v>
      </c>
      <c r="Q279" s="262">
        <f>_xll.qlInterpolationInterpolate($M$1,P279,TRUE)</f>
        <v>1.5702277641807861E-3</v>
      </c>
    </row>
    <row r="280" spans="5:17" ht="11.25" customHeight="1" x14ac:dyDescent="0.2">
      <c r="E280" s="172"/>
      <c r="F280" s="172"/>
      <c r="G280" s="39"/>
      <c r="J280" s="39"/>
      <c r="K280" s="39"/>
      <c r="P280" s="407">
        <f>_xll.qlCalendarAdvance(Calendar,P279,"1D","f")</f>
        <v>42352</v>
      </c>
      <c r="Q280" s="262">
        <f>_xll.qlInterpolationInterpolate($M$1,P280,TRUE)</f>
        <v>1.5722195032512268E-3</v>
      </c>
    </row>
    <row r="281" spans="5:17" ht="11.25" customHeight="1" x14ac:dyDescent="0.2">
      <c r="E281" s="172"/>
      <c r="F281" s="172"/>
      <c r="G281" s="39"/>
      <c r="J281" s="39"/>
      <c r="K281" s="39"/>
      <c r="P281" s="407">
        <f>_xll.qlCalendarAdvance(Calendar,P280,"1D","f")</f>
        <v>42353</v>
      </c>
      <c r="Q281" s="262">
        <f>_xll.qlInterpolationInterpolate($M$1,P281,TRUE)</f>
        <v>1.5728806829383251E-3</v>
      </c>
    </row>
    <row r="282" spans="5:17" ht="11.25" customHeight="1" x14ac:dyDescent="0.2">
      <c r="E282" s="172"/>
      <c r="F282" s="172"/>
      <c r="G282" s="39"/>
      <c r="J282" s="39"/>
      <c r="K282" s="39"/>
      <c r="P282" s="407">
        <f>_xll.qlCalendarAdvance(Calendar,P281,"1D","f")</f>
        <v>42354</v>
      </c>
      <c r="Q282" s="262">
        <f>_xll.qlInterpolationInterpolate($M$1,P282,TRUE)</f>
        <v>1.5735405488887392E-3</v>
      </c>
    </row>
    <row r="283" spans="5:17" ht="11.25" customHeight="1" x14ac:dyDescent="0.2">
      <c r="E283" s="172"/>
      <c r="F283" s="172"/>
      <c r="G283" s="39"/>
      <c r="J283" s="39"/>
      <c r="K283" s="39"/>
      <c r="P283" s="407">
        <f>_xll.qlCalendarAdvance(Calendar,P282,"1D","f")</f>
        <v>42355</v>
      </c>
      <c r="Q283" s="262">
        <f>_xll.qlInterpolationInterpolate($M$1,P283,TRUE)</f>
        <v>1.5741991328613737E-3</v>
      </c>
    </row>
    <row r="284" spans="5:17" ht="11.25" customHeight="1" x14ac:dyDescent="0.2">
      <c r="E284" s="172"/>
      <c r="F284" s="172"/>
      <c r="G284" s="39"/>
      <c r="J284" s="39"/>
      <c r="K284" s="39"/>
      <c r="P284" s="407">
        <f>_xll.qlCalendarAdvance(Calendar,P283,"1D","f")</f>
        <v>42356</v>
      </c>
      <c r="Q284" s="262">
        <f>_xll.qlInterpolationInterpolate($M$1,P284,TRUE)</f>
        <v>1.5748564666151332E-3</v>
      </c>
    </row>
    <row r="285" spans="5:17" ht="11.25" customHeight="1" x14ac:dyDescent="0.2">
      <c r="E285" s="172"/>
      <c r="F285" s="172"/>
      <c r="G285" s="39"/>
      <c r="J285" s="39"/>
      <c r="K285" s="39"/>
      <c r="P285" s="407">
        <f>_xll.qlCalendarAdvance(Calendar,P284,"1D","f")</f>
        <v>42359</v>
      </c>
      <c r="Q285" s="262">
        <f>_xll.qlInterpolationInterpolate($M$1,P285,TRUE)</f>
        <v>1.5768212841522039E-3</v>
      </c>
    </row>
    <row r="286" spans="5:17" ht="11.25" customHeight="1" x14ac:dyDescent="0.2">
      <c r="E286" s="172"/>
      <c r="F286" s="172"/>
      <c r="G286" s="39"/>
      <c r="J286" s="39"/>
      <c r="K286" s="39"/>
      <c r="P286" s="407">
        <f>_xll.qlCalendarAdvance(Calendar,P285,"1D","f")</f>
        <v>42360</v>
      </c>
      <c r="Q286" s="262">
        <f>_xll.qlInterpolationInterpolate($M$1,P286,TRUE)</f>
        <v>1.5774739346195059E-3</v>
      </c>
    </row>
    <row r="287" spans="5:17" ht="11.25" customHeight="1" x14ac:dyDescent="0.2">
      <c r="E287" s="172"/>
      <c r="F287" s="172"/>
      <c r="G287" s="39"/>
      <c r="J287" s="39"/>
      <c r="K287" s="39"/>
      <c r="P287" s="407">
        <f>_xll.qlCalendarAdvance(Calendar,P286,"1D","f")</f>
        <v>42361</v>
      </c>
      <c r="Q287" s="262">
        <f>_xll.qlInterpolationInterpolate($M$1,P287,TRUE)</f>
        <v>1.5781254936624545E-3</v>
      </c>
    </row>
    <row r="288" spans="5:17" ht="11.25" customHeight="1" x14ac:dyDescent="0.2">
      <c r="E288" s="172"/>
      <c r="F288" s="172"/>
      <c r="G288" s="39"/>
      <c r="J288" s="39"/>
      <c r="K288" s="39"/>
      <c r="P288" s="407">
        <f>_xll.qlCalendarAdvance(Calendar,P287,"1D","f")</f>
        <v>42362</v>
      </c>
      <c r="Q288" s="262">
        <f>_xll.qlInterpolationInterpolate($M$1,P288,TRUE)</f>
        <v>1.5787759930399538E-3</v>
      </c>
    </row>
    <row r="289" spans="5:17" ht="11.25" customHeight="1" x14ac:dyDescent="0.2">
      <c r="E289" s="172"/>
      <c r="F289" s="172"/>
      <c r="G289" s="39"/>
      <c r="J289" s="39"/>
      <c r="K289" s="39"/>
      <c r="P289" s="407">
        <f>_xll.qlCalendarAdvance(Calendar,P288,"1D","f")</f>
        <v>42366</v>
      </c>
      <c r="Q289" s="262">
        <f>_xll.qlInterpolationInterpolate($M$1,P289,TRUE)</f>
        <v>1.5813680290735471E-3</v>
      </c>
    </row>
    <row r="290" spans="5:17" ht="11.25" customHeight="1" x14ac:dyDescent="0.2">
      <c r="E290" s="172"/>
      <c r="F290" s="172"/>
      <c r="G290" s="39"/>
      <c r="J290" s="39"/>
      <c r="K290" s="39"/>
      <c r="P290" s="407">
        <f>_xll.qlCalendarAdvance(Calendar,P289,"1D","f")</f>
        <v>42367</v>
      </c>
      <c r="Q290" s="262">
        <f>_xll.qlInterpolationInterpolate($M$1,P290,TRUE)</f>
        <v>1.5820137065073658E-3</v>
      </c>
    </row>
    <row r="291" spans="5:17" ht="11.25" customHeight="1" x14ac:dyDescent="0.2">
      <c r="E291" s="172"/>
      <c r="F291" s="172"/>
      <c r="G291" s="39"/>
      <c r="J291" s="39"/>
      <c r="K291" s="39"/>
      <c r="P291" s="407">
        <f>_xll.qlCalendarAdvance(Calendar,P290,"1D","f")</f>
        <v>42368</v>
      </c>
      <c r="Q291" s="262">
        <f>_xll.qlInterpolationInterpolate($M$1,P291,TRUE)</f>
        <v>1.5826585148291615E-3</v>
      </c>
    </row>
    <row r="292" spans="5:17" ht="11.25" customHeight="1" x14ac:dyDescent="0.2">
      <c r="E292" s="172"/>
      <c r="F292" s="172"/>
      <c r="G292" s="39"/>
      <c r="J292" s="39"/>
      <c r="K292" s="39"/>
      <c r="P292" s="407">
        <f>_xll.qlCalendarAdvance(Calendar,P291,"1D","f")</f>
        <v>42369</v>
      </c>
      <c r="Q292" s="262">
        <f>_xll.qlInterpolationInterpolate($M$1,P292,TRUE)</f>
        <v>1.5833024857978386E-3</v>
      </c>
    </row>
    <row r="293" spans="5:17" ht="11.25" customHeight="1" x14ac:dyDescent="0.2">
      <c r="E293" s="172"/>
      <c r="F293" s="172"/>
      <c r="G293" s="39"/>
      <c r="J293" s="39"/>
      <c r="K293" s="39"/>
      <c r="P293" s="407">
        <f>_xll.qlCalendarAdvance(Calendar,P292,"1D","f")</f>
        <v>42373</v>
      </c>
      <c r="Q293" s="262">
        <f>_xll.qlInterpolationInterpolate($M$1,P293,TRUE)</f>
        <v>1.5858706313194456E-3</v>
      </c>
    </row>
    <row r="294" spans="5:17" ht="11.25" customHeight="1" x14ac:dyDescent="0.2">
      <c r="E294" s="172"/>
      <c r="F294" s="172"/>
      <c r="G294" s="39"/>
      <c r="J294" s="39"/>
      <c r="K294" s="39"/>
      <c r="P294" s="407">
        <f>_xll.qlCalendarAdvance(Calendar,P293,"1D","f")</f>
        <v>42374</v>
      </c>
      <c r="Q294" s="262">
        <f>_xll.qlInterpolationInterpolate($M$1,P294,TRUE)</f>
        <v>1.5865108919060939E-3</v>
      </c>
    </row>
    <row r="295" spans="5:17" ht="11.25" customHeight="1" x14ac:dyDescent="0.2">
      <c r="E295" s="172"/>
      <c r="F295" s="172"/>
      <c r="G295" s="39"/>
      <c r="J295" s="39"/>
      <c r="K295" s="39"/>
      <c r="P295" s="407">
        <f>_xll.qlCalendarAdvance(Calendar,P294,"1D","f")</f>
        <v>42375</v>
      </c>
      <c r="Q295" s="262">
        <f>_xll.qlInterpolationInterpolate($M$1,P295,TRUE)</f>
        <v>1.5871505056930496E-3</v>
      </c>
    </row>
    <row r="296" spans="5:17" ht="11.25" customHeight="1" x14ac:dyDescent="0.2">
      <c r="E296" s="172"/>
      <c r="F296" s="172"/>
      <c r="G296" s="39"/>
      <c r="J296" s="39"/>
      <c r="K296" s="39"/>
      <c r="P296" s="407">
        <f>_xll.qlCalendarAdvance(Calendar,P295,"1D","f")</f>
        <v>42376</v>
      </c>
      <c r="Q296" s="262">
        <f>_xll.qlInterpolationInterpolate($M$1,P296,TRUE)</f>
        <v>1.5877895044392166E-3</v>
      </c>
    </row>
    <row r="297" spans="5:17" ht="11.25" customHeight="1" x14ac:dyDescent="0.2">
      <c r="E297" s="172"/>
      <c r="F297" s="172"/>
      <c r="G297" s="39"/>
      <c r="J297" s="39"/>
      <c r="K297" s="39"/>
      <c r="P297" s="407">
        <f>_xll.qlCalendarAdvance(Calendar,P296,"1D","f")</f>
        <v>42377</v>
      </c>
      <c r="Q297" s="262">
        <f>_xll.qlInterpolationInterpolate($M$1,P297,TRUE)</f>
        <v>1.5884279199034998E-3</v>
      </c>
    </row>
    <row r="298" spans="5:17" ht="11.25" customHeight="1" x14ac:dyDescent="0.2">
      <c r="E298" s="172"/>
      <c r="F298" s="172"/>
      <c r="G298" s="39"/>
      <c r="J298" s="39"/>
      <c r="K298" s="39"/>
      <c r="P298" s="407">
        <f>_xll.qlCalendarAdvance(Calendar,P297,"1D","f")</f>
        <v>42380</v>
      </c>
      <c r="Q298" s="262">
        <f>_xll.qlInterpolationInterpolate($M$1,P298,TRUE)</f>
        <v>1.5903399841940885E-3</v>
      </c>
    </row>
    <row r="299" spans="5:17" ht="11.25" customHeight="1" x14ac:dyDescent="0.2">
      <c r="E299" s="172"/>
      <c r="F299" s="172"/>
      <c r="G299" s="39"/>
      <c r="J299" s="39"/>
      <c r="K299" s="39"/>
      <c r="P299" s="407">
        <f>_xll.qlCalendarAdvance(Calendar,P298,"1D","f")</f>
        <v>42381</v>
      </c>
      <c r="Q299" s="262">
        <f>_xll.qlInterpolationInterpolate($M$1,P299,TRUE)</f>
        <v>1.5909763841198787E-3</v>
      </c>
    </row>
    <row r="300" spans="5:17" ht="11.25" customHeight="1" x14ac:dyDescent="0.2">
      <c r="E300" s="172"/>
      <c r="F300" s="172"/>
      <c r="G300" s="39"/>
      <c r="J300" s="39"/>
      <c r="K300" s="39"/>
      <c r="P300" s="407">
        <f>_xll.qlCalendarAdvance(Calendar,P299,"1D","f")</f>
        <v>42382</v>
      </c>
      <c r="Q300" s="262">
        <f>_xll.qlInterpolationInterpolate($M$1,P300,TRUE)</f>
        <v>1.5916123595583068E-3</v>
      </c>
    </row>
    <row r="301" spans="5:17" ht="11.25" customHeight="1" x14ac:dyDescent="0.2">
      <c r="E301" s="172"/>
      <c r="F301" s="172"/>
      <c r="G301" s="39"/>
      <c r="J301" s="39"/>
      <c r="K301" s="39"/>
      <c r="P301" s="407">
        <f>_xll.qlCalendarAdvance(Calendar,P300,"1D","f")</f>
        <v>42383</v>
      </c>
      <c r="Q301" s="262">
        <f>_xll.qlInterpolationInterpolate($M$1,P301,TRUE)</f>
        <v>1.5922479422682771E-3</v>
      </c>
    </row>
    <row r="302" spans="5:17" ht="11.25" customHeight="1" x14ac:dyDescent="0.2">
      <c r="E302" s="172"/>
      <c r="F302" s="172"/>
      <c r="G302" s="39"/>
      <c r="J302" s="39"/>
      <c r="K302" s="39"/>
      <c r="P302" s="407">
        <f>_xll.qlCalendarAdvance(Calendar,P301,"1D","f")</f>
        <v>42384</v>
      </c>
      <c r="Q302" s="262">
        <f>_xll.qlInterpolationInterpolate($M$1,P302,TRUE)</f>
        <v>1.5928831640086934E-3</v>
      </c>
    </row>
    <row r="303" spans="5:17" ht="11.25" customHeight="1" x14ac:dyDescent="0.2">
      <c r="E303" s="172"/>
      <c r="F303" s="172"/>
      <c r="G303" s="39"/>
      <c r="J303" s="39"/>
      <c r="K303" s="39"/>
      <c r="P303" s="407">
        <f>_xll.qlCalendarAdvance(Calendar,P302,"1D","f")</f>
        <v>42387</v>
      </c>
      <c r="Q303" s="262">
        <f>_xll.qlInterpolationInterpolate($M$1,P303,TRUE)</f>
        <v>1.5947869810016642E-3</v>
      </c>
    </row>
    <row r="304" spans="5:17" ht="11.25" customHeight="1" x14ac:dyDescent="0.2">
      <c r="E304" s="172"/>
      <c r="F304" s="172"/>
      <c r="G304" s="39"/>
      <c r="J304" s="39"/>
      <c r="K304" s="39"/>
      <c r="P304" s="407">
        <f>_xll.qlCalendarAdvance(Calendar,P303,"1D","f")</f>
        <v>42388</v>
      </c>
      <c r="Q304" s="262">
        <f>_xll.qlInterpolationInterpolate($M$1,P304,TRUE)</f>
        <v>1.5954210764529094E-3</v>
      </c>
    </row>
    <row r="305" spans="5:17" ht="11.25" customHeight="1" x14ac:dyDescent="0.2">
      <c r="E305" s="172"/>
      <c r="F305" s="172"/>
      <c r="G305" s="39"/>
      <c r="J305" s="39"/>
      <c r="K305" s="39"/>
      <c r="P305" s="407">
        <f>_xll.qlCalendarAdvance(Calendar,P304,"1D","f")</f>
        <v>42389</v>
      </c>
      <c r="Q305" s="262">
        <f>_xll.qlInterpolationInterpolate($M$1,P305,TRUE)</f>
        <v>1.5960549697291227E-3</v>
      </c>
    </row>
    <row r="306" spans="5:17" ht="11.25" customHeight="1" x14ac:dyDescent="0.2">
      <c r="E306" s="172"/>
      <c r="F306" s="172"/>
      <c r="G306" s="39"/>
      <c r="J306" s="39"/>
      <c r="K306" s="39"/>
      <c r="P306" s="407">
        <f>_xll.qlCalendarAdvance(Calendar,P305,"1D","f")</f>
        <v>42390</v>
      </c>
      <c r="Q306" s="262">
        <f>_xll.qlInterpolationInterpolate($M$1,P306,TRUE)</f>
        <v>1.5966886925892084E-3</v>
      </c>
    </row>
    <row r="307" spans="5:17" ht="11.25" customHeight="1" x14ac:dyDescent="0.2">
      <c r="E307" s="172"/>
      <c r="F307" s="172"/>
      <c r="G307" s="39"/>
      <c r="J307" s="39"/>
      <c r="K307" s="39"/>
      <c r="P307" s="407">
        <f>_xll.qlCalendarAdvance(Calendar,P306,"1D","f")</f>
        <v>42391</v>
      </c>
      <c r="Q307" s="262">
        <f>_xll.qlInterpolationInterpolate($M$1,P307,TRUE)</f>
        <v>1.5973222767920708E-3</v>
      </c>
    </row>
    <row r="308" spans="5:17" ht="11.25" customHeight="1" x14ac:dyDescent="0.2">
      <c r="E308" s="172"/>
      <c r="F308" s="172"/>
      <c r="G308" s="39"/>
      <c r="J308" s="39"/>
      <c r="K308" s="39"/>
      <c r="P308" s="407">
        <f>_xll.qlCalendarAdvance(Calendar,P307,"1D","f")</f>
        <v>42394</v>
      </c>
      <c r="Q308" s="262">
        <f>_xll.qlInterpolationInterpolate($M$1,P308,TRUE)</f>
        <v>1.5992225150463619E-3</v>
      </c>
    </row>
    <row r="309" spans="5:17" ht="11.25" customHeight="1" x14ac:dyDescent="0.2">
      <c r="E309" s="172"/>
      <c r="F309" s="172"/>
      <c r="G309" s="39"/>
      <c r="J309" s="39"/>
      <c r="K309" s="39"/>
      <c r="P309" s="407">
        <f>_xll.qlCalendarAdvance(Calendar,P308,"1D","f")</f>
        <v>42395</v>
      </c>
      <c r="Q309" s="262">
        <f>_xll.qlInterpolationInterpolate($M$1,P309,TRUE)</f>
        <v>1.5998558622093745E-3</v>
      </c>
    </row>
    <row r="310" spans="5:17" ht="11.25" customHeight="1" x14ac:dyDescent="0.2">
      <c r="E310" s="172"/>
      <c r="F310" s="172"/>
      <c r="G310" s="39"/>
      <c r="J310" s="39"/>
      <c r="K310" s="39"/>
      <c r="P310" s="407">
        <f>_xll.qlCalendarAdvance(Calendar,P309,"1D","f")</f>
        <v>42396</v>
      </c>
      <c r="Q310" s="262">
        <f>_xll.qlInterpolationInterpolate($M$1,P310,TRUE)</f>
        <v>1.6004892295096859E-3</v>
      </c>
    </row>
    <row r="311" spans="5:17" ht="11.25" customHeight="1" x14ac:dyDescent="0.2">
      <c r="E311" s="172"/>
      <c r="F311" s="172"/>
      <c r="G311" s="39"/>
      <c r="J311" s="39"/>
      <c r="K311" s="39"/>
      <c r="P311" s="407">
        <f>_xll.qlCalendarAdvance(Calendar,P310,"1D","f")</f>
        <v>42397</v>
      </c>
      <c r="Q311" s="262">
        <f>_xll.qlInterpolationInterpolate($M$1,P311,TRUE)</f>
        <v>1.6011226487061998E-3</v>
      </c>
    </row>
    <row r="312" spans="5:17" ht="11.25" customHeight="1" x14ac:dyDescent="0.2">
      <c r="E312" s="172"/>
      <c r="F312" s="172"/>
      <c r="G312" s="39"/>
      <c r="J312" s="39"/>
      <c r="K312" s="39"/>
      <c r="P312" s="407">
        <f>_xll.qlCalendarAdvance(Calendar,P311,"1D","f")</f>
        <v>42398</v>
      </c>
      <c r="Q312" s="262">
        <f>_xll.qlInterpolationInterpolate($M$1,P312,TRUE)</f>
        <v>1.6017561515578207E-3</v>
      </c>
    </row>
    <row r="313" spans="5:17" ht="11.25" customHeight="1" x14ac:dyDescent="0.2">
      <c r="E313" s="172"/>
      <c r="F313" s="172"/>
      <c r="G313" s="39"/>
      <c r="J313" s="39"/>
      <c r="K313" s="39"/>
      <c r="P313" s="407">
        <f>_xll.qlCalendarAdvance(Calendar,P312,"1D","f")</f>
        <v>42401</v>
      </c>
      <c r="Q313" s="262">
        <f>_xll.qlInterpolationInterpolate($M$1,P313,TRUE)</f>
        <v>1.6036574796323701E-3</v>
      </c>
    </row>
    <row r="314" spans="5:17" ht="11.25" customHeight="1" x14ac:dyDescent="0.2">
      <c r="E314" s="172"/>
      <c r="F314" s="172"/>
      <c r="G314" s="39"/>
      <c r="J314" s="39"/>
      <c r="K314" s="39"/>
      <c r="P314" s="407">
        <f>_xll.qlCalendarAdvance(Calendar,P313,"1D","f")</f>
        <v>42402</v>
      </c>
      <c r="Q314" s="262">
        <f>_xll.qlInterpolationInterpolate($M$1,P314,TRUE)</f>
        <v>1.6042916346934632E-3</v>
      </c>
    </row>
    <row r="315" spans="5:17" ht="11.25" customHeight="1" x14ac:dyDescent="0.2">
      <c r="E315" s="172"/>
      <c r="F315" s="172"/>
      <c r="G315" s="39"/>
      <c r="J315" s="39"/>
      <c r="K315" s="39"/>
      <c r="P315" s="407">
        <f>_xll.qlCalendarAdvance(Calendar,P314,"1D","f")</f>
        <v>42403</v>
      </c>
      <c r="Q315" s="262">
        <f>_xll.qlInterpolationInterpolate($M$1,P315,TRUE)</f>
        <v>1.6049260322041849E-3</v>
      </c>
    </row>
    <row r="316" spans="5:17" ht="11.25" customHeight="1" x14ac:dyDescent="0.2">
      <c r="E316" s="172"/>
      <c r="F316" s="172"/>
      <c r="G316" s="39"/>
      <c r="J316" s="39"/>
      <c r="K316" s="39"/>
      <c r="P316" s="407">
        <f>_xll.qlCalendarAdvance(Calendar,P315,"1D","f")</f>
        <v>42404</v>
      </c>
      <c r="Q316" s="262">
        <f>_xll.qlInterpolationInterpolate($M$1,P316,TRUE)</f>
        <v>1.60556070392344E-3</v>
      </c>
    </row>
    <row r="317" spans="5:17" ht="11.25" customHeight="1" x14ac:dyDescent="0.2">
      <c r="E317" s="172"/>
      <c r="F317" s="172"/>
      <c r="G317" s="39"/>
      <c r="J317" s="39"/>
      <c r="K317" s="39"/>
      <c r="P317" s="407">
        <f>_xll.qlCalendarAdvance(Calendar,P316,"1D","f")</f>
        <v>42405</v>
      </c>
      <c r="Q317" s="262">
        <f>_xll.qlInterpolationInterpolate($M$1,P317,TRUE)</f>
        <v>1.6061956816101324E-3</v>
      </c>
    </row>
    <row r="318" spans="5:17" ht="11.25" customHeight="1" x14ac:dyDescent="0.2">
      <c r="E318" s="172"/>
      <c r="F318" s="172"/>
      <c r="G318" s="39"/>
      <c r="J318" s="39"/>
      <c r="K318" s="39"/>
      <c r="P318" s="407">
        <f>_xll.qlCalendarAdvance(Calendar,P317,"1D","f")</f>
        <v>42408</v>
      </c>
      <c r="Q318" s="262">
        <f>_xll.qlInterpolationInterpolate($M$1,P318,TRUE)</f>
        <v>1.6081027680638783E-3</v>
      </c>
    </row>
    <row r="319" spans="5:17" ht="11.25" customHeight="1" x14ac:dyDescent="0.2">
      <c r="E319" s="172"/>
      <c r="F319" s="172"/>
      <c r="G319" s="39"/>
      <c r="J319" s="39"/>
      <c r="K319" s="39"/>
      <c r="P319" s="407">
        <f>_xll.qlCalendarAdvance(Calendar,P318,"1D","f")</f>
        <v>42409</v>
      </c>
      <c r="Q319" s="262">
        <f>_xll.qlInterpolationInterpolate($M$1,P319,TRUE)</f>
        <v>1.608739287209364E-3</v>
      </c>
    </row>
    <row r="320" spans="5:17" ht="11.25" customHeight="1" x14ac:dyDescent="0.2">
      <c r="E320" s="172"/>
      <c r="F320" s="172"/>
      <c r="G320" s="39"/>
      <c r="J320" s="39"/>
      <c r="K320" s="39"/>
      <c r="P320" s="407">
        <f>_xll.qlCalendarAdvance(Calendar,P319,"1D","f")</f>
        <v>42410</v>
      </c>
      <c r="Q320" s="262">
        <f>_xll.qlInterpolationInterpolate($M$1,P320,TRUE)</f>
        <v>1.6093762711168092E-3</v>
      </c>
    </row>
    <row r="321" spans="5:17" ht="11.25" customHeight="1" x14ac:dyDescent="0.2">
      <c r="E321" s="172"/>
      <c r="F321" s="172"/>
      <c r="G321" s="39"/>
      <c r="J321" s="39"/>
      <c r="K321" s="39"/>
      <c r="P321" s="407">
        <f>_xll.qlCalendarAdvance(Calendar,P320,"1D","f")</f>
        <v>42411</v>
      </c>
      <c r="Q321" s="262">
        <f>_xll.qlInterpolationInterpolate($M$1,P321,TRUE)</f>
        <v>1.6100137515451178E-3</v>
      </c>
    </row>
    <row r="322" spans="5:17" ht="11.25" customHeight="1" x14ac:dyDescent="0.2">
      <c r="E322" s="172"/>
      <c r="F322" s="172"/>
      <c r="G322" s="39"/>
      <c r="J322" s="39"/>
      <c r="K322" s="39"/>
      <c r="P322" s="407">
        <f>_xll.qlCalendarAdvance(Calendar,P321,"1D","f")</f>
        <v>42412</v>
      </c>
      <c r="Q322" s="262">
        <f>_xll.qlInterpolationInterpolate($M$1,P322,TRUE)</f>
        <v>1.6106517602531944E-3</v>
      </c>
    </row>
    <row r="323" spans="5:17" ht="11.25" customHeight="1" x14ac:dyDescent="0.2">
      <c r="E323" s="172"/>
      <c r="F323" s="172"/>
      <c r="G323" s="39"/>
      <c r="J323" s="39"/>
      <c r="K323" s="39"/>
      <c r="P323" s="407">
        <f>_xll.qlCalendarAdvance(Calendar,P322,"1D","f")</f>
        <v>42415</v>
      </c>
      <c r="Q323" s="262">
        <f>_xll.qlInterpolationInterpolate($M$1,P323,TRUE)</f>
        <v>1.6125692736450746E-3</v>
      </c>
    </row>
    <row r="324" spans="5:17" ht="11.25" customHeight="1" x14ac:dyDescent="0.2">
      <c r="E324" s="172"/>
      <c r="F324" s="172"/>
      <c r="G324" s="39"/>
      <c r="J324" s="39"/>
      <c r="K324" s="39"/>
      <c r="P324" s="407">
        <f>_xll.qlCalendarAdvance(Calendar,P323,"1D","f")</f>
        <v>42416</v>
      </c>
      <c r="Q324" s="262">
        <f>_xll.qlInterpolationInterpolate($M$1,P324,TRUE)</f>
        <v>1.6132097130612661E-3</v>
      </c>
    </row>
    <row r="325" spans="5:17" ht="11.25" customHeight="1" x14ac:dyDescent="0.2">
      <c r="E325" s="172"/>
      <c r="F325" s="172"/>
      <c r="G325" s="39"/>
      <c r="J325" s="39"/>
      <c r="K325" s="39"/>
      <c r="P325" s="407">
        <f>_xll.qlCalendarAdvance(Calendar,P324,"1D","f")</f>
        <v>42417</v>
      </c>
      <c r="Q325" s="262">
        <f>_xll.qlInterpolationInterpolate($M$1,P325,TRUE)</f>
        <v>1.6138508395517471E-3</v>
      </c>
    </row>
    <row r="326" spans="5:17" ht="11.25" customHeight="1" x14ac:dyDescent="0.2">
      <c r="E326" s="172"/>
      <c r="F326" s="172"/>
      <c r="G326" s="39"/>
      <c r="J326" s="39"/>
      <c r="K326" s="39"/>
      <c r="P326" s="407">
        <f>_xll.qlCalendarAdvance(Calendar,P325,"1D","f")</f>
        <v>42418</v>
      </c>
      <c r="Q326" s="262">
        <f>_xll.qlInterpolationInterpolate($M$1,P326,TRUE)</f>
        <v>1.6144926848754221E-3</v>
      </c>
    </row>
    <row r="327" spans="5:17" ht="11.25" customHeight="1" x14ac:dyDescent="0.2">
      <c r="E327" s="172"/>
      <c r="F327" s="172"/>
      <c r="G327" s="39"/>
      <c r="J327" s="39"/>
      <c r="K327" s="39"/>
      <c r="P327" s="407">
        <f>_xll.qlCalendarAdvance(Calendar,P326,"1D","f")</f>
        <v>42419</v>
      </c>
      <c r="Q327" s="262">
        <f>_xll.qlInterpolationInterpolate($M$1,P327,TRUE)</f>
        <v>1.6151352807911956E-3</v>
      </c>
    </row>
    <row r="328" spans="5:17" ht="11.25" customHeight="1" x14ac:dyDescent="0.2">
      <c r="E328" s="172"/>
      <c r="F328" s="172"/>
      <c r="G328" s="39"/>
      <c r="J328" s="39"/>
      <c r="K328" s="39"/>
      <c r="P328" s="407">
        <f>_xll.qlCalendarAdvance(Calendar,P327,"1D","f")</f>
        <v>42422</v>
      </c>
      <c r="Q328" s="262">
        <f>_xll.qlInterpolationInterpolate($M$1,P328,TRUE)</f>
        <v>1.6170678896801484E-3</v>
      </c>
    </row>
    <row r="329" spans="5:17" ht="11.25" customHeight="1" x14ac:dyDescent="0.2">
      <c r="E329" s="172"/>
      <c r="F329" s="172"/>
      <c r="G329" s="39"/>
      <c r="J329" s="39"/>
      <c r="K329" s="39"/>
      <c r="P329" s="407">
        <f>_xll.qlCalendarAdvance(Calendar,P328,"1D","f")</f>
        <v>42423</v>
      </c>
      <c r="Q329" s="262">
        <f>_xll.qlInterpolationInterpolate($M$1,P329,TRUE)</f>
        <v>1.6177138055533582E-3</v>
      </c>
    </row>
    <row r="330" spans="5:17" ht="11.25" customHeight="1" x14ac:dyDescent="0.2">
      <c r="E330" s="172"/>
      <c r="F330" s="172"/>
      <c r="G330" s="39"/>
      <c r="J330" s="39"/>
      <c r="K330" s="39"/>
      <c r="P330" s="407">
        <f>_xll.qlCalendarAdvance(Calendar,P329,"1D","f")</f>
        <v>42424</v>
      </c>
      <c r="Q330" s="262">
        <f>_xll.qlInterpolationInterpolate($M$1,P330,TRUE)</f>
        <v>1.618360630813188E-3</v>
      </c>
    </row>
    <row r="331" spans="5:17" ht="11.25" customHeight="1" x14ac:dyDescent="0.2">
      <c r="E331" s="172"/>
      <c r="F331" s="172"/>
      <c r="G331" s="39"/>
      <c r="J331" s="39"/>
      <c r="K331" s="39"/>
      <c r="P331" s="407">
        <f>_xll.qlCalendarAdvance(Calendar,P330,"1D","f")</f>
        <v>42425</v>
      </c>
      <c r="Q331" s="262">
        <f>_xll.qlInterpolationInterpolate($M$1,P331,TRUE)</f>
        <v>1.619008397218542E-3</v>
      </c>
    </row>
    <row r="332" spans="5:17" ht="11.25" customHeight="1" x14ac:dyDescent="0.2">
      <c r="E332" s="172"/>
      <c r="F332" s="172"/>
      <c r="G332" s="39"/>
      <c r="J332" s="39"/>
      <c r="K332" s="39"/>
      <c r="P332" s="407">
        <f>_xll.qlCalendarAdvance(Calendar,P331,"1D","f")</f>
        <v>42426</v>
      </c>
      <c r="Q332" s="262">
        <f>_xll.qlInterpolationInterpolate($M$1,P332,TRUE)</f>
        <v>1.6196571365283247E-3</v>
      </c>
    </row>
    <row r="333" spans="5:17" ht="11.25" customHeight="1" x14ac:dyDescent="0.2">
      <c r="E333" s="172"/>
      <c r="F333" s="172"/>
      <c r="G333" s="39"/>
      <c r="J333" s="39"/>
      <c r="K333" s="39"/>
      <c r="P333" s="407">
        <f>_xll.qlCalendarAdvance(Calendar,P332,"1D","f")</f>
        <v>42429</v>
      </c>
      <c r="Q333" s="262">
        <f>_xll.qlInterpolationInterpolate($M$1,P333,TRUE)</f>
        <v>1.6216095094732884E-3</v>
      </c>
    </row>
    <row r="334" spans="5:17" ht="11.25" customHeight="1" x14ac:dyDescent="0.2">
      <c r="E334" s="172"/>
      <c r="F334" s="172"/>
      <c r="G334" s="39"/>
      <c r="J334" s="39"/>
      <c r="K334" s="39"/>
      <c r="P334" s="407">
        <f>_xll.qlCalendarAdvance(Calendar,P333,"1D","f")</f>
        <v>42430</v>
      </c>
      <c r="Q334" s="262">
        <f>_xll.qlInterpolationInterpolate($M$1,P334,TRUE)</f>
        <v>1.6222624579898292E-3</v>
      </c>
    </row>
    <row r="335" spans="5:17" ht="11.25" customHeight="1" x14ac:dyDescent="0.2">
      <c r="E335" s="172"/>
      <c r="F335" s="172"/>
      <c r="G335" s="39"/>
      <c r="J335" s="39"/>
      <c r="K335" s="39"/>
      <c r="P335" s="407">
        <f>_xll.qlCalendarAdvance(Calendar,P334,"1D","f")</f>
        <v>42431</v>
      </c>
      <c r="Q335" s="262">
        <f>_xll.qlInterpolationInterpolate($M$1,P335,TRUE)</f>
        <v>1.6229165382053202E-3</v>
      </c>
    </row>
    <row r="336" spans="5:17" ht="11.25" customHeight="1" x14ac:dyDescent="0.2">
      <c r="E336" s="172"/>
      <c r="F336" s="172"/>
      <c r="G336" s="39"/>
      <c r="J336" s="39"/>
      <c r="K336" s="39"/>
      <c r="P336" s="407">
        <f>_xll.qlCalendarAdvance(Calendar,P335,"1D","f")</f>
        <v>42432</v>
      </c>
      <c r="Q336" s="262">
        <f>_xll.qlInterpolationInterpolate($M$1,P336,TRUE)</f>
        <v>1.6235717818786661E-3</v>
      </c>
    </row>
    <row r="337" spans="5:17" ht="11.25" customHeight="1" x14ac:dyDescent="0.2">
      <c r="E337" s="172"/>
      <c r="F337" s="172"/>
      <c r="G337" s="39"/>
      <c r="J337" s="39"/>
      <c r="K337" s="39"/>
      <c r="P337" s="407">
        <f>_xll.qlCalendarAdvance(Calendar,P336,"1D","f")</f>
        <v>42433</v>
      </c>
      <c r="Q337" s="262">
        <f>_xll.qlInterpolationInterpolate($M$1,P337,TRUE)</f>
        <v>1.624228220768771E-3</v>
      </c>
    </row>
    <row r="338" spans="5:17" ht="11.25" customHeight="1" x14ac:dyDescent="0.2">
      <c r="E338" s="172"/>
      <c r="F338" s="172"/>
      <c r="G338" s="39"/>
      <c r="J338" s="39"/>
      <c r="K338" s="39"/>
      <c r="P338" s="407">
        <f>_xll.qlCalendarAdvance(Calendar,P337,"1D","f")</f>
        <v>42436</v>
      </c>
      <c r="Q338" s="262">
        <f>_xll.qlInterpolationInterpolate($M$1,P338,TRUE)</f>
        <v>1.6262050263286833E-3</v>
      </c>
    </row>
    <row r="339" spans="5:17" ht="11.25" customHeight="1" x14ac:dyDescent="0.2">
      <c r="E339" s="172"/>
      <c r="F339" s="172"/>
      <c r="G339" s="39"/>
      <c r="J339" s="39"/>
      <c r="K339" s="39"/>
      <c r="P339" s="407">
        <f>_xll.qlCalendarAdvance(Calendar,P338,"1D","f")</f>
        <v>42437</v>
      </c>
      <c r="Q339" s="262">
        <f>_xll.qlInterpolationInterpolate($M$1,P339,TRUE)</f>
        <v>1.6268665636748679E-3</v>
      </c>
    </row>
    <row r="340" spans="5:17" ht="11.25" customHeight="1" x14ac:dyDescent="0.2">
      <c r="E340" s="172"/>
      <c r="F340" s="172"/>
      <c r="G340" s="39"/>
      <c r="J340" s="39"/>
      <c r="K340" s="39"/>
      <c r="P340" s="407">
        <f>_xll.qlCalendarAdvance(Calendar,P339,"1D","f")</f>
        <v>42438</v>
      </c>
      <c r="Q340" s="262">
        <f>_xll.qlInterpolationInterpolate($M$1,P340,TRUE)</f>
        <v>1.6275294550323329E-3</v>
      </c>
    </row>
    <row r="341" spans="5:17" ht="11.25" customHeight="1" x14ac:dyDescent="0.2">
      <c r="E341" s="172"/>
      <c r="F341" s="172"/>
      <c r="G341" s="39"/>
      <c r="J341" s="39"/>
      <c r="K341" s="39"/>
      <c r="P341" s="407">
        <f>_xll.qlCalendarAdvance(Calendar,P340,"1D","f")</f>
        <v>42439</v>
      </c>
      <c r="Q341" s="262">
        <f>_xll.qlInterpolationInterpolate($M$1,P341,TRUE)</f>
        <v>1.6281937321599833E-3</v>
      </c>
    </row>
    <row r="342" spans="5:17" ht="11.25" customHeight="1" x14ac:dyDescent="0.2">
      <c r="E342" s="172"/>
      <c r="F342" s="172"/>
      <c r="G342" s="39"/>
      <c r="J342" s="39"/>
      <c r="K342" s="39"/>
      <c r="P342" s="407">
        <f>_xll.qlCalendarAdvance(Calendar,P341,"1D","f")</f>
        <v>42440</v>
      </c>
      <c r="Q342" s="262">
        <f>_xll.qlInterpolationInterpolate($M$1,P342,TRUE)</f>
        <v>1.6288594268167231E-3</v>
      </c>
    </row>
    <row r="343" spans="5:17" ht="11.25" customHeight="1" x14ac:dyDescent="0.2">
      <c r="E343" s="172"/>
      <c r="F343" s="172"/>
      <c r="G343" s="39"/>
      <c r="J343" s="39"/>
      <c r="K343" s="39"/>
      <c r="P343" s="407">
        <f>_xll.qlCalendarAdvance(Calendar,P342,"1D","f")</f>
        <v>42443</v>
      </c>
      <c r="Q343" s="262">
        <f>_xll.qlInterpolationInterpolate($M$1,P343,TRUE)</f>
        <v>1.6308653335505223E-3</v>
      </c>
    </row>
    <row r="344" spans="5:17" ht="11.25" customHeight="1" x14ac:dyDescent="0.2">
      <c r="E344" s="172"/>
      <c r="F344" s="172"/>
      <c r="G344" s="39"/>
      <c r="J344" s="39"/>
      <c r="K344" s="39"/>
      <c r="P344" s="407">
        <f>_xll.qlCalendarAdvance(Calendar,P343,"1D","f")</f>
        <v>42444</v>
      </c>
      <c r="Q344" s="262">
        <f>_xll.qlInterpolationInterpolate($M$1,P344,TRUE)</f>
        <v>1.6315370159126631E-3</v>
      </c>
    </row>
    <row r="345" spans="5:17" ht="11.25" customHeight="1" x14ac:dyDescent="0.2">
      <c r="E345" s="172"/>
      <c r="F345" s="172"/>
      <c r="G345" s="39"/>
      <c r="J345" s="39"/>
      <c r="K345" s="39"/>
      <c r="P345" s="407">
        <f>_xll.qlCalendarAdvance(Calendar,P344,"1D","f")</f>
        <v>42445</v>
      </c>
      <c r="Q345" s="262">
        <f>_xll.qlInterpolationInterpolate($M$1,P345,TRUE)</f>
        <v>1.632210274598415E-3</v>
      </c>
    </row>
    <row r="346" spans="5:17" ht="11.25" customHeight="1" x14ac:dyDescent="0.2">
      <c r="E346" s="172"/>
      <c r="F346" s="172"/>
      <c r="G346" s="39"/>
      <c r="J346" s="39"/>
      <c r="K346" s="39"/>
      <c r="P346" s="407">
        <f>_xll.qlCalendarAdvance(Calendar,P345,"1D","f")</f>
        <v>42446</v>
      </c>
      <c r="Q346" s="262">
        <f>_xll.qlInterpolationInterpolate($M$1,P346,TRUE)</f>
        <v>1.6328851245107653E-3</v>
      </c>
    </row>
    <row r="347" spans="5:17" ht="11.25" customHeight="1" x14ac:dyDescent="0.2">
      <c r="E347" s="172"/>
      <c r="F347" s="172"/>
      <c r="G347" s="39"/>
      <c r="J347" s="39"/>
      <c r="K347" s="39"/>
      <c r="P347" s="407">
        <f>_xll.qlCalendarAdvance(Calendar,P346,"1D","f")</f>
        <v>42447</v>
      </c>
      <c r="Q347" s="262">
        <f>_xll.qlInterpolationInterpolate($M$1,P347,TRUE)</f>
        <v>1.6335615131290336E-3</v>
      </c>
    </row>
    <row r="348" spans="5:17" ht="11.25" customHeight="1" x14ac:dyDescent="0.2">
      <c r="E348" s="172"/>
      <c r="F348" s="172"/>
      <c r="G348" s="39"/>
      <c r="J348" s="39"/>
      <c r="K348" s="39"/>
      <c r="P348" s="407">
        <f>_xll.qlCalendarAdvance(Calendar,P347,"1D","f")</f>
        <v>42450</v>
      </c>
      <c r="Q348" s="262">
        <f>_xll.qlInterpolationInterpolate($M$1,P348,TRUE)</f>
        <v>1.6355992174533647E-3</v>
      </c>
    </row>
    <row r="349" spans="5:17" ht="11.25" customHeight="1" x14ac:dyDescent="0.2">
      <c r="E349" s="172"/>
      <c r="F349" s="172"/>
      <c r="G349" s="39"/>
      <c r="J349" s="39"/>
      <c r="K349" s="39"/>
      <c r="P349" s="407">
        <f>_xll.qlCalendarAdvance(Calendar,P348,"1D","f")</f>
        <v>42451</v>
      </c>
      <c r="Q349" s="262">
        <f>_xll.qlInterpolationInterpolate($M$1,P349,TRUE)</f>
        <v>1.6362810671293245E-3</v>
      </c>
    </row>
    <row r="350" spans="5:17" ht="11.25" customHeight="1" x14ac:dyDescent="0.2">
      <c r="E350" s="172"/>
      <c r="F350" s="172"/>
      <c r="G350" s="39"/>
      <c r="J350" s="39"/>
      <c r="K350" s="39"/>
      <c r="P350" s="407">
        <f>_xll.qlCalendarAdvance(Calendar,P349,"1D","f")</f>
        <v>42452</v>
      </c>
      <c r="Q350" s="262">
        <f>_xll.qlInterpolationInterpolate($M$1,P350,TRUE)</f>
        <v>1.6369641086282128E-3</v>
      </c>
    </row>
    <row r="351" spans="5:17" ht="11.25" customHeight="1" x14ac:dyDescent="0.2">
      <c r="E351" s="172"/>
      <c r="F351" s="172"/>
      <c r="G351" s="39"/>
      <c r="J351" s="39"/>
      <c r="K351" s="39"/>
      <c r="P351" s="407">
        <f>_xll.qlCalendarAdvance(Calendar,P350,"1D","f")</f>
        <v>42453</v>
      </c>
      <c r="Q351" s="262">
        <f>_xll.qlInterpolationInterpolate($M$1,P351,TRUE)</f>
        <v>1.6376482725734315E-3</v>
      </c>
    </row>
    <row r="352" spans="5:17" ht="11.25" customHeight="1" x14ac:dyDescent="0.2">
      <c r="E352" s="172"/>
      <c r="F352" s="172"/>
      <c r="G352" s="39"/>
      <c r="J352" s="39"/>
      <c r="K352" s="39"/>
      <c r="P352" s="407">
        <f>_xll.qlCalendarAdvance(Calendar,P351,"1D","f")</f>
        <v>42458</v>
      </c>
      <c r="Q352" s="262">
        <f>_xll.qlInterpolationInterpolate($M$1,P352,TRUE)</f>
        <v>1.6410835008135569E-3</v>
      </c>
    </row>
    <row r="353" spans="5:17" ht="11.25" customHeight="1" x14ac:dyDescent="0.2">
      <c r="E353" s="172"/>
      <c r="F353" s="172"/>
      <c r="G353" s="39"/>
      <c r="J353" s="39"/>
      <c r="K353" s="39"/>
      <c r="P353" s="407">
        <f>_xll.qlCalendarAdvance(Calendar,P352,"1D","f")</f>
        <v>42459</v>
      </c>
      <c r="Q353" s="262">
        <f>_xll.qlInterpolationInterpolate($M$1,P353,TRUE)</f>
        <v>1.6417729425282034E-3</v>
      </c>
    </row>
    <row r="354" spans="5:17" ht="11.25" customHeight="1" x14ac:dyDescent="0.2">
      <c r="E354" s="172"/>
      <c r="F354" s="172"/>
      <c r="G354" s="39"/>
      <c r="J354" s="39"/>
      <c r="K354" s="39"/>
      <c r="P354" s="407">
        <f>_xll.qlCalendarAdvance(Calendar,P353,"1D","f")</f>
        <v>42460</v>
      </c>
      <c r="Q354" s="262">
        <f>_xll.qlInterpolationInterpolate($M$1,P354,TRUE)</f>
        <v>1.6424630210529953E-3</v>
      </c>
    </row>
    <row r="355" spans="5:17" ht="11.25" customHeight="1" x14ac:dyDescent="0.2">
      <c r="E355" s="172"/>
      <c r="F355" s="172"/>
      <c r="G355" s="39"/>
      <c r="J355" s="39"/>
      <c r="K355" s="39"/>
      <c r="P355" s="407">
        <f>_xll.qlCalendarAdvance(Calendar,P354,"1D","f")</f>
        <v>42461</v>
      </c>
      <c r="Q355" s="262">
        <f>_xll.qlInterpolationInterpolate($M$1,P355,TRUE)</f>
        <v>1.6431536670113349E-3</v>
      </c>
    </row>
    <row r="356" spans="5:17" ht="11.25" customHeight="1" x14ac:dyDescent="0.2">
      <c r="E356" s="172"/>
      <c r="F356" s="172"/>
      <c r="G356" s="39"/>
      <c r="J356" s="39"/>
      <c r="K356" s="39"/>
      <c r="P356" s="407">
        <f>_xll.qlCalendarAdvance(Calendar,P355,"1D","f")</f>
        <v>42464</v>
      </c>
      <c r="Q356" s="262">
        <f>_xll.qlInterpolationInterpolate($M$1,P356,TRUE)</f>
        <v>1.6452283157216605E-3</v>
      </c>
    </row>
    <row r="357" spans="5:17" ht="11.25" customHeight="1" x14ac:dyDescent="0.2">
      <c r="E357" s="172"/>
      <c r="F357" s="172"/>
      <c r="G357" s="39"/>
      <c r="J357" s="39"/>
      <c r="K357" s="39"/>
      <c r="P357" s="407">
        <f>_xll.qlCalendarAdvance(Calendar,P356,"1D","f")</f>
        <v>42465</v>
      </c>
      <c r="Q357" s="262">
        <f>_xll.qlInterpolationInterpolate($M$1,P357,TRUE)</f>
        <v>1.6459205376482117E-3</v>
      </c>
    </row>
    <row r="358" spans="5:17" ht="11.25" customHeight="1" x14ac:dyDescent="0.2">
      <c r="E358" s="172"/>
      <c r="F358" s="172"/>
      <c r="G358" s="39"/>
      <c r="J358" s="39"/>
      <c r="K358" s="39"/>
      <c r="P358" s="407">
        <f>_xll.qlCalendarAdvance(Calendar,P357,"1D","f")</f>
        <v>42466</v>
      </c>
      <c r="Q358" s="262">
        <f>_xll.qlInterpolationInterpolate($M$1,P358,TRUE)</f>
        <v>1.6466129801253214E-3</v>
      </c>
    </row>
    <row r="359" spans="5:17" ht="11.25" customHeight="1" x14ac:dyDescent="0.2">
      <c r="E359" s="172"/>
      <c r="F359" s="172"/>
      <c r="G359" s="39"/>
      <c r="J359" s="39"/>
      <c r="K359" s="39"/>
      <c r="P359" s="407">
        <f>_xll.qlCalendarAdvance(Calendar,P358,"1D","f")</f>
        <v>42467</v>
      </c>
      <c r="Q359" s="262">
        <f>_xll.qlInterpolationInterpolate($M$1,P359,TRUE)</f>
        <v>1.6473055737763916E-3</v>
      </c>
    </row>
    <row r="360" spans="5:17" ht="11.25" customHeight="1" x14ac:dyDescent="0.2">
      <c r="E360" s="172"/>
      <c r="F360" s="172"/>
      <c r="G360" s="39"/>
      <c r="J360" s="39"/>
      <c r="K360" s="39"/>
      <c r="P360" s="407">
        <f>_xll.qlCalendarAdvance(Calendar,P359,"1D","f")</f>
        <v>42468</v>
      </c>
      <c r="Q360" s="262">
        <f>_xll.qlInterpolationInterpolate($M$1,P360,TRUE)</f>
        <v>1.6479982492248241E-3</v>
      </c>
    </row>
    <row r="361" spans="5:17" ht="11.25" customHeight="1" x14ac:dyDescent="0.2">
      <c r="E361" s="172"/>
      <c r="F361" s="172"/>
      <c r="G361" s="39"/>
      <c r="J361" s="39"/>
      <c r="K361" s="39"/>
      <c r="P361" s="407">
        <f>_xll.qlCalendarAdvance(Calendar,P360,"1D","f")</f>
        <v>42471</v>
      </c>
      <c r="Q361" s="262">
        <f>_xll.qlInterpolationInterpolate($M$1,P361,TRUE)</f>
        <v>1.6500760725883191E-3</v>
      </c>
    </row>
    <row r="362" spans="5:17" ht="11.25" customHeight="1" x14ac:dyDescent="0.2">
      <c r="E362" s="172"/>
      <c r="F362" s="172"/>
      <c r="G362" s="39"/>
      <c r="J362" s="39"/>
      <c r="K362" s="39"/>
      <c r="P362" s="407">
        <f>_xll.qlCalendarAdvance(Calendar,P361,"1D","f")</f>
        <v>42472</v>
      </c>
      <c r="Q362" s="262">
        <f>_xll.qlInterpolationInterpolate($M$1,P362,TRUE)</f>
        <v>1.6507683814602236E-3</v>
      </c>
    </row>
    <row r="363" spans="5:17" ht="11.25" customHeight="1" x14ac:dyDescent="0.2">
      <c r="E363" s="172"/>
      <c r="F363" s="172"/>
      <c r="G363" s="39"/>
      <c r="J363" s="39"/>
      <c r="K363" s="39"/>
      <c r="P363" s="407">
        <f>_xll.qlCalendarAdvance(Calendar,P362,"1D","f")</f>
        <v>42473</v>
      </c>
      <c r="Q363" s="262">
        <f>_xll.qlInterpolationInterpolate($M$1,P363,TRUE)</f>
        <v>1.6514604252465014E-3</v>
      </c>
    </row>
    <row r="364" spans="5:17" ht="11.25" customHeight="1" x14ac:dyDescent="0.2">
      <c r="E364" s="172"/>
      <c r="F364" s="172"/>
      <c r="G364" s="39"/>
      <c r="J364" s="39"/>
      <c r="K364" s="39"/>
      <c r="P364" s="407">
        <f>_xll.qlCalendarAdvance(Calendar,P363,"1D","f")</f>
        <v>42474</v>
      </c>
      <c r="Q364" s="262">
        <f>_xll.qlInterpolationInterpolate($M$1,P364,TRUE)</f>
        <v>1.6521521345705546E-3</v>
      </c>
    </row>
    <row r="365" spans="5:17" ht="11.25" customHeight="1" x14ac:dyDescent="0.2">
      <c r="E365" s="172"/>
      <c r="F365" s="172"/>
      <c r="G365" s="39"/>
      <c r="J365" s="39"/>
      <c r="K365" s="39"/>
      <c r="P365" s="407">
        <f>_xll.qlCalendarAdvance(Calendar,P364,"1D","f")</f>
        <v>42475</v>
      </c>
      <c r="Q365" s="262">
        <f>_xll.qlInterpolationInterpolate($M$1,P365,TRUE)</f>
        <v>1.6528434400557854E-3</v>
      </c>
    </row>
    <row r="366" spans="5:17" ht="11.25" customHeight="1" x14ac:dyDescent="0.2">
      <c r="E366" s="172"/>
      <c r="F366" s="172"/>
      <c r="G366" s="39"/>
      <c r="J366" s="39"/>
      <c r="K366" s="39"/>
      <c r="P366" s="407">
        <f>_xll.qlCalendarAdvance(Calendar,P365,"1D","f")</f>
        <v>42478</v>
      </c>
      <c r="Q366" s="262">
        <f>_xll.qlInterpolationInterpolate($M$1,P366,TRUE)</f>
        <v>1.6549142397125646E-3</v>
      </c>
    </row>
    <row r="367" spans="5:17" ht="11.25" customHeight="1" x14ac:dyDescent="0.2">
      <c r="E367" s="172"/>
      <c r="F367" s="172"/>
      <c r="G367" s="39"/>
      <c r="J367" s="39"/>
      <c r="K367" s="39"/>
      <c r="P367" s="407">
        <f>_xll.qlCalendarAdvance(Calendar,P366,"1D","f")</f>
        <v>42479</v>
      </c>
      <c r="Q367" s="262">
        <f>_xll.qlInterpolationInterpolate($M$1,P367,TRUE)</f>
        <v>1.6556032360765273E-3</v>
      </c>
    </row>
    <row r="368" spans="5:17" ht="11.25" customHeight="1" x14ac:dyDescent="0.2">
      <c r="E368" s="172"/>
      <c r="F368" s="172"/>
      <c r="G368" s="39"/>
      <c r="J368" s="39"/>
      <c r="K368" s="39"/>
      <c r="P368" s="407">
        <f>_xll.qlCalendarAdvance(Calendar,P367,"1D","f")</f>
        <v>42480</v>
      </c>
      <c r="Q368" s="262">
        <f>_xll.qlInterpolationInterpolate($M$1,P368,TRUE)</f>
        <v>1.656291481718678E-3</v>
      </c>
    </row>
    <row r="369" spans="5:17" ht="11.25" customHeight="1" x14ac:dyDescent="0.2">
      <c r="E369" s="172"/>
      <c r="F369" s="172"/>
      <c r="G369" s="39"/>
      <c r="J369" s="39"/>
      <c r="K369" s="39"/>
      <c r="P369" s="407">
        <f>_xll.qlCalendarAdvance(Calendar,P368,"1D","f")</f>
        <v>42481</v>
      </c>
      <c r="Q369" s="262">
        <f>_xll.qlInterpolationInterpolate($M$1,P369,TRUE)</f>
        <v>1.6569789072624194E-3</v>
      </c>
    </row>
    <row r="370" spans="5:17" ht="11.25" customHeight="1" x14ac:dyDescent="0.2">
      <c r="E370" s="172"/>
      <c r="F370" s="172"/>
      <c r="G370" s="39"/>
      <c r="J370" s="39"/>
      <c r="K370" s="39"/>
      <c r="P370" s="407">
        <f>_xll.qlCalendarAdvance(Calendar,P369,"1D","f")</f>
        <v>42482</v>
      </c>
      <c r="Q370" s="262">
        <f>_xll.qlInterpolationInterpolate($M$1,P370,TRUE)</f>
        <v>1.6576654433311533E-3</v>
      </c>
    </row>
    <row r="371" spans="5:17" ht="11.25" customHeight="1" x14ac:dyDescent="0.2">
      <c r="E371" s="172"/>
      <c r="F371" s="172"/>
      <c r="G371" s="39"/>
      <c r="J371" s="39"/>
      <c r="K371" s="39"/>
      <c r="P371" s="407">
        <f>_xll.qlCalendarAdvance(Calendar,P370,"1D","f")</f>
        <v>42485</v>
      </c>
      <c r="Q371" s="262">
        <f>_xll.qlInterpolationInterpolate($M$1,P371,TRUE)</f>
        <v>1.6597190209213315E-3</v>
      </c>
    </row>
    <row r="372" spans="5:17" ht="11.25" customHeight="1" x14ac:dyDescent="0.2">
      <c r="E372" s="172"/>
      <c r="F372" s="172"/>
      <c r="G372" s="39"/>
      <c r="J372" s="39"/>
      <c r="K372" s="39"/>
      <c r="P372" s="407">
        <f>_xll.qlCalendarAdvance(Calendar,P371,"1D","f")</f>
        <v>42486</v>
      </c>
      <c r="Q372" s="262">
        <f>_xll.qlInterpolationInterpolate($M$1,P372,TRUE)</f>
        <v>1.6604013053240572E-3</v>
      </c>
    </row>
    <row r="373" spans="5:17" ht="11.25" customHeight="1" x14ac:dyDescent="0.2">
      <c r="E373" s="172"/>
      <c r="F373" s="172"/>
      <c r="G373" s="39"/>
      <c r="J373" s="39"/>
      <c r="K373" s="39"/>
      <c r="P373" s="407">
        <f>_xll.qlCalendarAdvance(Calendar,P372,"1D","f")</f>
        <v>42487</v>
      </c>
      <c r="Q373" s="262">
        <f>_xll.qlInterpolationInterpolate($M$1,P373,TRUE)</f>
        <v>1.661082353368786E-3</v>
      </c>
    </row>
    <row r="374" spans="5:17" ht="11.25" customHeight="1" x14ac:dyDescent="0.2">
      <c r="E374" s="172"/>
      <c r="F374" s="172"/>
      <c r="G374" s="39"/>
      <c r="J374" s="39"/>
      <c r="K374" s="39"/>
      <c r="P374" s="407">
        <f>_xll.qlCalendarAdvance(Calendar,P373,"1D","f")</f>
        <v>42488</v>
      </c>
      <c r="Q374" s="262">
        <f>_xll.qlInterpolationInterpolate($M$1,P374,TRUE)</f>
        <v>1.6617620956789203E-3</v>
      </c>
    </row>
    <row r="375" spans="5:17" ht="11.25" customHeight="1" x14ac:dyDescent="0.2">
      <c r="E375" s="172"/>
      <c r="F375" s="172"/>
      <c r="G375" s="39"/>
      <c r="J375" s="39"/>
      <c r="K375" s="39"/>
      <c r="P375" s="407">
        <f>_xll.qlCalendarAdvance(Calendar,P374,"1D","f")</f>
        <v>42489</v>
      </c>
      <c r="Q375" s="262">
        <f>_xll.qlInterpolationInterpolate($M$1,P375,TRUE)</f>
        <v>1.6624404628778622E-3</v>
      </c>
    </row>
    <row r="376" spans="5:17" ht="11.25" customHeight="1" x14ac:dyDescent="0.2">
      <c r="E376" s="172"/>
      <c r="F376" s="172"/>
      <c r="G376" s="39"/>
      <c r="J376" s="39"/>
      <c r="K376" s="39"/>
      <c r="P376" s="407">
        <f>_xll.qlCalendarAdvance(Calendar,P375,"1D","f")</f>
        <v>42492</v>
      </c>
      <c r="Q376" s="262">
        <f>_xll.qlInterpolationInterpolate($M$1,P376,TRUE)</f>
        <v>1.6644666200415546E-3</v>
      </c>
    </row>
    <row r="377" spans="5:17" ht="11.25" customHeight="1" x14ac:dyDescent="0.2">
      <c r="E377" s="172"/>
      <c r="F377" s="172"/>
      <c r="G377" s="39"/>
      <c r="J377" s="39"/>
      <c r="K377" s="39"/>
      <c r="P377" s="407">
        <f>_xll.qlCalendarAdvance(Calendar,P376,"1D","f")</f>
        <v>42493</v>
      </c>
      <c r="Q377" s="262">
        <f>_xll.qlInterpolationInterpolate($M$1,P377,TRUE)</f>
        <v>1.665138793029748E-3</v>
      </c>
    </row>
    <row r="378" spans="5:17" ht="11.25" customHeight="1" x14ac:dyDescent="0.2">
      <c r="E378" s="172"/>
      <c r="F378" s="172"/>
      <c r="G378" s="39"/>
      <c r="J378" s="39"/>
      <c r="K378" s="39"/>
      <c r="P378" s="407">
        <f>_xll.qlCalendarAdvance(Calendar,P377,"1D","f")</f>
        <v>42494</v>
      </c>
      <c r="Q378" s="262">
        <f>_xll.qlInterpolationInterpolate($M$1,P378,TRUE)</f>
        <v>1.6658092440237598E-3</v>
      </c>
    </row>
    <row r="379" spans="5:17" ht="11.25" customHeight="1" x14ac:dyDescent="0.2">
      <c r="E379" s="172"/>
      <c r="F379" s="172"/>
      <c r="G379" s="39"/>
      <c r="J379" s="39"/>
      <c r="K379" s="39"/>
      <c r="P379" s="407">
        <f>_xll.qlCalendarAdvance(Calendar,P378,"1D","f")</f>
        <v>42495</v>
      </c>
      <c r="Q379" s="262">
        <f>_xll.qlInterpolationInterpolate($M$1,P379,TRUE)</f>
        <v>1.6664779036469923E-3</v>
      </c>
    </row>
    <row r="380" spans="5:17" ht="11.25" customHeight="1" x14ac:dyDescent="0.2">
      <c r="E380" s="172"/>
      <c r="F380" s="172"/>
      <c r="G380" s="39"/>
      <c r="J380" s="39"/>
      <c r="K380" s="39"/>
      <c r="P380" s="407">
        <f>_xll.qlCalendarAdvance(Calendar,P379,"1D","f")</f>
        <v>42496</v>
      </c>
      <c r="Q380" s="262">
        <f>_xll.qlInterpolationInterpolate($M$1,P380,TRUE)</f>
        <v>1.6671447025228469E-3</v>
      </c>
    </row>
    <row r="381" spans="5:17" ht="11.25" customHeight="1" x14ac:dyDescent="0.2">
      <c r="E381" s="172"/>
      <c r="F381" s="172"/>
      <c r="G381" s="39"/>
      <c r="J381" s="39"/>
      <c r="K381" s="39"/>
      <c r="P381" s="407">
        <f>_xll.qlCalendarAdvance(Calendar,P380,"1D","f")</f>
        <v>42499</v>
      </c>
      <c r="Q381" s="262">
        <f>_xll.qlInterpolationInterpolate($M$1,P381,TRUE)</f>
        <v>1.6691332409001682E-3</v>
      </c>
    </row>
    <row r="382" spans="5:17" ht="11.25" customHeight="1" x14ac:dyDescent="0.2">
      <c r="E382" s="172"/>
      <c r="F382" s="172"/>
      <c r="G382" s="39"/>
      <c r="J382" s="39"/>
      <c r="K382" s="39"/>
      <c r="P382" s="407">
        <f>_xll.qlCalendarAdvance(Calendar,P381,"1D","f")</f>
        <v>42500</v>
      </c>
      <c r="Q382" s="262">
        <f>_xll.qlInterpolationInterpolate($M$1,P382,TRUE)</f>
        <v>1.6697919030205345E-3</v>
      </c>
    </row>
    <row r="383" spans="5:17" ht="11.25" customHeight="1" x14ac:dyDescent="0.2">
      <c r="E383" s="172"/>
      <c r="F383" s="172"/>
      <c r="G383" s="39"/>
      <c r="J383" s="39"/>
      <c r="K383" s="39"/>
      <c r="P383" s="407">
        <f>_xll.qlCalendarAdvance(Calendar,P382,"1D","f")</f>
        <v>42501</v>
      </c>
      <c r="Q383" s="262">
        <f>_xll.qlInterpolationInterpolate($M$1,P383,TRUE)</f>
        <v>1.6704483575105344E-3</v>
      </c>
    </row>
    <row r="384" spans="5:17" ht="11.25" customHeight="1" x14ac:dyDescent="0.2">
      <c r="E384" s="172"/>
      <c r="F384" s="172"/>
      <c r="G384" s="39"/>
      <c r="J384" s="39"/>
      <c r="K384" s="39"/>
      <c r="P384" s="407">
        <f>_xll.qlCalendarAdvance(Calendar,P383,"1D","f")</f>
        <v>42502</v>
      </c>
      <c r="Q384" s="262">
        <f>_xll.qlInterpolationInterpolate($M$1,P384,TRUE)</f>
        <v>1.6711025349935695E-3</v>
      </c>
    </row>
    <row r="385" spans="5:17" ht="11.25" customHeight="1" x14ac:dyDescent="0.2">
      <c r="E385" s="172"/>
      <c r="F385" s="172"/>
      <c r="G385" s="39"/>
      <c r="J385" s="39"/>
      <c r="K385" s="39"/>
      <c r="P385" s="407">
        <f>_xll.qlCalendarAdvance(Calendar,P384,"1D","f")</f>
        <v>42503</v>
      </c>
      <c r="Q385" s="262">
        <f>_xll.qlInterpolationInterpolate($M$1,P385,TRUE)</f>
        <v>1.6717543660930423E-3</v>
      </c>
    </row>
    <row r="386" spans="5:17" ht="11.25" customHeight="1" x14ac:dyDescent="0.2">
      <c r="E386" s="172"/>
      <c r="F386" s="172"/>
      <c r="G386" s="39"/>
      <c r="J386" s="39"/>
      <c r="K386" s="39"/>
      <c r="P386" s="407">
        <f>_xll.qlCalendarAdvance(Calendar,P385,"1D","f")</f>
        <v>42506</v>
      </c>
      <c r="Q386" s="262">
        <f>_xll.qlInterpolationInterpolate($M$1,P386,TRUE)</f>
        <v>1.6736950873241069E-3</v>
      </c>
    </row>
    <row r="387" spans="5:17" ht="11.25" customHeight="1" x14ac:dyDescent="0.2">
      <c r="E387" s="172"/>
      <c r="F387" s="172"/>
      <c r="G387" s="39"/>
      <c r="J387" s="39"/>
      <c r="K387" s="39"/>
      <c r="P387" s="407">
        <f>_xll.qlCalendarAdvance(Calendar,P386,"1D","f")</f>
        <v>42507</v>
      </c>
      <c r="Q387" s="262">
        <f>_xll.qlInterpolationInterpolate($M$1,P387,TRUE)</f>
        <v>1.6743368391233513E-3</v>
      </c>
    </row>
    <row r="388" spans="5:17" ht="11.25" customHeight="1" x14ac:dyDescent="0.2">
      <c r="E388" s="172"/>
      <c r="F388" s="172"/>
      <c r="G388" s="39"/>
      <c r="J388" s="39"/>
      <c r="K388" s="39"/>
      <c r="P388" s="407">
        <f>_xll.qlCalendarAdvance(Calendar,P387,"1D","f")</f>
        <v>42508</v>
      </c>
      <c r="Q388" s="262">
        <f>_xll.qlInterpolationInterpolate($M$1,P388,TRUE)</f>
        <v>1.6749758976560439E-3</v>
      </c>
    </row>
    <row r="389" spans="5:17" ht="11.25" customHeight="1" x14ac:dyDescent="0.2">
      <c r="E389" s="172"/>
      <c r="F389" s="172"/>
      <c r="G389" s="39"/>
      <c r="J389" s="39"/>
      <c r="K389" s="39"/>
      <c r="P389" s="407">
        <f>_xll.qlCalendarAdvance(Calendar,P388,"1D","f")</f>
        <v>42509</v>
      </c>
      <c r="Q389" s="262">
        <f>_xll.qlInterpolationInterpolate($M$1,P389,TRUE)</f>
        <v>1.675612193545587E-3</v>
      </c>
    </row>
    <row r="390" spans="5:17" ht="11.25" customHeight="1" x14ac:dyDescent="0.2">
      <c r="E390" s="172"/>
      <c r="F390" s="172"/>
      <c r="G390" s="39"/>
      <c r="J390" s="39"/>
      <c r="K390" s="39"/>
      <c r="P390" s="407">
        <f>_xll.qlCalendarAdvance(Calendar,P389,"1D","f")</f>
        <v>42510</v>
      </c>
      <c r="Q390" s="262">
        <f>_xll.qlInterpolationInterpolate($M$1,P390,TRUE)</f>
        <v>1.6762456574153826E-3</v>
      </c>
    </row>
    <row r="391" spans="5:17" ht="11.25" customHeight="1" x14ac:dyDescent="0.2">
      <c r="E391" s="172"/>
      <c r="F391" s="172"/>
      <c r="G391" s="39"/>
      <c r="J391" s="39"/>
      <c r="K391" s="39"/>
      <c r="P391" s="407">
        <f>_xll.qlCalendarAdvance(Calendar,P390,"1D","f")</f>
        <v>42513</v>
      </c>
      <c r="Q391" s="262">
        <f>_xll.qlInterpolationInterpolate($M$1,P391,TRUE)</f>
        <v>1.6781283631403059E-3</v>
      </c>
    </row>
    <row r="392" spans="5:17" ht="11.25" customHeight="1" x14ac:dyDescent="0.2">
      <c r="E392" s="172"/>
      <c r="F392" s="172"/>
      <c r="G392" s="39"/>
      <c r="J392" s="39"/>
      <c r="K392" s="39"/>
      <c r="P392" s="407">
        <f>_xll.qlCalendarAdvance(Calendar,P391,"1D","f")</f>
        <v>42514</v>
      </c>
      <c r="Q392" s="262">
        <f>_xll.qlInterpolationInterpolate($M$1,P392,TRUE)</f>
        <v>1.6787498051651329E-3</v>
      </c>
    </row>
    <row r="393" spans="5:17" ht="11.25" customHeight="1" x14ac:dyDescent="0.2">
      <c r="E393" s="172"/>
      <c r="F393" s="172"/>
      <c r="G393" s="39"/>
      <c r="J393" s="39"/>
      <c r="K393" s="39"/>
      <c r="P393" s="407">
        <f>_xll.qlCalendarAdvance(Calendar,P392,"1D","f")</f>
        <v>42515</v>
      </c>
      <c r="Q393" s="262">
        <f>_xll.qlInterpolationInterpolate($M$1,P393,TRUE)</f>
        <v>1.6793680682872234E-3</v>
      </c>
    </row>
    <row r="394" spans="5:17" ht="11.25" customHeight="1" x14ac:dyDescent="0.2">
      <c r="E394" s="172"/>
      <c r="F394" s="172"/>
      <c r="G394" s="39"/>
      <c r="J394" s="39"/>
      <c r="K394" s="39"/>
      <c r="P394" s="407">
        <f>_xll.qlCalendarAdvance(Calendar,P393,"1D","f")</f>
        <v>42516</v>
      </c>
      <c r="Q394" s="262">
        <f>_xll.qlInterpolationInterpolate($M$1,P394,TRUE)</f>
        <v>1.6799830831299792E-3</v>
      </c>
    </row>
    <row r="395" spans="5:17" ht="11.25" customHeight="1" x14ac:dyDescent="0.2">
      <c r="E395" s="172"/>
      <c r="F395" s="172"/>
      <c r="G395" s="39"/>
      <c r="J395" s="39"/>
      <c r="K395" s="39"/>
      <c r="P395" s="407">
        <f>_xll.qlCalendarAdvance(Calendar,P394,"1D","f")</f>
        <v>42517</v>
      </c>
      <c r="Q395" s="262">
        <f>_xll.qlInterpolationInterpolate($M$1,P395,TRUE)</f>
        <v>1.6805947803168026E-3</v>
      </c>
    </row>
    <row r="396" spans="5:17" ht="11.25" customHeight="1" x14ac:dyDescent="0.2">
      <c r="E396" s="172"/>
      <c r="F396" s="172"/>
      <c r="G396" s="39"/>
      <c r="J396" s="39"/>
      <c r="K396" s="39"/>
      <c r="P396" s="407">
        <f>_xll.qlCalendarAdvance(Calendar,P395,"1D","f")</f>
        <v>42520</v>
      </c>
      <c r="Q396" s="262">
        <f>_xll.qlInterpolationInterpolate($M$1,P396,TRUE)</f>
        <v>1.682409272175699E-3</v>
      </c>
    </row>
    <row r="397" spans="5:17" ht="11.25" customHeight="1" x14ac:dyDescent="0.2">
      <c r="E397" s="172"/>
      <c r="F397" s="172"/>
      <c r="G397" s="39"/>
      <c r="J397" s="39"/>
      <c r="K397" s="39"/>
      <c r="P397" s="407">
        <f>_xll.qlCalendarAdvance(Calendar,P396,"1D","f")</f>
        <v>42521</v>
      </c>
      <c r="Q397" s="262">
        <f>_xll.qlInterpolationInterpolate($M$1,P397,TRUE)</f>
        <v>1.6830070049728141E-3</v>
      </c>
    </row>
    <row r="398" spans="5:17" ht="11.25" customHeight="1" x14ac:dyDescent="0.2">
      <c r="E398" s="172"/>
      <c r="F398" s="172"/>
      <c r="G398" s="39"/>
      <c r="J398" s="39"/>
      <c r="K398" s="39"/>
      <c r="P398" s="407">
        <f>_xll.qlCalendarAdvance(Calendar,P397,"1D","f")</f>
        <v>42522</v>
      </c>
      <c r="Q398" s="262">
        <f>_xll.qlInterpolationInterpolate($M$1,P398,TRUE)</f>
        <v>1.6836010732310073E-3</v>
      </c>
    </row>
    <row r="399" spans="5:17" ht="11.25" customHeight="1" x14ac:dyDescent="0.2">
      <c r="E399" s="172"/>
      <c r="F399" s="172"/>
      <c r="G399" s="39"/>
      <c r="J399" s="39"/>
      <c r="K399" s="39"/>
      <c r="P399" s="407">
        <f>_xll.qlCalendarAdvance(Calendar,P398,"1D","f")</f>
        <v>42523</v>
      </c>
      <c r="Q399" s="262">
        <f>_xll.qlInterpolationInterpolate($M$1,P399,TRUE)</f>
        <v>1.6841914075736808E-3</v>
      </c>
    </row>
    <row r="400" spans="5:17" ht="11.25" customHeight="1" x14ac:dyDescent="0.2">
      <c r="E400" s="172"/>
      <c r="F400" s="172"/>
      <c r="G400" s="39"/>
      <c r="J400" s="39"/>
      <c r="K400" s="39"/>
      <c r="P400" s="407">
        <f>_xll.qlCalendarAdvance(Calendar,P399,"1D","f")</f>
        <v>42524</v>
      </c>
      <c r="Q400" s="262">
        <f>_xll.qlInterpolationInterpolate($M$1,P400,TRUE)</f>
        <v>1.6847779386242369E-3</v>
      </c>
    </row>
    <row r="401" spans="5:17" ht="11.25" customHeight="1" x14ac:dyDescent="0.2">
      <c r="E401" s="172"/>
      <c r="F401" s="172"/>
      <c r="G401" s="39"/>
      <c r="J401" s="39"/>
      <c r="K401" s="39"/>
      <c r="P401" s="407">
        <f>_xll.qlCalendarAdvance(Calendar,P400,"1D","f")</f>
        <v>42527</v>
      </c>
      <c r="Q401" s="262">
        <f>_xll.qlInterpolationInterpolate($M$1,P401,TRUE)</f>
        <v>1.6865140182572215E-3</v>
      </c>
    </row>
    <row r="402" spans="5:17" ht="11.25" customHeight="1" x14ac:dyDescent="0.2">
      <c r="E402" s="172"/>
      <c r="F402" s="172"/>
      <c r="G402" s="39"/>
      <c r="J402" s="39"/>
      <c r="K402" s="39"/>
      <c r="P402" s="407">
        <f>_xll.qlCalendarAdvance(Calendar,P401,"1D","f")</f>
        <v>42528</v>
      </c>
      <c r="Q402" s="262">
        <f>_xll.qlInterpolationInterpolate($M$1,P402,TRUE)</f>
        <v>1.6870846423733292E-3</v>
      </c>
    </row>
    <row r="403" spans="5:17" ht="11.25" customHeight="1" x14ac:dyDescent="0.2">
      <c r="E403" s="172"/>
      <c r="F403" s="172"/>
      <c r="G403" s="39"/>
      <c r="J403" s="39"/>
      <c r="K403" s="39"/>
      <c r="P403" s="407">
        <f>_xll.qlCalendarAdvance(Calendar,P402,"1D","f")</f>
        <v>42529</v>
      </c>
      <c r="Q403" s="262">
        <f>_xll.qlInterpolationInterpolate($M$1,P403,TRUE)</f>
        <v>1.68765111631433E-3</v>
      </c>
    </row>
    <row r="404" spans="5:17" ht="11.25" customHeight="1" x14ac:dyDescent="0.2">
      <c r="E404" s="172"/>
      <c r="F404" s="172"/>
      <c r="G404" s="39"/>
      <c r="J404" s="39"/>
      <c r="K404" s="39"/>
      <c r="P404" s="407">
        <f>_xll.qlCalendarAdvance(Calendar,P403,"1D","f")</f>
        <v>42530</v>
      </c>
      <c r="Q404" s="262">
        <f>_xll.qlInterpolationInterpolate($M$1,P404,TRUE)</f>
        <v>1.6882133707036263E-3</v>
      </c>
    </row>
    <row r="405" spans="5:17" ht="11.25" customHeight="1" x14ac:dyDescent="0.2">
      <c r="E405" s="172"/>
      <c r="F405" s="172"/>
      <c r="G405" s="39"/>
      <c r="J405" s="39"/>
      <c r="K405" s="39"/>
      <c r="P405" s="407">
        <f>_xll.qlCalendarAdvance(Calendar,P404,"1D","f")</f>
        <v>42531</v>
      </c>
      <c r="Q405" s="262">
        <f>_xll.qlInterpolationInterpolate($M$1,P405,TRUE)</f>
        <v>1.6887713361646199E-3</v>
      </c>
    </row>
    <row r="406" spans="5:17" ht="11.25" customHeight="1" x14ac:dyDescent="0.2">
      <c r="E406" s="172"/>
      <c r="F406" s="172"/>
      <c r="G406" s="39"/>
      <c r="J406" s="39"/>
      <c r="K406" s="39"/>
      <c r="P406" s="407">
        <f>_xll.qlCalendarAdvance(Calendar,P405,"1D","f")</f>
        <v>42534</v>
      </c>
      <c r="Q406" s="262">
        <f>_xll.qlInterpolationInterpolate($M$1,P406,TRUE)</f>
        <v>1.6904188052118078E-3</v>
      </c>
    </row>
    <row r="407" spans="5:17" ht="11.25" customHeight="1" x14ac:dyDescent="0.2">
      <c r="E407" s="172"/>
      <c r="F407" s="172"/>
      <c r="G407" s="39"/>
      <c r="J407" s="39"/>
      <c r="K407" s="39"/>
      <c r="P407" s="407">
        <f>_xll.qlCalendarAdvance(Calendar,P406,"1D","f")</f>
        <v>42535</v>
      </c>
      <c r="Q407" s="262">
        <f>_xll.qlInterpolationInterpolate($M$1,P407,TRUE)</f>
        <v>1.6909589211936131E-3</v>
      </c>
    </row>
    <row r="408" spans="5:17" ht="11.25" customHeight="1" x14ac:dyDescent="0.2">
      <c r="E408" s="172"/>
      <c r="F408" s="172"/>
      <c r="G408" s="39"/>
      <c r="J408" s="39"/>
      <c r="K408" s="39"/>
      <c r="P408" s="407">
        <f>_xll.qlCalendarAdvance(Calendar,P407,"1D","f")</f>
        <v>42536</v>
      </c>
      <c r="Q408" s="262">
        <f>_xll.qlInterpolationInterpolate($M$1,P408,TRUE)</f>
        <v>1.6914944013641266E-3</v>
      </c>
    </row>
    <row r="409" spans="5:17" ht="11.25" customHeight="1" x14ac:dyDescent="0.2">
      <c r="E409" s="172"/>
      <c r="F409" s="172"/>
      <c r="G409" s="39"/>
      <c r="J409" s="39"/>
      <c r="K409" s="39"/>
      <c r="P409" s="407">
        <f>_xll.qlCalendarAdvance(Calendar,P408,"1D","f")</f>
        <v>42537</v>
      </c>
      <c r="Q409" s="262">
        <f>_xll.qlInterpolationInterpolate($M$1,P409,TRUE)</f>
        <v>1.692025195911537E-3</v>
      </c>
    </row>
    <row r="410" spans="5:17" ht="11.25" customHeight="1" x14ac:dyDescent="0.2">
      <c r="E410" s="172"/>
      <c r="F410" s="172"/>
      <c r="G410" s="39"/>
      <c r="J410" s="39"/>
      <c r="K410" s="39"/>
      <c r="P410" s="407">
        <f>_xll.qlCalendarAdvance(Calendar,P409,"1D","f")</f>
        <v>42538</v>
      </c>
      <c r="Q410" s="262">
        <f>_xll.qlInterpolationInterpolate($M$1,P410,TRUE)</f>
        <v>1.6925513332831791E-3</v>
      </c>
    </row>
    <row r="411" spans="5:17" ht="11.25" customHeight="1" x14ac:dyDescent="0.2">
      <c r="E411" s="172"/>
      <c r="F411" s="172"/>
      <c r="G411" s="39"/>
      <c r="J411" s="39"/>
      <c r="K411" s="39"/>
      <c r="P411" s="407">
        <f>_xll.qlCalendarAdvance(Calendar,P410,"1D","f")</f>
        <v>42541</v>
      </c>
      <c r="Q411" s="262">
        <f>_xll.qlInterpolationInterpolate($M$1,P411,TRUE)</f>
        <v>1.6941022824647088E-3</v>
      </c>
    </row>
    <row r="412" spans="5:17" ht="11.25" customHeight="1" x14ac:dyDescent="0.2">
      <c r="E412" s="172"/>
      <c r="F412" s="172"/>
      <c r="G412" s="39"/>
      <c r="J412" s="39"/>
      <c r="K412" s="39"/>
      <c r="P412" s="407">
        <f>_xll.qlCalendarAdvance(Calendar,P411,"1D","f")</f>
        <v>42542</v>
      </c>
      <c r="Q412" s="262">
        <f>_xll.qlInterpolationInterpolate($M$1,P412,TRUE)</f>
        <v>1.6946102712544909E-3</v>
      </c>
    </row>
    <row r="413" spans="5:17" ht="11.25" customHeight="1" x14ac:dyDescent="0.2">
      <c r="E413" s="172"/>
      <c r="F413" s="172"/>
      <c r="G413" s="39"/>
      <c r="J413" s="39"/>
      <c r="K413" s="39"/>
      <c r="P413" s="407">
        <f>_xll.qlCalendarAdvance(Calendar,P412,"1D","f")</f>
        <v>42543</v>
      </c>
      <c r="Q413" s="262">
        <f>_xll.qlInterpolationInterpolate($M$1,P413,TRUE)</f>
        <v>1.6951138429291113E-3</v>
      </c>
    </row>
    <row r="414" spans="5:17" ht="11.25" customHeight="1" x14ac:dyDescent="0.2">
      <c r="E414" s="172"/>
      <c r="F414" s="172"/>
      <c r="G414" s="39"/>
      <c r="J414" s="39"/>
      <c r="K414" s="39"/>
      <c r="P414" s="407">
        <f>_xll.qlCalendarAdvance(Calendar,P413,"1D","f")</f>
        <v>42544</v>
      </c>
      <c r="Q414" s="262">
        <f>_xll.qlInterpolationInterpolate($M$1,P414,TRUE)</f>
        <v>1.6956130455006914E-3</v>
      </c>
    </row>
    <row r="415" spans="5:17" ht="11.25" customHeight="1" x14ac:dyDescent="0.2">
      <c r="E415" s="172"/>
      <c r="F415" s="172"/>
      <c r="G415" s="39"/>
      <c r="J415" s="39"/>
      <c r="K415" s="39"/>
      <c r="P415" s="407">
        <f>_xll.qlCalendarAdvance(Calendar,P414,"1D","f")</f>
        <v>42545</v>
      </c>
      <c r="Q415" s="262">
        <f>_xll.qlInterpolationInterpolate($M$1,P415,TRUE)</f>
        <v>1.6961079269813524E-3</v>
      </c>
    </row>
    <row r="416" spans="5:17" ht="11.25" customHeight="1" x14ac:dyDescent="0.2">
      <c r="E416" s="172"/>
      <c r="F416" s="172"/>
      <c r="G416" s="39"/>
      <c r="J416" s="39"/>
      <c r="K416" s="39"/>
      <c r="P416" s="407">
        <f>_xll.qlCalendarAdvance(Calendar,P415,"1D","f")</f>
        <v>42548</v>
      </c>
      <c r="Q416" s="262">
        <f>_xll.qlInterpolationInterpolate($M$1,P416,TRUE)</f>
        <v>1.6975671249990344E-3</v>
      </c>
    </row>
    <row r="417" spans="5:17" ht="11.25" customHeight="1" x14ac:dyDescent="0.2">
      <c r="E417" s="172"/>
      <c r="F417" s="172"/>
      <c r="G417" s="39"/>
      <c r="J417" s="39"/>
      <c r="K417" s="39"/>
      <c r="P417" s="407">
        <f>_xll.qlCalendarAdvance(Calendar,P416,"1D","f")</f>
        <v>42549</v>
      </c>
      <c r="Q417" s="262">
        <f>_xll.qlInterpolationInterpolate($M$1,P417,TRUE)</f>
        <v>1.6980452022372324E-3</v>
      </c>
    </row>
    <row r="418" spans="5:17" ht="11.25" customHeight="1" x14ac:dyDescent="0.2">
      <c r="E418" s="172"/>
      <c r="F418" s="172"/>
      <c r="G418" s="39"/>
      <c r="J418" s="39"/>
      <c r="K418" s="39"/>
      <c r="P418" s="407">
        <f>_xll.qlCalendarAdvance(Calendar,P417,"1D","f")</f>
        <v>42550</v>
      </c>
      <c r="Q418" s="262">
        <f>_xll.qlInterpolationInterpolate($M$1,P418,TRUE)</f>
        <v>1.6985191984451181E-3</v>
      </c>
    </row>
    <row r="419" spans="5:17" ht="11.25" customHeight="1" x14ac:dyDescent="0.2">
      <c r="E419" s="172"/>
      <c r="F419" s="172"/>
      <c r="G419" s="39"/>
      <c r="J419" s="39"/>
      <c r="K419" s="39"/>
      <c r="P419" s="407">
        <f>_xll.qlCalendarAdvance(Calendar,P418,"1D","f")</f>
        <v>42551</v>
      </c>
      <c r="Q419" s="262">
        <f>_xll.qlInterpolationInterpolate($M$1,P419,TRUE)</f>
        <v>1.6989891616348124E-3</v>
      </c>
    </row>
    <row r="420" spans="5:17" ht="11.25" customHeight="1" x14ac:dyDescent="0.2">
      <c r="E420" s="172"/>
      <c r="F420" s="172"/>
      <c r="G420" s="39"/>
      <c r="J420" s="39"/>
      <c r="K420" s="39"/>
      <c r="P420" s="407">
        <f>_xll.qlCalendarAdvance(Calendar,P419,"1D","f")</f>
        <v>42552</v>
      </c>
      <c r="Q420" s="262">
        <f>_xll.qlInterpolationInterpolate($M$1,P420,TRUE)</f>
        <v>1.6994551398184373E-3</v>
      </c>
    </row>
    <row r="421" spans="5:17" ht="11.25" customHeight="1" x14ac:dyDescent="0.2">
      <c r="E421" s="172"/>
      <c r="F421" s="172"/>
      <c r="G421" s="39"/>
      <c r="J421" s="39"/>
      <c r="K421" s="39"/>
      <c r="P421" s="407">
        <f>_xll.qlCalendarAdvance(Calendar,P420,"1D","f")</f>
        <v>42555</v>
      </c>
      <c r="Q421" s="262">
        <f>_xll.qlInterpolationInterpolate($M$1,P421,TRUE)</f>
        <v>1.700829644454106E-3</v>
      </c>
    </row>
    <row r="422" spans="5:17" ht="11.25" customHeight="1" x14ac:dyDescent="0.2">
      <c r="E422" s="172"/>
      <c r="F422" s="172"/>
      <c r="G422" s="39"/>
      <c r="J422" s="39"/>
      <c r="K422" s="39"/>
      <c r="P422" s="407">
        <f>_xll.qlCalendarAdvance(Calendar,P421,"1D","f")</f>
        <v>42556</v>
      </c>
      <c r="Q422" s="262">
        <f>_xll.qlInterpolationInterpolate($M$1,P422,TRUE)</f>
        <v>1.7012801627346648E-3</v>
      </c>
    </row>
    <row r="423" spans="5:17" ht="11.25" customHeight="1" x14ac:dyDescent="0.2">
      <c r="E423" s="172"/>
      <c r="F423" s="172"/>
      <c r="G423" s="39"/>
      <c r="J423" s="39"/>
      <c r="K423" s="39"/>
      <c r="P423" s="407">
        <f>_xll.qlCalendarAdvance(Calendar,P422,"1D","f")</f>
        <v>42557</v>
      </c>
      <c r="Q423" s="262">
        <f>_xll.qlInterpolationInterpolate($M$1,P423,TRUE)</f>
        <v>1.7017269360697603E-3</v>
      </c>
    </row>
    <row r="424" spans="5:17" ht="11.25" customHeight="1" x14ac:dyDescent="0.2">
      <c r="E424" s="172"/>
      <c r="F424" s="172"/>
      <c r="G424" s="39"/>
      <c r="J424" s="39"/>
      <c r="K424" s="39"/>
      <c r="P424" s="407">
        <f>_xll.qlCalendarAdvance(Calendar,P423,"1D","f")</f>
        <v>42558</v>
      </c>
      <c r="Q424" s="262">
        <f>_xll.qlInterpolationInterpolate($M$1,P424,TRUE)</f>
        <v>1.7021700124715143E-3</v>
      </c>
    </row>
    <row r="425" spans="5:17" ht="11.25" customHeight="1" x14ac:dyDescent="0.2">
      <c r="E425" s="172"/>
      <c r="F425" s="172"/>
      <c r="G425" s="39"/>
      <c r="J425" s="39"/>
      <c r="K425" s="39"/>
      <c r="P425" s="407">
        <f>_xll.qlCalendarAdvance(Calendar,P424,"1D","f")</f>
        <v>42559</v>
      </c>
      <c r="Q425" s="262">
        <f>_xll.qlInterpolationInterpolate($M$1,P425,TRUE)</f>
        <v>1.7026094399520476E-3</v>
      </c>
    </row>
    <row r="426" spans="5:17" ht="11.25" customHeight="1" x14ac:dyDescent="0.2">
      <c r="E426" s="172"/>
      <c r="F426" s="172"/>
      <c r="G426" s="39"/>
      <c r="J426" s="39"/>
      <c r="K426" s="39"/>
      <c r="P426" s="407">
        <f>_xll.qlCalendarAdvance(Calendar,P425,"1D","f")</f>
        <v>42562</v>
      </c>
      <c r="Q426" s="262">
        <f>_xll.qlInterpolationInterpolate($M$1,P426,TRUE)</f>
        <v>1.7039063089875374E-3</v>
      </c>
    </row>
    <row r="427" spans="5:17" ht="11.25" customHeight="1" x14ac:dyDescent="0.2">
      <c r="E427" s="172"/>
      <c r="F427" s="172"/>
      <c r="G427" s="39"/>
      <c r="J427" s="39"/>
      <c r="K427" s="39"/>
      <c r="P427" s="407">
        <f>_xll.qlCalendarAdvance(Calendar,P426,"1D","f")</f>
        <v>42563</v>
      </c>
      <c r="Q427" s="262">
        <f>_xll.qlInterpolationInterpolate($M$1,P427,TRUE)</f>
        <v>1.7043316209044018E-3</v>
      </c>
    </row>
    <row r="428" spans="5:17" ht="11.25" customHeight="1" x14ac:dyDescent="0.2">
      <c r="E428" s="172"/>
      <c r="F428" s="172"/>
      <c r="G428" s="39"/>
      <c r="J428" s="39"/>
      <c r="K428" s="39"/>
      <c r="P428" s="407">
        <f>_xll.qlCalendarAdvance(Calendar,P427,"1D","f")</f>
        <v>42564</v>
      </c>
      <c r="Q428" s="262">
        <f>_xll.qlInterpolationInterpolate($M$1,P428,TRUE)</f>
        <v>1.7047535239606523E-3</v>
      </c>
    </row>
    <row r="429" spans="5:17" ht="11.25" customHeight="1" x14ac:dyDescent="0.2">
      <c r="E429" s="172"/>
      <c r="F429" s="172"/>
      <c r="G429" s="39"/>
      <c r="J429" s="39"/>
      <c r="K429" s="39"/>
      <c r="P429" s="407">
        <f>_xll.qlCalendarAdvance(Calendar,P428,"1D","f")</f>
        <v>42565</v>
      </c>
      <c r="Q429" s="262">
        <f>_xll.qlInterpolationInterpolate($M$1,P429,TRUE)</f>
        <v>1.70517206616841E-3</v>
      </c>
    </row>
    <row r="430" spans="5:17" ht="11.25" customHeight="1" x14ac:dyDescent="0.2">
      <c r="E430" s="172"/>
      <c r="F430" s="172"/>
      <c r="G430" s="39"/>
      <c r="J430" s="39"/>
      <c r="K430" s="39"/>
      <c r="P430" s="407">
        <f>_xll.qlCalendarAdvance(Calendar,P429,"1D","f")</f>
        <v>42566</v>
      </c>
      <c r="Q430" s="262">
        <f>_xll.qlInterpolationInterpolate($M$1,P430,TRUE)</f>
        <v>1.7055872955397968E-3</v>
      </c>
    </row>
    <row r="431" spans="5:17" ht="11.25" customHeight="1" x14ac:dyDescent="0.2">
      <c r="E431" s="172"/>
      <c r="F431" s="172"/>
      <c r="G431" s="39"/>
      <c r="J431" s="39"/>
      <c r="K431" s="39"/>
      <c r="P431" s="407">
        <f>_xll.qlCalendarAdvance(Calendar,P430,"1D","f")</f>
        <v>42569</v>
      </c>
      <c r="Q431" s="262">
        <f>_xll.qlInterpolationInterpolate($M$1,P431,TRUE)</f>
        <v>1.7068135867569422E-3</v>
      </c>
    </row>
    <row r="432" spans="5:17" ht="11.25" customHeight="1" x14ac:dyDescent="0.2">
      <c r="E432" s="172"/>
      <c r="F432" s="172"/>
      <c r="G432" s="39"/>
      <c r="J432" s="39"/>
      <c r="K432" s="39"/>
      <c r="P432" s="407">
        <f>_xll.qlCalendarAdvance(Calendar,P431,"1D","f")</f>
        <v>42570</v>
      </c>
      <c r="Q432" s="262">
        <f>_xll.qlInterpolationInterpolate($M$1,P432,TRUE)</f>
        <v>1.7072160449040569E-3</v>
      </c>
    </row>
    <row r="433" spans="5:17" ht="11.25" customHeight="1" x14ac:dyDescent="0.2">
      <c r="E433" s="172"/>
      <c r="F433" s="172"/>
      <c r="G433" s="39"/>
      <c r="J433" s="39"/>
      <c r="K433" s="39"/>
      <c r="P433" s="407">
        <f>_xll.qlCalendarAdvance(Calendar,P432,"1D","f")</f>
        <v>42571</v>
      </c>
      <c r="Q433" s="262">
        <f>_xll.qlInterpolationInterpolate($M$1,P433,TRUE)</f>
        <v>1.7076154302754071E-3</v>
      </c>
    </row>
    <row r="434" spans="5:17" ht="11.25" customHeight="1" x14ac:dyDescent="0.2">
      <c r="E434" s="172"/>
      <c r="F434" s="172"/>
      <c r="G434" s="39"/>
      <c r="J434" s="39"/>
      <c r="K434" s="39"/>
      <c r="P434" s="407">
        <f>_xll.qlCalendarAdvance(Calendar,P433,"1D","f")</f>
        <v>42572</v>
      </c>
      <c r="Q434" s="262">
        <f>_xll.qlInterpolationInterpolate($M$1,P434,TRUE)</f>
        <v>1.7080117908831139E-3</v>
      </c>
    </row>
    <row r="435" spans="5:17" ht="11.25" customHeight="1" x14ac:dyDescent="0.2">
      <c r="E435" s="172"/>
      <c r="F435" s="172"/>
      <c r="G435" s="39"/>
      <c r="J435" s="39"/>
      <c r="K435" s="39"/>
      <c r="P435" s="407">
        <f>_xll.qlCalendarAdvance(Calendar,P434,"1D","f")</f>
        <v>42573</v>
      </c>
      <c r="Q435" s="262">
        <f>_xll.qlInterpolationInterpolate($M$1,P435,TRUE)</f>
        <v>1.7084051747392986E-3</v>
      </c>
    </row>
    <row r="436" spans="5:17" ht="11.25" customHeight="1" x14ac:dyDescent="0.2">
      <c r="E436" s="172"/>
      <c r="F436" s="172"/>
      <c r="G436" s="39"/>
      <c r="J436" s="39"/>
      <c r="K436" s="39"/>
      <c r="P436" s="407">
        <f>_xll.qlCalendarAdvance(Calendar,P435,"1D","f")</f>
        <v>42576</v>
      </c>
      <c r="Q436" s="262">
        <f>_xll.qlInterpolationInterpolate($M$1,P436,TRUE)</f>
        <v>1.7095679459199341E-3</v>
      </c>
    </row>
    <row r="437" spans="5:17" ht="11.25" customHeight="1" x14ac:dyDescent="0.2">
      <c r="E437" s="172"/>
      <c r="F437" s="172"/>
      <c r="G437" s="39"/>
      <c r="J437" s="39"/>
      <c r="K437" s="39"/>
      <c r="P437" s="407">
        <f>_xll.qlCalendarAdvance(Calendar,P436,"1D","f")</f>
        <v>42577</v>
      </c>
      <c r="Q437" s="262">
        <f>_xll.qlInterpolationInterpolate($M$1,P437,TRUE)</f>
        <v>1.7099499028912441E-3</v>
      </c>
    </row>
    <row r="438" spans="5:17" ht="11.25" customHeight="1" x14ac:dyDescent="0.2">
      <c r="E438" s="172"/>
      <c r="F438" s="172"/>
      <c r="G438" s="39"/>
      <c r="J438" s="39"/>
      <c r="K438" s="39"/>
      <c r="P438" s="407">
        <f>_xll.qlCalendarAdvance(Calendar,P437,"1D","f")</f>
        <v>42578</v>
      </c>
      <c r="Q438" s="262">
        <f>_xll.qlInterpolationInterpolate($M$1,P438,TRUE)</f>
        <v>1.7103291231716387E-3</v>
      </c>
    </row>
    <row r="439" spans="5:17" ht="11.25" customHeight="1" x14ac:dyDescent="0.2">
      <c r="E439" s="172"/>
      <c r="F439" s="172"/>
      <c r="G439" s="39"/>
      <c r="J439" s="39"/>
      <c r="K439" s="39"/>
      <c r="P439" s="407">
        <f>_xll.qlCalendarAdvance(Calendar,P438,"1D","f")</f>
        <v>42579</v>
      </c>
      <c r="Q439" s="262">
        <f>_xll.qlInterpolationInterpolate($M$1,P439,TRUE)</f>
        <v>1.7107056547732392E-3</v>
      </c>
    </row>
    <row r="440" spans="5:17" ht="11.25" customHeight="1" x14ac:dyDescent="0.2">
      <c r="E440" s="172"/>
      <c r="F440" s="172"/>
      <c r="G440" s="39"/>
      <c r="J440" s="39"/>
      <c r="K440" s="39"/>
      <c r="P440" s="407">
        <f>_xll.qlCalendarAdvance(Calendar,P439,"1D","f")</f>
        <v>42580</v>
      </c>
      <c r="Q440" s="262">
        <f>_xll.qlInterpolationInterpolate($M$1,P440,TRUE)</f>
        <v>1.7110795457081669E-3</v>
      </c>
    </row>
    <row r="441" spans="5:17" ht="11.25" customHeight="1" x14ac:dyDescent="0.2">
      <c r="E441" s="172"/>
      <c r="F441" s="172"/>
      <c r="G441" s="39"/>
      <c r="J441" s="39"/>
      <c r="K441" s="39"/>
      <c r="P441" s="407">
        <f>_xll.qlCalendarAdvance(Calendar,P440,"1D","f")</f>
        <v>42583</v>
      </c>
      <c r="Q441" s="262">
        <f>_xll.qlInterpolationInterpolate($M$1,P441,TRUE)</f>
        <v>1.7121858546341269E-3</v>
      </c>
    </row>
    <row r="442" spans="5:17" ht="11.25" customHeight="1" x14ac:dyDescent="0.2">
      <c r="E442" s="172"/>
      <c r="F442" s="172"/>
      <c r="G442" s="39"/>
      <c r="J442" s="39"/>
      <c r="K442" s="39"/>
      <c r="P442" s="407">
        <f>_xll.qlCalendarAdvance(Calendar,P441,"1D","f")</f>
        <v>42584</v>
      </c>
      <c r="Q442" s="262">
        <f>_xll.qlInterpolationInterpolate($M$1,P442,TRUE)</f>
        <v>1.7125496630235769E-3</v>
      </c>
    </row>
    <row r="443" spans="5:17" ht="11.25" customHeight="1" x14ac:dyDescent="0.2">
      <c r="E443" s="172"/>
      <c r="F443" s="172"/>
      <c r="G443" s="39"/>
      <c r="J443" s="39"/>
      <c r="K443" s="39"/>
      <c r="P443" s="407">
        <f>_xll.qlCalendarAdvance(Calendar,P442,"1D","f")</f>
        <v>42585</v>
      </c>
      <c r="Q443" s="262">
        <f>_xll.qlInterpolationInterpolate($M$1,P443,TRUE)</f>
        <v>1.7129110708069607E-3</v>
      </c>
    </row>
    <row r="444" spans="5:17" ht="11.25" customHeight="1" x14ac:dyDescent="0.2">
      <c r="E444" s="172"/>
      <c r="F444" s="172"/>
      <c r="G444" s="39"/>
      <c r="J444" s="39"/>
      <c r="K444" s="39"/>
      <c r="P444" s="407">
        <f>_xll.qlCalendarAdvance(Calendar,P443,"1D","f")</f>
        <v>42586</v>
      </c>
      <c r="Q444" s="262">
        <f>_xll.qlInterpolationInterpolate($M$1,P444,TRUE)</f>
        <v>1.7132701259963998E-3</v>
      </c>
    </row>
    <row r="445" spans="5:17" ht="11.25" customHeight="1" x14ac:dyDescent="0.2">
      <c r="E445" s="172"/>
      <c r="F445" s="172"/>
      <c r="G445" s="39"/>
      <c r="J445" s="39"/>
      <c r="K445" s="39"/>
      <c r="P445" s="407">
        <f>_xll.qlCalendarAdvance(Calendar,P444,"1D","f")</f>
        <v>42587</v>
      </c>
      <c r="Q445" s="262">
        <f>_xll.qlInterpolationInterpolate($M$1,P445,TRUE)</f>
        <v>1.7136268766040153E-3</v>
      </c>
    </row>
    <row r="446" spans="5:17" ht="11.25" customHeight="1" x14ac:dyDescent="0.2">
      <c r="E446" s="172"/>
      <c r="F446" s="172"/>
      <c r="G446" s="39"/>
      <c r="J446" s="39"/>
      <c r="K446" s="39"/>
      <c r="P446" s="407">
        <f>_xll.qlCalendarAdvance(Calendar,P445,"1D","f")</f>
        <v>42590</v>
      </c>
      <c r="Q446" s="262">
        <f>_xll.qlInterpolationInterpolate($M$1,P446,TRUE)</f>
        <v>1.7146837810571342E-3</v>
      </c>
    </row>
    <row r="447" spans="5:17" ht="11.25" customHeight="1" x14ac:dyDescent="0.2">
      <c r="E447" s="172"/>
      <c r="F447" s="172"/>
      <c r="G447" s="39"/>
      <c r="J447" s="39"/>
      <c r="K447" s="39"/>
      <c r="P447" s="407">
        <f>_xll.qlCalendarAdvance(Calendar,P446,"1D","f")</f>
        <v>42591</v>
      </c>
      <c r="Q447" s="262">
        <f>_xll.qlInterpolationInterpolate($M$1,P447,TRUE)</f>
        <v>1.7150317934586691E-3</v>
      </c>
    </row>
    <row r="448" spans="5:17" ht="11.25" customHeight="1" x14ac:dyDescent="0.2">
      <c r="E448" s="172"/>
      <c r="F448" s="172"/>
      <c r="G448" s="39"/>
      <c r="J448" s="39"/>
      <c r="K448" s="39"/>
      <c r="P448" s="407">
        <f>_xll.qlCalendarAdvance(Calendar,P447,"1D","f")</f>
        <v>42592</v>
      </c>
      <c r="Q448" s="262">
        <f>_xll.qlInterpolationInterpolate($M$1,P448,TRUE)</f>
        <v>1.7153777413389871E-3</v>
      </c>
    </row>
    <row r="449" spans="5:17" ht="11.25" customHeight="1" x14ac:dyDescent="0.2">
      <c r="E449" s="172"/>
      <c r="F449" s="172"/>
      <c r="G449" s="39"/>
      <c r="J449" s="39"/>
      <c r="K449" s="39"/>
      <c r="P449" s="407">
        <f>_xll.qlCalendarAdvance(Calendar,P448,"1D","f")</f>
        <v>42593</v>
      </c>
      <c r="Q449" s="262">
        <f>_xll.qlInterpolationInterpolate($M$1,P449,TRUE)</f>
        <v>1.7157216727102095E-3</v>
      </c>
    </row>
    <row r="450" spans="5:17" ht="11.25" customHeight="1" x14ac:dyDescent="0.2">
      <c r="E450" s="172"/>
      <c r="F450" s="172"/>
      <c r="G450" s="39"/>
      <c r="J450" s="39"/>
      <c r="K450" s="39"/>
      <c r="P450" s="407">
        <f>_xll.qlCalendarAdvance(Calendar,P449,"1D","f")</f>
        <v>42594</v>
      </c>
      <c r="Q450" s="262">
        <f>_xll.qlInterpolationInterpolate($M$1,P450,TRUE)</f>
        <v>1.7160636355844576E-3</v>
      </c>
    </row>
    <row r="451" spans="5:17" ht="11.25" customHeight="1" x14ac:dyDescent="0.2">
      <c r="E451" s="172"/>
      <c r="F451" s="172"/>
      <c r="G451" s="39"/>
      <c r="J451" s="39"/>
      <c r="K451" s="39"/>
      <c r="P451" s="407">
        <f>_xll.qlCalendarAdvance(Calendar,P450,"1D","f")</f>
        <v>42597</v>
      </c>
      <c r="Q451" s="262">
        <f>_xll.qlInterpolationInterpolate($M$1,P451,TRUE)</f>
        <v>1.7170781933465698E-3</v>
      </c>
    </row>
    <row r="452" spans="5:17" ht="11.25" customHeight="1" x14ac:dyDescent="0.2">
      <c r="E452" s="172"/>
      <c r="F452" s="172"/>
      <c r="G452" s="39"/>
      <c r="J452" s="39"/>
      <c r="K452" s="39"/>
      <c r="P452" s="407">
        <f>_xll.qlCalendarAdvance(Calendar,P451,"1D","f")</f>
        <v>42598</v>
      </c>
      <c r="Q452" s="262">
        <f>_xll.qlInterpolationInterpolate($M$1,P452,TRUE)</f>
        <v>1.7174127623541342E-3</v>
      </c>
    </row>
    <row r="453" spans="5:17" ht="11.25" customHeight="1" x14ac:dyDescent="0.2">
      <c r="E453" s="172"/>
      <c r="F453" s="172"/>
      <c r="G453" s="39"/>
      <c r="J453" s="39"/>
      <c r="K453" s="39"/>
      <c r="P453" s="407">
        <f>_xll.qlCalendarAdvance(Calendar,P452,"1D","f")</f>
        <v>42599</v>
      </c>
      <c r="Q453" s="262">
        <f>_xll.qlInterpolationInterpolate($M$1,P453,TRUE)</f>
        <v>1.7177456029253311E-3</v>
      </c>
    </row>
    <row r="454" spans="5:17" ht="11.25" customHeight="1" x14ac:dyDescent="0.2">
      <c r="E454" s="172"/>
      <c r="F454" s="172"/>
      <c r="G454" s="39"/>
      <c r="J454" s="39"/>
      <c r="K454" s="39"/>
      <c r="P454" s="407">
        <f>_xll.qlCalendarAdvance(Calendar,P453,"1D","f")</f>
        <v>42600</v>
      </c>
      <c r="Q454" s="262">
        <f>_xll.qlInterpolationInterpolate($M$1,P454,TRUE)</f>
        <v>1.7180767630722816E-3</v>
      </c>
    </row>
    <row r="455" spans="5:17" ht="11.25" customHeight="1" x14ac:dyDescent="0.2">
      <c r="E455" s="172"/>
      <c r="F455" s="172"/>
      <c r="G455" s="39"/>
      <c r="J455" s="39"/>
      <c r="K455" s="39"/>
      <c r="P455" s="407">
        <f>_xll.qlCalendarAdvance(Calendar,P454,"1D","f")</f>
        <v>42601</v>
      </c>
      <c r="Q455" s="262">
        <f>_xll.qlInterpolationInterpolate($M$1,P455,TRUE)</f>
        <v>1.7184062908071071E-3</v>
      </c>
    </row>
    <row r="456" spans="5:17" ht="11.25" customHeight="1" x14ac:dyDescent="0.2">
      <c r="E456" s="172"/>
      <c r="F456" s="172"/>
      <c r="G456" s="39"/>
      <c r="J456" s="39"/>
      <c r="K456" s="39"/>
      <c r="P456" s="407">
        <f>_xll.qlCalendarAdvance(Calendar,P455,"1D","f")</f>
        <v>42604</v>
      </c>
      <c r="Q456" s="262">
        <f>_xll.qlInterpolationInterpolate($M$1,P456,TRUE)</f>
        <v>1.7193855596600474E-3</v>
      </c>
    </row>
    <row r="457" spans="5:17" ht="11.25" customHeight="1" x14ac:dyDescent="0.2">
      <c r="E457" s="172"/>
      <c r="F457" s="172"/>
      <c r="G457" s="39"/>
      <c r="J457" s="39"/>
      <c r="K457" s="39"/>
      <c r="P457" s="407">
        <f>_xll.qlCalendarAdvance(Calendar,P456,"1D","f")</f>
        <v>42605</v>
      </c>
      <c r="Q457" s="262">
        <f>_xll.qlInterpolationInterpolate($M$1,P457,TRUE)</f>
        <v>1.7197090378675863E-3</v>
      </c>
    </row>
    <row r="458" spans="5:17" ht="11.25" customHeight="1" x14ac:dyDescent="0.2">
      <c r="E458" s="172"/>
      <c r="F458" s="172"/>
      <c r="G458" s="39"/>
      <c r="J458" s="39"/>
      <c r="K458" s="39"/>
      <c r="P458" s="407">
        <f>_xll.qlCalendarAdvance(Calendar,P457,"1D","f")</f>
        <v>42606</v>
      </c>
      <c r="Q458" s="262">
        <f>_xll.qlInterpolationInterpolate($M$1,P458,TRUE)</f>
        <v>1.7200311237236068E-3</v>
      </c>
    </row>
    <row r="459" spans="5:17" ht="11.25" customHeight="1" x14ac:dyDescent="0.2">
      <c r="E459" s="172"/>
      <c r="F459" s="172"/>
      <c r="G459" s="39"/>
      <c r="J459" s="39"/>
      <c r="K459" s="39"/>
      <c r="P459" s="407">
        <f>_xll.qlCalendarAdvance(Calendar,P458,"1D","f")</f>
        <v>42607</v>
      </c>
      <c r="Q459" s="262">
        <f>_xll.qlInterpolationInterpolate($M$1,P459,TRUE)</f>
        <v>1.7203518652402303E-3</v>
      </c>
    </row>
    <row r="460" spans="5:17" ht="11.25" customHeight="1" x14ac:dyDescent="0.2">
      <c r="E460" s="172"/>
      <c r="F460" s="172"/>
      <c r="G460" s="39"/>
      <c r="J460" s="39"/>
      <c r="K460" s="39"/>
      <c r="P460" s="407">
        <f>_xll.qlCalendarAdvance(Calendar,P459,"1D","f")</f>
        <v>42608</v>
      </c>
      <c r="Q460" s="262">
        <f>_xll.qlInterpolationInterpolate($M$1,P460,TRUE)</f>
        <v>1.7206713104295781E-3</v>
      </c>
    </row>
    <row r="461" spans="5:17" ht="11.25" customHeight="1" x14ac:dyDescent="0.2">
      <c r="E461" s="172"/>
      <c r="F461" s="172"/>
      <c r="G461" s="39"/>
      <c r="J461" s="39"/>
      <c r="K461" s="39"/>
      <c r="P461" s="407">
        <f>_xll.qlCalendarAdvance(Calendar,P460,"1D","f")</f>
        <v>42611</v>
      </c>
      <c r="Q461" s="262">
        <f>_xll.qlInterpolationInterpolate($M$1,P461,TRUE)</f>
        <v>1.7216223481551804E-3</v>
      </c>
    </row>
    <row r="462" spans="5:17" ht="11.25" customHeight="1" x14ac:dyDescent="0.2">
      <c r="E462" s="172"/>
      <c r="F462" s="172"/>
      <c r="G462" s="39"/>
      <c r="J462" s="39"/>
      <c r="K462" s="39"/>
      <c r="P462" s="407">
        <f>_xll.qlCalendarAdvance(Calendar,P461,"1D","f")</f>
        <v>42612</v>
      </c>
      <c r="Q462" s="262">
        <f>_xll.qlInterpolationInterpolate($M$1,P462,TRUE)</f>
        <v>1.7219370881566384E-3</v>
      </c>
    </row>
    <row r="463" spans="5:17" ht="11.25" customHeight="1" x14ac:dyDescent="0.2">
      <c r="E463" s="172"/>
      <c r="F463" s="172"/>
      <c r="G463" s="39"/>
      <c r="J463" s="39"/>
      <c r="K463" s="39"/>
      <c r="P463" s="407">
        <f>_xll.qlCalendarAdvance(Calendar,P462,"1D","f")</f>
        <v>42613</v>
      </c>
      <c r="Q463" s="262">
        <f>_xll.qlInterpolationInterpolate($M$1,P463,TRUE)</f>
        <v>1.7222507718914276E-3</v>
      </c>
    </row>
    <row r="464" spans="5:17" ht="11.25" customHeight="1" x14ac:dyDescent="0.2">
      <c r="E464" s="172"/>
      <c r="F464" s="172"/>
      <c r="G464" s="39"/>
      <c r="J464" s="39"/>
      <c r="K464" s="39"/>
      <c r="P464" s="407">
        <f>_xll.qlCalendarAdvance(Calendar,P463,"1D","f")</f>
        <v>42614</v>
      </c>
      <c r="Q464" s="262">
        <f>_xll.qlInterpolationInterpolate($M$1,P464,TRUE)</f>
        <v>1.7225634473716689E-3</v>
      </c>
    </row>
    <row r="465" spans="5:17" ht="11.25" customHeight="1" x14ac:dyDescent="0.2">
      <c r="E465" s="172"/>
      <c r="F465" s="172"/>
      <c r="G465" s="39"/>
      <c r="J465" s="39"/>
      <c r="K465" s="39"/>
      <c r="P465" s="407">
        <f>_xll.qlCalendarAdvance(Calendar,P464,"1D","f")</f>
        <v>42615</v>
      </c>
      <c r="Q465" s="262">
        <f>_xll.qlInterpolationInterpolate($M$1,P465,TRUE)</f>
        <v>1.7228751626094838E-3</v>
      </c>
    </row>
    <row r="466" spans="5:17" ht="11.25" customHeight="1" x14ac:dyDescent="0.2">
      <c r="E466" s="172"/>
      <c r="F466" s="172"/>
      <c r="G466" s="39"/>
      <c r="J466" s="39"/>
      <c r="K466" s="39"/>
      <c r="P466" s="407">
        <f>_xll.qlCalendarAdvance(Calendar,P465,"1D","f")</f>
        <v>42618</v>
      </c>
      <c r="Q466" s="262">
        <f>_xll.qlInterpolationInterpolate($M$1,P466,TRUE)</f>
        <v>1.7238050269895828E-3</v>
      </c>
    </row>
    <row r="467" spans="5:17" ht="11.25" customHeight="1" x14ac:dyDescent="0.2">
      <c r="E467" s="172"/>
      <c r="F467" s="172"/>
      <c r="G467" s="39"/>
      <c r="J467" s="39"/>
      <c r="K467" s="39"/>
      <c r="P467" s="407">
        <f>_xll.qlCalendarAdvance(Calendar,P466,"1D","f")</f>
        <v>42619</v>
      </c>
      <c r="Q467" s="262">
        <f>_xll.qlInterpolationInterpolate($M$1,P467,TRUE)</f>
        <v>1.724113381378905E-3</v>
      </c>
    </row>
    <row r="468" spans="5:17" ht="11.25" customHeight="1" x14ac:dyDescent="0.2">
      <c r="E468" s="172"/>
      <c r="F468" s="172"/>
      <c r="G468" s="39"/>
      <c r="J468" s="39"/>
      <c r="K468" s="39"/>
      <c r="P468" s="407">
        <f>_xll.qlCalendarAdvance(Calendar,P467,"1D","f")</f>
        <v>42620</v>
      </c>
      <c r="Q468" s="262">
        <f>_xll.qlInterpolationInterpolate($M$1,P468,TRUE)</f>
        <v>1.7244210155864075E-3</v>
      </c>
    </row>
    <row r="469" spans="5:17" ht="11.25" customHeight="1" x14ac:dyDescent="0.2">
      <c r="E469" s="172"/>
      <c r="F469" s="172"/>
      <c r="G469" s="39"/>
      <c r="J469" s="39"/>
      <c r="K469" s="39"/>
      <c r="P469" s="407">
        <f>_xll.qlCalendarAdvance(Calendar,P468,"1D","f")</f>
        <v>42621</v>
      </c>
      <c r="Q469" s="262">
        <f>_xll.qlInterpolationInterpolate($M$1,P469,TRUE)</f>
        <v>1.7247279776242113E-3</v>
      </c>
    </row>
    <row r="470" spans="5:17" ht="11.25" customHeight="1" x14ac:dyDescent="0.2">
      <c r="E470" s="172"/>
      <c r="F470" s="172"/>
      <c r="G470" s="39"/>
      <c r="J470" s="39"/>
      <c r="K470" s="39"/>
      <c r="P470" s="407">
        <f>_xll.qlCalendarAdvance(Calendar,P469,"1D","f")</f>
        <v>42622</v>
      </c>
      <c r="Q470" s="262">
        <f>_xll.qlInterpolationInterpolate($M$1,P470,TRUE)</f>
        <v>1.725034315504438E-3</v>
      </c>
    </row>
    <row r="471" spans="5:17" ht="11.25" customHeight="1" x14ac:dyDescent="0.2">
      <c r="E471" s="172"/>
      <c r="F471" s="172"/>
      <c r="G471" s="39"/>
      <c r="J471" s="39"/>
      <c r="K471" s="39"/>
      <c r="P471" s="407">
        <f>_xll.qlCalendarAdvance(Calendar,P470,"1D","f")</f>
        <v>42625</v>
      </c>
      <c r="Q471" s="262">
        <f>_xll.qlInterpolationInterpolate($M$1,P471,TRUE)</f>
        <v>1.725950064320868E-3</v>
      </c>
    </row>
    <row r="472" spans="5:17" ht="11.25" customHeight="1" x14ac:dyDescent="0.2">
      <c r="E472" s="172"/>
      <c r="F472" s="172"/>
      <c r="G472" s="39"/>
      <c r="J472" s="39"/>
      <c r="K472" s="39"/>
      <c r="P472" s="407">
        <f>_xll.qlCalendarAdvance(Calendar,P471,"1D","f")</f>
        <v>42626</v>
      </c>
      <c r="Q472" s="262">
        <f>_xll.qlInterpolationInterpolate($M$1,P472,TRUE)</f>
        <v>1.7262543856919992E-3</v>
      </c>
    </row>
    <row r="473" spans="5:17" ht="11.25" customHeight="1" x14ac:dyDescent="0.2">
      <c r="E473" s="172"/>
      <c r="F473" s="172"/>
      <c r="G473" s="39"/>
      <c r="J473" s="39"/>
      <c r="K473" s="39"/>
      <c r="P473" s="407">
        <f>_xll.qlCalendarAdvance(Calendar,P472,"1D","f")</f>
        <v>42627</v>
      </c>
      <c r="Q473" s="262">
        <f>_xll.qlInterpolationInterpolate($M$1,P473,TRUE)</f>
        <v>1.7265583229661599E-3</v>
      </c>
    </row>
    <row r="474" spans="5:17" ht="11.25" customHeight="1" x14ac:dyDescent="0.2">
      <c r="E474" s="172"/>
      <c r="F474" s="172"/>
      <c r="G474" s="39"/>
      <c r="J474" s="39"/>
      <c r="K474" s="39"/>
      <c r="P474" s="407">
        <f>_xll.qlCalendarAdvance(Calendar,P473,"1D","f")</f>
        <v>42628</v>
      </c>
      <c r="Q474" s="262">
        <f>_xll.qlInterpolationInterpolate($M$1,P474,TRUE)</f>
        <v>1.726861924155471E-3</v>
      </c>
    </row>
    <row r="475" spans="5:17" ht="11.25" customHeight="1" x14ac:dyDescent="0.2">
      <c r="E475" s="172"/>
      <c r="F475" s="172"/>
      <c r="G475" s="39"/>
      <c r="J475" s="39"/>
      <c r="K475" s="39"/>
      <c r="P475" s="407">
        <f>_xll.qlCalendarAdvance(Calendar,P474,"1D","f")</f>
        <v>42629</v>
      </c>
      <c r="Q475" s="262">
        <f>_xll.qlInterpolationInterpolate($M$1,P475,TRUE)</f>
        <v>1.7271652372720546E-3</v>
      </c>
    </row>
    <row r="476" spans="5:17" ht="11.25" customHeight="1" x14ac:dyDescent="0.2">
      <c r="E476" s="172"/>
      <c r="F476" s="172"/>
      <c r="G476" s="39"/>
      <c r="J476" s="39"/>
      <c r="K476" s="39"/>
      <c r="P476" s="407">
        <f>_xll.qlCalendarAdvance(Calendar,P475,"1D","f")</f>
        <v>42632</v>
      </c>
      <c r="Q476" s="262">
        <f>_xll.qlInterpolationInterpolate($M$1,P476,TRUE)</f>
        <v>1.7280739283066502E-3</v>
      </c>
    </row>
    <row r="477" spans="5:17" ht="11.25" customHeight="1" x14ac:dyDescent="0.2">
      <c r="E477" s="172"/>
      <c r="F477" s="172"/>
      <c r="G477" s="39"/>
      <c r="J477" s="39"/>
      <c r="K477" s="39"/>
      <c r="P477" s="407">
        <f>_xll.qlCalendarAdvance(Calendar,P476,"1D","f")</f>
        <v>42633</v>
      </c>
      <c r="Q477" s="262">
        <f>_xll.qlInterpolationInterpolate($M$1,P477,TRUE)</f>
        <v>1.7283765692535349E-3</v>
      </c>
    </row>
    <row r="478" spans="5:17" ht="11.25" customHeight="1" thickBot="1" x14ac:dyDescent="0.25">
      <c r="E478" s="172"/>
      <c r="F478" s="172"/>
      <c r="G478" s="39"/>
      <c r="J478" s="39"/>
      <c r="K478" s="39"/>
      <c r="P478" s="408">
        <f>_xll.qlCalendarAdvance(Calendar,P477,"1D","f")</f>
        <v>42634</v>
      </c>
      <c r="Q478" s="266">
        <f>_xll.qlInterpolationInterpolate($M$1,P478,TRUE)</f>
        <v>1.7286791621882985E-3</v>
      </c>
    </row>
    <row r="479" spans="5:17" ht="11.25" customHeight="1" x14ac:dyDescent="0.2">
      <c r="E479" s="172"/>
      <c r="F479" s="172"/>
      <c r="G479" s="39"/>
      <c r="J479" s="39"/>
      <c r="K479" s="39"/>
    </row>
    <row r="480" spans="5:17" ht="11.25" customHeight="1" x14ac:dyDescent="0.2">
      <c r="E480" s="172"/>
      <c r="F480" s="172"/>
      <c r="G480" s="39"/>
      <c r="J480" s="39"/>
      <c r="K480" s="39"/>
    </row>
    <row r="481" spans="5:11" ht="11.25" customHeight="1" x14ac:dyDescent="0.2">
      <c r="E481" s="172"/>
      <c r="F481" s="172"/>
      <c r="G481" s="39"/>
      <c r="J481" s="39"/>
      <c r="K481" s="39"/>
    </row>
    <row r="482" spans="5:11" ht="11.25" customHeight="1" x14ac:dyDescent="0.2">
      <c r="E482" s="172"/>
      <c r="F482" s="172"/>
      <c r="G482" s="39"/>
      <c r="J482" s="39"/>
      <c r="K482" s="39"/>
    </row>
    <row r="483" spans="5:11" ht="11.25" customHeight="1" x14ac:dyDescent="0.2">
      <c r="E483" s="172"/>
      <c r="F483" s="172"/>
      <c r="G483" s="39"/>
      <c r="J483" s="39"/>
      <c r="K483" s="39"/>
    </row>
    <row r="484" spans="5:11" ht="11.25" customHeight="1" x14ac:dyDescent="0.2">
      <c r="E484" s="172"/>
      <c r="F484" s="172"/>
      <c r="G484" s="39"/>
      <c r="J484" s="39"/>
      <c r="K484" s="39"/>
    </row>
    <row r="485" spans="5:11" ht="11.25" customHeight="1" x14ac:dyDescent="0.2">
      <c r="E485" s="172"/>
      <c r="F485" s="172"/>
      <c r="G485" s="39"/>
      <c r="J485" s="39"/>
      <c r="K485" s="39"/>
    </row>
    <row r="486" spans="5:11" ht="11.25" customHeight="1" x14ac:dyDescent="0.2">
      <c r="E486" s="172"/>
      <c r="F486" s="172"/>
      <c r="G486" s="39"/>
      <c r="J486" s="39"/>
      <c r="K486" s="39"/>
    </row>
    <row r="487" spans="5:11" ht="11.25" customHeight="1" x14ac:dyDescent="0.2">
      <c r="E487" s="172"/>
      <c r="F487" s="172"/>
      <c r="G487" s="39"/>
      <c r="J487" s="39"/>
      <c r="K487" s="39"/>
    </row>
    <row r="488" spans="5:11" ht="11.25" customHeight="1" x14ac:dyDescent="0.2">
      <c r="E488" s="172"/>
      <c r="F488" s="172"/>
      <c r="G488" s="39"/>
      <c r="J488" s="39"/>
      <c r="K488" s="39"/>
    </row>
    <row r="489" spans="5:11" ht="11.25" customHeight="1" x14ac:dyDescent="0.2">
      <c r="E489" s="172"/>
      <c r="F489" s="172"/>
      <c r="G489" s="39"/>
      <c r="J489" s="39"/>
      <c r="K489" s="39"/>
    </row>
    <row r="490" spans="5:11" ht="11.25" customHeight="1" x14ac:dyDescent="0.2">
      <c r="E490" s="172"/>
      <c r="F490" s="172"/>
      <c r="G490" s="39"/>
      <c r="J490" s="39"/>
      <c r="K490" s="39"/>
    </row>
    <row r="491" spans="5:11" ht="11.25" customHeight="1" x14ac:dyDescent="0.2">
      <c r="E491" s="172"/>
      <c r="F491" s="172"/>
      <c r="G491" s="39"/>
      <c r="J491" s="39"/>
      <c r="K491" s="39"/>
    </row>
    <row r="492" spans="5:11" ht="11.25" customHeight="1" x14ac:dyDescent="0.2">
      <c r="E492" s="172"/>
      <c r="F492" s="172"/>
      <c r="G492" s="39"/>
      <c r="J492" s="39"/>
      <c r="K492" s="39"/>
    </row>
    <row r="493" spans="5:11" ht="11.25" customHeight="1" x14ac:dyDescent="0.2">
      <c r="E493" s="172"/>
      <c r="F493" s="172"/>
      <c r="G493" s="39"/>
      <c r="J493" s="39"/>
      <c r="K493" s="39"/>
    </row>
    <row r="494" spans="5:11" ht="11.25" customHeight="1" x14ac:dyDescent="0.2">
      <c r="E494" s="172"/>
      <c r="F494" s="172"/>
      <c r="G494" s="39"/>
      <c r="J494" s="39"/>
      <c r="K494" s="39"/>
    </row>
    <row r="495" spans="5:11" ht="11.25" customHeight="1" x14ac:dyDescent="0.2">
      <c r="E495" s="172"/>
      <c r="F495" s="172"/>
      <c r="G495" s="39"/>
      <c r="J495" s="39"/>
      <c r="K495" s="39"/>
    </row>
    <row r="496" spans="5:11" ht="11.25" customHeight="1" x14ac:dyDescent="0.2">
      <c r="E496" s="172"/>
      <c r="F496" s="172"/>
      <c r="G496" s="39"/>
      <c r="J496" s="39"/>
      <c r="K496" s="39"/>
    </row>
    <row r="497" spans="5:11" ht="11.25" customHeight="1" x14ac:dyDescent="0.2">
      <c r="E497" s="172"/>
      <c r="F497" s="172"/>
      <c r="G497" s="39"/>
      <c r="J497" s="39"/>
      <c r="K497" s="39"/>
    </row>
    <row r="498" spans="5:11" ht="11.25" customHeight="1" x14ac:dyDescent="0.2">
      <c r="E498" s="172"/>
      <c r="F498" s="172"/>
      <c r="G498" s="39"/>
      <c r="J498" s="39"/>
      <c r="K498" s="39"/>
    </row>
    <row r="499" spans="5:11" ht="11.25" customHeight="1" x14ac:dyDescent="0.2">
      <c r="E499" s="172"/>
      <c r="F499" s="172"/>
      <c r="G499" s="39"/>
      <c r="J499" s="39"/>
      <c r="K499" s="39"/>
    </row>
    <row r="500" spans="5:11" ht="11.25" customHeight="1" x14ac:dyDescent="0.2">
      <c r="E500" s="172"/>
      <c r="F500" s="172"/>
      <c r="G500" s="39"/>
      <c r="J500" s="39"/>
      <c r="K500" s="39"/>
    </row>
    <row r="501" spans="5:11" ht="11.25" customHeight="1" x14ac:dyDescent="0.2">
      <c r="E501" s="172"/>
      <c r="F501" s="172"/>
      <c r="G501" s="39"/>
      <c r="J501" s="39"/>
      <c r="K501" s="39"/>
    </row>
    <row r="502" spans="5:11" ht="11.25" customHeight="1" x14ac:dyDescent="0.2">
      <c r="E502" s="172"/>
      <c r="F502" s="172"/>
      <c r="G502" s="39"/>
      <c r="J502" s="39"/>
      <c r="K502" s="39"/>
    </row>
    <row r="503" spans="5:11" ht="11.25" customHeight="1" x14ac:dyDescent="0.2">
      <c r="E503" s="172"/>
      <c r="F503" s="172"/>
      <c r="G503" s="39"/>
      <c r="J503" s="39"/>
      <c r="K503" s="39"/>
    </row>
    <row r="504" spans="5:11" ht="11.25" customHeight="1" x14ac:dyDescent="0.2">
      <c r="E504" s="172"/>
      <c r="F504" s="172"/>
      <c r="G504" s="39"/>
      <c r="J504" s="39"/>
      <c r="K504" s="39"/>
    </row>
    <row r="505" spans="5:11" ht="11.25" customHeight="1" x14ac:dyDescent="0.2">
      <c r="E505" s="172"/>
      <c r="F505" s="172"/>
      <c r="G505" s="39"/>
      <c r="J505" s="39"/>
      <c r="K505" s="39"/>
    </row>
    <row r="506" spans="5:11" ht="11.25" customHeight="1" x14ac:dyDescent="0.2">
      <c r="E506" s="172"/>
      <c r="F506" s="172"/>
      <c r="G506" s="39"/>
      <c r="J506" s="39"/>
      <c r="K506" s="39"/>
    </row>
    <row r="507" spans="5:11" ht="11.25" customHeight="1" x14ac:dyDescent="0.2">
      <c r="E507" s="172"/>
      <c r="F507" s="172"/>
      <c r="G507" s="39"/>
      <c r="J507" s="39"/>
      <c r="K507" s="39"/>
    </row>
    <row r="508" spans="5:11" ht="11.25" customHeight="1" x14ac:dyDescent="0.2">
      <c r="E508" s="172"/>
      <c r="F508" s="172"/>
      <c r="G508" s="39"/>
      <c r="J508" s="39"/>
      <c r="K508" s="39"/>
    </row>
    <row r="509" spans="5:11" ht="11.25" customHeight="1" x14ac:dyDescent="0.2">
      <c r="E509" s="172"/>
      <c r="F509" s="172"/>
      <c r="G509" s="39"/>
      <c r="J509" s="39"/>
      <c r="K509" s="39"/>
    </row>
    <row r="510" spans="5:11" ht="11.25" customHeight="1" x14ac:dyDescent="0.2">
      <c r="E510" s="172"/>
      <c r="F510" s="172"/>
      <c r="G510" s="39"/>
      <c r="J510" s="39"/>
      <c r="K510" s="39"/>
    </row>
    <row r="511" spans="5:11" ht="11.25" customHeight="1" x14ac:dyDescent="0.2">
      <c r="E511" s="172"/>
      <c r="F511" s="172"/>
      <c r="G511" s="39"/>
      <c r="J511" s="39"/>
      <c r="K511" s="39"/>
    </row>
    <row r="512" spans="5:11" ht="11.25" customHeight="1" x14ac:dyDescent="0.2">
      <c r="E512" s="172"/>
      <c r="F512" s="172"/>
      <c r="G512" s="39"/>
      <c r="J512" s="39"/>
      <c r="K512" s="39"/>
    </row>
    <row r="513" spans="5:11" ht="11.25" customHeight="1" x14ac:dyDescent="0.2">
      <c r="E513" s="172"/>
      <c r="F513" s="172"/>
      <c r="G513" s="39"/>
      <c r="J513" s="39"/>
      <c r="K513" s="39"/>
    </row>
    <row r="514" spans="5:11" ht="11.25" customHeight="1" x14ac:dyDescent="0.2">
      <c r="E514" s="172"/>
      <c r="F514" s="172"/>
      <c r="G514" s="39"/>
      <c r="J514" s="39"/>
      <c r="K514" s="39"/>
    </row>
    <row r="515" spans="5:11" ht="11.25" customHeight="1" x14ac:dyDescent="0.2">
      <c r="E515" s="172"/>
      <c r="F515" s="172"/>
      <c r="G515" s="39"/>
      <c r="J515" s="39"/>
      <c r="K515" s="39"/>
    </row>
    <row r="516" spans="5:11" ht="11.25" customHeight="1" x14ac:dyDescent="0.2">
      <c r="E516" s="172"/>
      <c r="F516" s="172"/>
      <c r="G516" s="39"/>
      <c r="J516" s="39"/>
      <c r="K516" s="39"/>
    </row>
    <row r="517" spans="5:11" ht="11.25" customHeight="1" x14ac:dyDescent="0.2">
      <c r="E517" s="172"/>
      <c r="F517" s="172"/>
      <c r="G517" s="39"/>
      <c r="J517" s="39"/>
      <c r="K517" s="39"/>
    </row>
    <row r="518" spans="5:11" ht="11.25" customHeight="1" x14ac:dyDescent="0.2">
      <c r="E518" s="172"/>
      <c r="F518" s="172"/>
      <c r="G518" s="39"/>
      <c r="J518" s="39"/>
      <c r="K518" s="39"/>
    </row>
    <row r="519" spans="5:11" ht="11.25" customHeight="1" x14ac:dyDescent="0.2">
      <c r="E519" s="172"/>
      <c r="F519" s="172"/>
      <c r="G519" s="39"/>
      <c r="J519" s="39"/>
      <c r="K519" s="39"/>
    </row>
    <row r="520" spans="5:11" ht="11.25" customHeight="1" x14ac:dyDescent="0.2">
      <c r="E520" s="172"/>
      <c r="F520" s="172"/>
      <c r="G520" s="39"/>
      <c r="J520" s="39"/>
      <c r="K520" s="39"/>
    </row>
    <row r="521" spans="5:11" ht="11.25" customHeight="1" x14ac:dyDescent="0.2">
      <c r="E521" s="172"/>
      <c r="F521" s="172"/>
      <c r="G521" s="39"/>
      <c r="J521" s="39"/>
      <c r="K521" s="39"/>
    </row>
    <row r="522" spans="5:11" ht="11.25" customHeight="1" x14ac:dyDescent="0.2">
      <c r="E522" s="172"/>
      <c r="F522" s="172"/>
      <c r="G522" s="39"/>
      <c r="J522" s="39"/>
      <c r="K522" s="39"/>
    </row>
    <row r="523" spans="5:11" ht="11.25" customHeight="1" x14ac:dyDescent="0.2">
      <c r="E523" s="172"/>
      <c r="F523" s="172"/>
      <c r="G523" s="39"/>
      <c r="J523" s="39"/>
      <c r="K523" s="39"/>
    </row>
    <row r="524" spans="5:11" ht="11.25" customHeight="1" x14ac:dyDescent="0.2">
      <c r="E524" s="172"/>
      <c r="F524" s="172"/>
      <c r="G524" s="39"/>
      <c r="J524" s="39"/>
      <c r="K524" s="39"/>
    </row>
    <row r="525" spans="5:11" ht="11.25" customHeight="1" x14ac:dyDescent="0.2">
      <c r="E525" s="172"/>
      <c r="F525" s="172"/>
      <c r="G525" s="39"/>
      <c r="J525" s="39"/>
      <c r="K525" s="39"/>
    </row>
    <row r="526" spans="5:11" ht="11.25" customHeight="1" x14ac:dyDescent="0.2">
      <c r="E526" s="172"/>
      <c r="F526" s="172"/>
      <c r="G526" s="39"/>
      <c r="J526" s="39"/>
      <c r="K526" s="39"/>
    </row>
    <row r="527" spans="5:11" ht="11.25" customHeight="1" x14ac:dyDescent="0.2">
      <c r="E527" s="172"/>
      <c r="F527" s="172"/>
      <c r="G527" s="39"/>
      <c r="J527" s="39"/>
      <c r="K527" s="39"/>
    </row>
    <row r="528" spans="5:11" ht="11.25" customHeight="1" x14ac:dyDescent="0.2">
      <c r="E528" s="172"/>
      <c r="F528" s="172"/>
      <c r="G528" s="39"/>
      <c r="J528" s="39"/>
      <c r="K528" s="39"/>
    </row>
    <row r="529" spans="5:11" ht="11.25" customHeight="1" x14ac:dyDescent="0.2">
      <c r="E529" s="172"/>
      <c r="F529" s="172"/>
      <c r="G529" s="39"/>
      <c r="J529" s="39"/>
      <c r="K529" s="39"/>
    </row>
    <row r="530" spans="5:11" ht="11.25" customHeight="1" x14ac:dyDescent="0.2">
      <c r="E530" s="172"/>
      <c r="F530" s="172"/>
      <c r="G530" s="39"/>
      <c r="J530" s="39"/>
      <c r="K530" s="39"/>
    </row>
    <row r="531" spans="5:11" ht="11.25" customHeight="1" x14ac:dyDescent="0.2">
      <c r="E531" s="172"/>
      <c r="F531" s="172"/>
      <c r="G531" s="39"/>
      <c r="J531" s="39"/>
      <c r="K531" s="39"/>
    </row>
    <row r="532" spans="5:11" ht="11.25" customHeight="1" x14ac:dyDescent="0.2">
      <c r="E532" s="172"/>
      <c r="F532" s="172"/>
      <c r="G532" s="39"/>
      <c r="J532" s="39"/>
      <c r="K532" s="39"/>
    </row>
    <row r="533" spans="5:11" ht="11.25" customHeight="1" x14ac:dyDescent="0.2">
      <c r="E533" s="172"/>
      <c r="F533" s="172"/>
      <c r="G533" s="39"/>
      <c r="J533" s="39"/>
      <c r="K533" s="39"/>
    </row>
    <row r="534" spans="5:11" ht="11.25" customHeight="1" x14ac:dyDescent="0.2">
      <c r="E534" s="172"/>
      <c r="F534" s="172"/>
      <c r="G534" s="39"/>
      <c r="J534" s="39"/>
      <c r="K534" s="39"/>
    </row>
    <row r="535" spans="5:11" ht="11.25" customHeight="1" x14ac:dyDescent="0.2">
      <c r="E535" s="172"/>
      <c r="F535" s="172"/>
      <c r="G535" s="39"/>
      <c r="J535" s="39"/>
      <c r="K535" s="39"/>
    </row>
    <row r="536" spans="5:11" ht="11.25" customHeight="1" x14ac:dyDescent="0.2">
      <c r="E536" s="172"/>
      <c r="F536" s="172"/>
      <c r="G536" s="39"/>
      <c r="J536" s="39"/>
      <c r="K536" s="39"/>
    </row>
    <row r="537" spans="5:11" ht="11.25" customHeight="1" x14ac:dyDescent="0.2">
      <c r="E537" s="172"/>
      <c r="F537" s="172"/>
      <c r="G537" s="39"/>
      <c r="J537" s="39"/>
      <c r="K537" s="39"/>
    </row>
    <row r="538" spans="5:11" ht="11.25" customHeight="1" x14ac:dyDescent="0.2">
      <c r="E538" s="172"/>
      <c r="F538" s="172"/>
      <c r="G538" s="39"/>
      <c r="J538" s="39"/>
      <c r="K538" s="39"/>
    </row>
    <row r="539" spans="5:11" ht="11.25" customHeight="1" x14ac:dyDescent="0.2">
      <c r="E539" s="172"/>
      <c r="F539" s="172"/>
      <c r="G539" s="39"/>
      <c r="J539" s="39"/>
      <c r="K539" s="39"/>
    </row>
    <row r="540" spans="5:11" ht="11.25" customHeight="1" x14ac:dyDescent="0.2">
      <c r="E540" s="172"/>
      <c r="F540" s="172"/>
      <c r="G540" s="39"/>
      <c r="J540" s="39"/>
      <c r="K540" s="39"/>
    </row>
    <row r="541" spans="5:11" ht="11.25" customHeight="1" x14ac:dyDescent="0.2">
      <c r="E541" s="172"/>
      <c r="F541" s="172"/>
      <c r="G541" s="39"/>
      <c r="J541" s="39"/>
      <c r="K541" s="39"/>
    </row>
    <row r="542" spans="5:11" ht="11.25" customHeight="1" x14ac:dyDescent="0.2">
      <c r="E542" s="172"/>
      <c r="F542" s="172"/>
      <c r="G542" s="39"/>
      <c r="J542" s="39"/>
      <c r="K542" s="39"/>
    </row>
    <row r="543" spans="5:11" ht="11.25" customHeight="1" x14ac:dyDescent="0.2">
      <c r="E543" s="172"/>
      <c r="F543" s="172"/>
      <c r="G543" s="39"/>
      <c r="J543" s="39"/>
      <c r="K543" s="39"/>
    </row>
    <row r="544" spans="5:11" ht="11.25" customHeight="1" x14ac:dyDescent="0.2">
      <c r="E544" s="172"/>
      <c r="F544" s="172"/>
      <c r="G544" s="39"/>
      <c r="J544" s="39"/>
      <c r="K544" s="39"/>
    </row>
    <row r="545" spans="5:11" ht="11.25" customHeight="1" x14ac:dyDescent="0.2">
      <c r="E545" s="172"/>
      <c r="F545" s="172"/>
      <c r="G545" s="39"/>
      <c r="J545" s="39"/>
      <c r="K545" s="39"/>
    </row>
    <row r="546" spans="5:11" ht="11.25" customHeight="1" x14ac:dyDescent="0.2">
      <c r="E546" s="172"/>
      <c r="F546" s="172"/>
      <c r="G546" s="39"/>
      <c r="J546" s="39"/>
      <c r="K546" s="39"/>
    </row>
    <row r="547" spans="5:11" ht="11.25" customHeight="1" x14ac:dyDescent="0.2">
      <c r="E547" s="172"/>
      <c r="F547" s="172"/>
      <c r="G547" s="39"/>
      <c r="J547" s="39"/>
      <c r="K547" s="39"/>
    </row>
    <row r="548" spans="5:11" ht="11.25" customHeight="1" x14ac:dyDescent="0.2">
      <c r="E548" s="172"/>
      <c r="F548" s="172"/>
      <c r="G548" s="39"/>
      <c r="J548" s="39"/>
      <c r="K548" s="39"/>
    </row>
    <row r="549" spans="5:11" ht="11.25" customHeight="1" x14ac:dyDescent="0.2">
      <c r="E549" s="172"/>
      <c r="F549" s="172"/>
      <c r="G549" s="39"/>
      <c r="J549" s="39"/>
      <c r="K549" s="39"/>
    </row>
    <row r="550" spans="5:11" ht="11.25" customHeight="1" x14ac:dyDescent="0.2">
      <c r="E550" s="172"/>
      <c r="F550" s="172"/>
      <c r="G550" s="39"/>
      <c r="J550" s="39"/>
      <c r="K550" s="39"/>
    </row>
    <row r="551" spans="5:11" ht="11.25" customHeight="1" x14ac:dyDescent="0.2">
      <c r="E551" s="172"/>
      <c r="F551" s="172"/>
      <c r="G551" s="39"/>
      <c r="J551" s="39"/>
      <c r="K551" s="39"/>
    </row>
    <row r="552" spans="5:11" ht="11.25" customHeight="1" x14ac:dyDescent="0.2">
      <c r="E552" s="172"/>
      <c r="F552" s="172"/>
      <c r="G552" s="39"/>
      <c r="J552" s="39"/>
      <c r="K552" s="39"/>
    </row>
    <row r="553" spans="5:11" ht="11.25" customHeight="1" x14ac:dyDescent="0.2">
      <c r="E553" s="172"/>
      <c r="F553" s="172"/>
      <c r="G553" s="39"/>
      <c r="J553" s="39"/>
      <c r="K553" s="39"/>
    </row>
    <row r="554" spans="5:11" ht="11.25" customHeight="1" x14ac:dyDescent="0.2">
      <c r="E554" s="172"/>
      <c r="F554" s="172"/>
      <c r="G554" s="39"/>
      <c r="J554" s="39"/>
      <c r="K554" s="39"/>
    </row>
    <row r="555" spans="5:11" ht="11.25" customHeight="1" x14ac:dyDescent="0.2">
      <c r="E555" s="172"/>
      <c r="F555" s="172"/>
      <c r="G555" s="39"/>
      <c r="J555" s="39"/>
      <c r="K555" s="39"/>
    </row>
    <row r="556" spans="5:11" ht="11.25" customHeight="1" x14ac:dyDescent="0.2">
      <c r="E556" s="172"/>
      <c r="F556" s="172"/>
      <c r="G556" s="39"/>
      <c r="J556" s="39"/>
      <c r="K556" s="39"/>
    </row>
    <row r="557" spans="5:11" ht="11.25" customHeight="1" x14ac:dyDescent="0.2">
      <c r="E557" s="172"/>
      <c r="F557" s="172"/>
      <c r="G557" s="39"/>
      <c r="J557" s="39"/>
      <c r="K557" s="39"/>
    </row>
    <row r="558" spans="5:11" ht="11.25" customHeight="1" x14ac:dyDescent="0.2">
      <c r="E558" s="172"/>
      <c r="F558" s="172"/>
      <c r="G558" s="39"/>
      <c r="J558" s="39"/>
      <c r="K558" s="39"/>
    </row>
    <row r="559" spans="5:11" ht="11.25" customHeight="1" x14ac:dyDescent="0.2">
      <c r="E559" s="172"/>
      <c r="F559" s="172"/>
      <c r="G559" s="39"/>
      <c r="J559" s="39"/>
      <c r="K559" s="39"/>
    </row>
    <row r="560" spans="5:11" ht="11.25" customHeight="1" x14ac:dyDescent="0.2">
      <c r="E560" s="172"/>
      <c r="F560" s="172"/>
      <c r="G560" s="39"/>
      <c r="J560" s="39"/>
      <c r="K560" s="39"/>
    </row>
    <row r="561" spans="5:11" ht="11.25" customHeight="1" x14ac:dyDescent="0.2">
      <c r="E561" s="172"/>
      <c r="F561" s="172"/>
      <c r="G561" s="39"/>
      <c r="J561" s="39"/>
      <c r="K561" s="39"/>
    </row>
    <row r="562" spans="5:11" ht="11.25" customHeight="1" x14ac:dyDescent="0.2">
      <c r="E562" s="172"/>
      <c r="F562" s="172"/>
      <c r="G562" s="39"/>
      <c r="J562" s="39"/>
      <c r="K562" s="39"/>
    </row>
    <row r="563" spans="5:11" ht="11.25" customHeight="1" x14ac:dyDescent="0.2">
      <c r="E563" s="172"/>
      <c r="F563" s="172"/>
      <c r="G563" s="39"/>
      <c r="J563" s="39"/>
      <c r="K563" s="39"/>
    </row>
    <row r="564" spans="5:11" ht="11.25" customHeight="1" x14ac:dyDescent="0.2">
      <c r="E564" s="172"/>
      <c r="F564" s="172"/>
      <c r="G564" s="39"/>
      <c r="J564" s="39"/>
      <c r="K564" s="39"/>
    </row>
    <row r="565" spans="5:11" ht="11.25" customHeight="1" x14ac:dyDescent="0.2">
      <c r="E565" s="172"/>
      <c r="F565" s="172"/>
      <c r="G565" s="39"/>
      <c r="J565" s="39"/>
      <c r="K565" s="39"/>
    </row>
    <row r="566" spans="5:11" ht="11.25" customHeight="1" x14ac:dyDescent="0.2">
      <c r="E566" s="172"/>
      <c r="F566" s="172"/>
      <c r="G566" s="39"/>
      <c r="J566" s="39"/>
      <c r="K566" s="39"/>
    </row>
    <row r="567" spans="5:11" ht="11.25" customHeight="1" x14ac:dyDescent="0.2">
      <c r="E567" s="172"/>
      <c r="F567" s="172"/>
      <c r="G567" s="39"/>
      <c r="J567" s="39"/>
      <c r="K567" s="39"/>
    </row>
    <row r="568" spans="5:11" ht="11.25" customHeight="1" x14ac:dyDescent="0.2">
      <c r="E568" s="172"/>
      <c r="F568" s="172"/>
      <c r="G568" s="39"/>
      <c r="J568" s="39"/>
      <c r="K568" s="39"/>
    </row>
    <row r="569" spans="5:11" ht="11.25" customHeight="1" x14ac:dyDescent="0.2">
      <c r="E569" s="172"/>
      <c r="F569" s="172"/>
      <c r="G569" s="39"/>
      <c r="J569" s="39"/>
      <c r="K569" s="39"/>
    </row>
    <row r="570" spans="5:11" ht="11.25" customHeight="1" x14ac:dyDescent="0.2">
      <c r="E570" s="172"/>
      <c r="F570" s="172"/>
      <c r="G570" s="39"/>
      <c r="J570" s="39"/>
      <c r="K570" s="39"/>
    </row>
    <row r="571" spans="5:11" ht="11.25" customHeight="1" x14ac:dyDescent="0.2">
      <c r="E571" s="172"/>
      <c r="F571" s="172"/>
      <c r="G571" s="39"/>
      <c r="J571" s="39"/>
      <c r="K571" s="39"/>
    </row>
    <row r="572" spans="5:11" ht="11.25" customHeight="1" x14ac:dyDescent="0.2">
      <c r="E572" s="172"/>
      <c r="F572" s="172"/>
      <c r="G572" s="39"/>
      <c r="J572" s="39"/>
      <c r="K572" s="39"/>
    </row>
    <row r="573" spans="5:11" ht="11.25" customHeight="1" x14ac:dyDescent="0.2">
      <c r="E573" s="172"/>
      <c r="F573" s="172"/>
      <c r="G573" s="39"/>
      <c r="J573" s="39"/>
      <c r="K573" s="39"/>
    </row>
    <row r="574" spans="5:11" ht="11.25" customHeight="1" x14ac:dyDescent="0.2">
      <c r="E574" s="172"/>
      <c r="F574" s="172"/>
      <c r="G574" s="39"/>
      <c r="J574" s="39"/>
      <c r="K574" s="39"/>
    </row>
    <row r="575" spans="5:11" ht="11.25" customHeight="1" x14ac:dyDescent="0.2">
      <c r="E575" s="172"/>
      <c r="F575" s="172"/>
      <c r="G575" s="39"/>
      <c r="J575" s="39"/>
      <c r="K575" s="39"/>
    </row>
    <row r="576" spans="5:11" ht="11.25" customHeight="1" x14ac:dyDescent="0.2">
      <c r="E576" s="172"/>
      <c r="F576" s="172"/>
      <c r="G576" s="39"/>
      <c r="J576" s="39"/>
      <c r="K576" s="39"/>
    </row>
    <row r="577" spans="5:11" ht="11.25" customHeight="1" x14ac:dyDescent="0.2">
      <c r="E577" s="172"/>
      <c r="F577" s="172"/>
      <c r="G577" s="39"/>
      <c r="J577" s="39"/>
      <c r="K577" s="39"/>
    </row>
    <row r="578" spans="5:11" ht="11.25" customHeight="1" x14ac:dyDescent="0.2"/>
    <row r="579" spans="5:11" ht="11.25" customHeight="1" x14ac:dyDescent="0.2"/>
    <row r="580" spans="5:11" ht="11.25" customHeight="1" x14ac:dyDescent="0.2"/>
    <row r="581" spans="5:11" ht="11.25" customHeight="1" x14ac:dyDescent="0.2"/>
  </sheetData>
  <dataValidations count="1">
    <dataValidation type="list" allowBlank="1" showInputMessage="1" showErrorMessage="1" sqref="L2:L11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"/>
  <sheetViews>
    <sheetView showGridLines="0" workbookViewId="0">
      <selection activeCell="M2" sqref="M2"/>
    </sheetView>
  </sheetViews>
  <sheetFormatPr defaultRowHeight="11.25" outlineLevelCol="1" x14ac:dyDescent="0.2"/>
  <cols>
    <col min="1" max="1" width="3.1640625" style="36" customWidth="1"/>
    <col min="2" max="2" width="2.33203125" style="36" bestFit="1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11.5" style="36" customWidth="1"/>
    <col min="8" max="8" width="17.83203125" style="36" hidden="1" customWidth="1" outlineLevel="1"/>
    <col min="9" max="9" width="5.83203125" style="36" hidden="1" customWidth="1" outlineLevel="1"/>
    <col min="10" max="10" width="10.5" style="36" bestFit="1" customWidth="1" collapsed="1"/>
    <col min="11" max="11" width="9.33203125" style="36" bestFit="1" customWidth="1"/>
    <col min="12" max="12" width="10.33203125" style="36" customWidth="1"/>
    <col min="13" max="13" width="9.33203125" style="36" bestFit="1" customWidth="1"/>
    <col min="14" max="14" width="10.5" style="36" bestFit="1" customWidth="1"/>
    <col min="15" max="15" width="5.83203125" style="36" customWidth="1"/>
    <col min="16" max="16" width="20.1640625" style="36" bestFit="1" customWidth="1"/>
    <col min="17" max="17" width="9.33203125" style="36" bestFit="1" customWidth="1"/>
    <col min="18" max="18" width="10.5" style="36" bestFit="1" customWidth="1"/>
    <col min="19" max="16384" width="9.33203125" style="36"/>
  </cols>
  <sheetData>
    <row r="1" spans="1:17" ht="26.25" customHeight="1" thickBot="1" x14ac:dyDescent="0.25">
      <c r="D1" s="257" t="s">
        <v>129</v>
      </c>
      <c r="E1" s="258" t="s">
        <v>124</v>
      </c>
      <c r="F1" s="258" t="s">
        <v>125</v>
      </c>
      <c r="G1" s="258" t="s">
        <v>195</v>
      </c>
      <c r="H1" s="258" t="s">
        <v>128</v>
      </c>
      <c r="I1" s="258"/>
      <c r="J1" s="258" t="s">
        <v>133</v>
      </c>
      <c r="K1" s="258" t="s">
        <v>130</v>
      </c>
      <c r="L1" s="258" t="s">
        <v>91</v>
      </c>
      <c r="M1" s="258" t="str">
        <f>_xll.qlInterpolation(,interpolator6M,_xll.ohFilter(E3:E20,L3:L20),_xll.ohFilter(K3:K20,L3:L20))</f>
        <v>obj_005bf#0097</v>
      </c>
      <c r="N1" s="258" t="s">
        <v>130</v>
      </c>
      <c r="P1" s="257" t="s">
        <v>124</v>
      </c>
      <c r="Q1" s="259" t="s">
        <v>194</v>
      </c>
    </row>
    <row r="2" spans="1:17" ht="11.25" customHeight="1" x14ac:dyDescent="0.2">
      <c r="C2" s="36">
        <v>6</v>
      </c>
      <c r="D2" s="423" t="str">
        <f>PROPER(Currency&amp;IborType)&amp;"6M"&amp;"LastFixing"&amp;QuoteSuffix</f>
        <v>Euribor6MLastFixing_Quote</v>
      </c>
      <c r="E2" s="424">
        <f>SettlementDate</f>
        <v>41954</v>
      </c>
      <c r="F2" s="424">
        <f>_xll.qlCalendarAdvance(Calendar,E2,"6M","mf",,Trigger)</f>
        <v>42135</v>
      </c>
      <c r="G2" s="425">
        <f>_xll.qlQuoteValue(D2,LastFixingsTrigger)</f>
        <v>1.82E-3</v>
      </c>
      <c r="H2" s="426" t="str">
        <f>_xll.qlMakeDatedOIS(,E2,F2,OvernightIndex,0,,,,EvaluationDate)</f>
        <v>obj_0059f#0001</v>
      </c>
      <c r="I2" s="426" t="b">
        <f>_xll.qlInstrumentSetPricingEngine(H2,OisEngine)</f>
        <v>1</v>
      </c>
      <c r="J2" s="425">
        <f>_xll.qlOvernightIndexedSwapFairRate(H2,AllTriggers)</f>
        <v>-3.1459104390126784E-4</v>
      </c>
      <c r="K2" s="425">
        <f t="shared" ref="K2:K20" si="0">G2-J2</f>
        <v>2.134591043901268E-3</v>
      </c>
      <c r="L2" s="427" t="b">
        <v>0</v>
      </c>
      <c r="M2" s="434">
        <f>_xll.qlInterpolationInterpolate($M$1,E2,TRUE)</f>
        <v>2.2061804597449321E-3</v>
      </c>
      <c r="N2" s="428">
        <f>K2-M2</f>
        <v>-7.1589415843664132E-5</v>
      </c>
      <c r="P2" s="407">
        <f>E2</f>
        <v>41954</v>
      </c>
      <c r="Q2" s="262">
        <f>_xll.qlInterpolationInterpolate($M$1,P2,TRUE)</f>
        <v>2.2061804597449321E-3</v>
      </c>
    </row>
    <row r="3" spans="1:17" ht="11.25" customHeight="1" x14ac:dyDescent="0.2">
      <c r="A3" s="36">
        <v>1</v>
      </c>
      <c r="B3" s="36" t="s">
        <v>40</v>
      </c>
      <c r="C3" s="36">
        <f>A3+6</f>
        <v>7</v>
      </c>
      <c r="D3" s="260" t="str">
        <f t="shared" ref="D3:D20" si="1">Currency&amp;A3&amp;B3&amp;C3&amp;"F"&amp;QuoteSuffix</f>
        <v>EUR1x7F_Quote</v>
      </c>
      <c r="E3" s="261">
        <f>_xll.qlCalendarAdvance("target",$E$2,A3&amp;"M","mf",,Trigger)</f>
        <v>41984</v>
      </c>
      <c r="F3" s="261">
        <f>_xll.qlCalendarAdvance(Calendar,E3,"6M","mf",,Trigger)</f>
        <v>42166</v>
      </c>
      <c r="G3" s="38">
        <f>_xll.qlQuoteValue(D3,AllTriggers)</f>
        <v>1.8699999999999999E-3</v>
      </c>
      <c r="H3" s="40" t="str">
        <f>_xll.qlMakeDatedOIS(,E3,F3,OvernightIndex,0,,,,EvaluationDate)</f>
        <v>obj_005a9#0001</v>
      </c>
      <c r="I3" s="40" t="b">
        <f>_xll.qlInstrumentSetPricingEngine(H3,OisEngine)</f>
        <v>1</v>
      </c>
      <c r="J3" s="38">
        <f>_xll.qlOvernightIndexedSwapFairRate(H3,AllTriggers)</f>
        <v>-4.0037680451526721E-4</v>
      </c>
      <c r="K3" s="38">
        <f t="shared" si="0"/>
        <v>2.2703768045152671E-3</v>
      </c>
      <c r="L3" s="418" t="b">
        <v>0</v>
      </c>
      <c r="M3" s="38">
        <f>_xll.qlInterpolationInterpolate($M$1,E3,TRUE)</f>
        <v>2.2724133463614838E-3</v>
      </c>
      <c r="N3" s="262">
        <f>M3-K3</f>
        <v>2.0365418462167315E-6</v>
      </c>
      <c r="P3" s="407">
        <f>_xll.qlCalendarAdvance(Calendar,P2,"1D","f")</f>
        <v>41955</v>
      </c>
      <c r="Q3" s="262">
        <f>_xll.qlInterpolationInterpolate($M$1,P3,TRUE)</f>
        <v>2.2089045468201315E-3</v>
      </c>
    </row>
    <row r="4" spans="1:17" ht="11.25" customHeight="1" x14ac:dyDescent="0.2">
      <c r="A4" s="36">
        <v>2</v>
      </c>
      <c r="B4" s="36" t="s">
        <v>40</v>
      </c>
      <c r="C4" s="36">
        <f t="shared" ref="C4:C20" si="2">A4+6</f>
        <v>8</v>
      </c>
      <c r="D4" s="260" t="str">
        <f t="shared" si="1"/>
        <v>EUR2x8F_Quote</v>
      </c>
      <c r="E4" s="261">
        <f>_xll.qlCalendarAdvance("target",$E$2,A4&amp;"M","mf",,Trigger)</f>
        <v>42016</v>
      </c>
      <c r="F4" s="261">
        <f>_xll.qlCalendarAdvance(Calendar,E4,"6M","mf",,Trigger)</f>
        <v>42198</v>
      </c>
      <c r="G4" s="38">
        <f>_xll.qlQuoteValue(D4,AllTriggers)</f>
        <v>1.8599999999999999E-3</v>
      </c>
      <c r="H4" s="40" t="str">
        <f>_xll.qlMakeDatedOIS(,E4,F4,OvernightIndex,0,,,,EvaluationDate)</f>
        <v>obj_005af#0001</v>
      </c>
      <c r="I4" s="40" t="b">
        <f>_xll.qlInstrumentSetPricingEngine(H4,OisEngine)</f>
        <v>1</v>
      </c>
      <c r="J4" s="38">
        <f>_xll.qlOvernightIndexedSwapFairRate(H4,AllTriggers)</f>
        <v>-4.6163964623595452E-4</v>
      </c>
      <c r="K4" s="38">
        <f t="shared" si="0"/>
        <v>2.3216396462359544E-3</v>
      </c>
      <c r="L4" s="418" t="b">
        <v>1</v>
      </c>
      <c r="M4" s="38">
        <f>_xll.qlInterpolationInterpolate($M$1,E4,TRUE)</f>
        <v>2.3216396462359544E-3</v>
      </c>
      <c r="N4" s="262">
        <f t="shared" ref="N4:N20" si="3">M4-K4</f>
        <v>0</v>
      </c>
      <c r="P4" s="407">
        <f>_xll.qlCalendarAdvance(Calendar,P3,"1D","f")</f>
        <v>41956</v>
      </c>
      <c r="Q4" s="262">
        <f>_xll.qlInterpolationInterpolate($M$1,P4,TRUE)</f>
        <v>2.2115865928157316E-3</v>
      </c>
    </row>
    <row r="5" spans="1:17" ht="11.25" customHeight="1" x14ac:dyDescent="0.2">
      <c r="A5" s="36">
        <f>A4+1</f>
        <v>3</v>
      </c>
      <c r="B5" s="36" t="s">
        <v>40</v>
      </c>
      <c r="C5" s="36">
        <f t="shared" si="2"/>
        <v>9</v>
      </c>
      <c r="D5" s="260" t="str">
        <f t="shared" si="1"/>
        <v>EUR3x9F_Quote</v>
      </c>
      <c r="E5" s="261">
        <f>_xll.qlCalendarAdvance("target",$E$2,A5&amp;"M","mf",,Trigger)</f>
        <v>42046</v>
      </c>
      <c r="F5" s="261">
        <f>_xll.qlCalendarAdvance(Calendar,E5,"6M","mf",,Trigger)</f>
        <v>42227</v>
      </c>
      <c r="G5" s="38">
        <f>_xll.qlQuoteValue(D5,AllTriggers)</f>
        <v>1.8500000000000001E-3</v>
      </c>
      <c r="H5" s="40" t="str">
        <f>_xll.qlMakeDatedOIS(,E5,F5,OvernightIndex,0,,,,EvaluationDate)</f>
        <v>obj_0059a#0001</v>
      </c>
      <c r="I5" s="40" t="b">
        <f>_xll.qlInstrumentSetPricingEngine(H5,OisEngine)</f>
        <v>1</v>
      </c>
      <c r="J5" s="38">
        <f>_xll.qlOvernightIndexedSwapFairRate(H5,AllTriggers)</f>
        <v>-5.1736199959201022E-4</v>
      </c>
      <c r="K5" s="38">
        <f t="shared" si="0"/>
        <v>2.3673619995920104E-3</v>
      </c>
      <c r="L5" s="418" t="b">
        <v>1</v>
      </c>
      <c r="M5" s="38">
        <f>_xll.qlInterpolationInterpolate($M$1,E5,TRUE)</f>
        <v>2.3673619995920104E-3</v>
      </c>
      <c r="N5" s="262">
        <f t="shared" si="3"/>
        <v>0</v>
      </c>
      <c r="P5" s="407">
        <f>_xll.qlCalendarAdvance(Calendar,P4,"1D","f")</f>
        <v>41957</v>
      </c>
      <c r="Q5" s="262">
        <f>_xll.qlInterpolationInterpolate($M$1,P5,TRUE)</f>
        <v>2.2142272869297578E-3</v>
      </c>
    </row>
    <row r="6" spans="1:17" ht="11.25" customHeight="1" x14ac:dyDescent="0.2">
      <c r="A6" s="36">
        <f t="shared" ref="A6:A20" si="4">A5+1</f>
        <v>4</v>
      </c>
      <c r="B6" s="36" t="s">
        <v>40</v>
      </c>
      <c r="C6" s="36">
        <f t="shared" si="2"/>
        <v>10</v>
      </c>
      <c r="D6" s="260" t="str">
        <f t="shared" si="1"/>
        <v>EUR4x10F_Quote</v>
      </c>
      <c r="E6" s="261">
        <f>_xll.qlCalendarAdvance("target",$E$2,A6&amp;"M","mf",,Trigger)</f>
        <v>42074</v>
      </c>
      <c r="F6" s="261">
        <f>_xll.qlCalendarAdvance(Calendar,E6,"6M","mf",,Trigger)</f>
        <v>42258</v>
      </c>
      <c r="G6" s="38">
        <f>_xll.qlQuoteValue(D6,AllTriggers)</f>
        <v>1.8400000000000001E-3</v>
      </c>
      <c r="H6" s="40" t="str">
        <f>_xll.qlMakeDatedOIS(,E6,F6,OvernightIndex,0,,,,EvaluationDate)</f>
        <v>obj_00595#0001</v>
      </c>
      <c r="I6" s="40" t="b">
        <f>_xll.qlInstrumentSetPricingEngine(H6,OisEngine)</f>
        <v>1</v>
      </c>
      <c r="J6" s="38">
        <f>_xll.qlOvernightIndexedSwapFairRate(H6,AllTriggers)</f>
        <v>-5.9466742945553678E-4</v>
      </c>
      <c r="K6" s="38">
        <f t="shared" si="0"/>
        <v>2.4346674294555368E-3</v>
      </c>
      <c r="L6" s="418" t="b">
        <v>0</v>
      </c>
      <c r="M6" s="38">
        <f>_xll.qlInterpolationInterpolate($M$1,E6,TRUE)</f>
        <v>2.4217590523942763E-3</v>
      </c>
      <c r="N6" s="262">
        <f t="shared" si="3"/>
        <v>-1.290837706126053E-5</v>
      </c>
      <c r="P6" s="407">
        <f>_xll.qlCalendarAdvance(Calendar,P5,"1D","f")</f>
        <v>41960</v>
      </c>
      <c r="Q6" s="262">
        <f>_xll.qlInterpolationInterpolate($M$1,P6,TRUE)</f>
        <v>2.2219081499626572E-3</v>
      </c>
    </row>
    <row r="7" spans="1:17" ht="11.25" customHeight="1" x14ac:dyDescent="0.2">
      <c r="A7" s="36">
        <f t="shared" si="4"/>
        <v>5</v>
      </c>
      <c r="B7" s="36" t="s">
        <v>40</v>
      </c>
      <c r="C7" s="36">
        <f t="shared" si="2"/>
        <v>11</v>
      </c>
      <c r="D7" s="260" t="str">
        <f t="shared" si="1"/>
        <v>EUR5x11F_Quote</v>
      </c>
      <c r="E7" s="261">
        <f>_xll.qlCalendarAdvance("target",$E$2,A7&amp;"M","mf",,Trigger)</f>
        <v>42107</v>
      </c>
      <c r="F7" s="261">
        <f>_xll.qlCalendarAdvance(Calendar,E7,"6M","mf",,Trigger)</f>
        <v>42290</v>
      </c>
      <c r="G7" s="38">
        <f>_xll.qlQuoteValue(D7,AllTriggers)</f>
        <v>1.8400000000000001E-3</v>
      </c>
      <c r="H7" s="40" t="str">
        <f>_xll.qlMakeDatedOIS(,E7,F7,OvernightIndex,0,,,,EvaluationDate)</f>
        <v>obj_005ae#0001</v>
      </c>
      <c r="I7" s="40" t="b">
        <f>_xll.qlInstrumentSetPricingEngine(H7,OisEngine)</f>
        <v>1</v>
      </c>
      <c r="J7" s="38">
        <f>_xll.qlOvernightIndexedSwapFairRate(H7,AllTriggers)</f>
        <v>-6.6937728137727779E-4</v>
      </c>
      <c r="K7" s="38">
        <f t="shared" si="0"/>
        <v>2.5093772813772779E-3</v>
      </c>
      <c r="L7" s="418" t="b">
        <v>0</v>
      </c>
      <c r="M7" s="38">
        <f>_xll.qlInterpolationInterpolate($M$1,E7,TRUE)</f>
        <v>2.4889589350369193E-3</v>
      </c>
      <c r="N7" s="262">
        <f t="shared" si="3"/>
        <v>-2.0418346340358648E-5</v>
      </c>
      <c r="P7" s="407">
        <f>_xll.qlCalendarAdvance(Calendar,P6,"1D","f")</f>
        <v>41961</v>
      </c>
      <c r="Q7" s="262">
        <f>_xll.qlInterpolationInterpolate($M$1,P7,TRUE)</f>
        <v>2.2243903285306512E-3</v>
      </c>
    </row>
    <row r="8" spans="1:17" ht="11.25" customHeight="1" x14ac:dyDescent="0.2">
      <c r="A8" s="36">
        <f t="shared" si="4"/>
        <v>6</v>
      </c>
      <c r="B8" s="36" t="s">
        <v>40</v>
      </c>
      <c r="C8" s="36">
        <f t="shared" si="2"/>
        <v>12</v>
      </c>
      <c r="D8" s="260" t="str">
        <f t="shared" si="1"/>
        <v>EUR6x12F_Quote</v>
      </c>
      <c r="E8" s="261">
        <f>_xll.qlCalendarAdvance("target",$E$2,A8&amp;"M","mf",,Trigger)</f>
        <v>42135</v>
      </c>
      <c r="F8" s="261">
        <f>_xll.qlCalendarAdvance(Calendar,E8,"6M","mf",,Trigger)</f>
        <v>42319</v>
      </c>
      <c r="G8" s="38">
        <f>_xll.qlQuoteValue(D8,AllTriggers)</f>
        <v>1.8400000000000001E-3</v>
      </c>
      <c r="H8" s="40" t="str">
        <f>_xll.qlMakeDatedOIS(,E8,F8,OvernightIndex,0,,,,EvaluationDate)</f>
        <v>obj_005ba#0001</v>
      </c>
      <c r="I8" s="40" t="b">
        <f>_xll.qlInstrumentSetPricingEngine(H8,OisEngine)</f>
        <v>1</v>
      </c>
      <c r="J8" s="38">
        <f>_xll.qlOvernightIndexedSwapFairRate(H8,AllTriggers)</f>
        <v>-6.9356182272719755E-4</v>
      </c>
      <c r="K8" s="38">
        <f t="shared" si="0"/>
        <v>2.5335618227271977E-3</v>
      </c>
      <c r="L8" s="418" t="b">
        <v>1</v>
      </c>
      <c r="M8" s="38">
        <f>_xll.qlInterpolationInterpolate($M$1,E8,TRUE)</f>
        <v>2.5335618227271977E-3</v>
      </c>
      <c r="N8" s="262">
        <f t="shared" si="3"/>
        <v>0</v>
      </c>
      <c r="P8" s="407">
        <f>_xll.qlCalendarAdvance(Calendar,P7,"1D","f")</f>
        <v>41962</v>
      </c>
      <c r="Q8" s="262">
        <f>_xll.qlInterpolationInterpolate($M$1,P8,TRUE)</f>
        <v>2.226834601207203E-3</v>
      </c>
    </row>
    <row r="9" spans="1:17" ht="11.25" customHeight="1" x14ac:dyDescent="0.2">
      <c r="A9" s="36">
        <f t="shared" si="4"/>
        <v>7</v>
      </c>
      <c r="B9" s="36" t="s">
        <v>40</v>
      </c>
      <c r="C9" s="36">
        <f t="shared" si="2"/>
        <v>13</v>
      </c>
      <c r="D9" s="260" t="str">
        <f t="shared" si="1"/>
        <v>EUR7x13F_Quote</v>
      </c>
      <c r="E9" s="261">
        <f>_xll.qlCalendarAdvance("target",$E$2,A9&amp;"M","mf",,Trigger)</f>
        <v>42166</v>
      </c>
      <c r="F9" s="261">
        <f>_xll.qlCalendarAdvance(Calendar,E9,"6M","mf",,Trigger)</f>
        <v>42349</v>
      </c>
      <c r="G9" s="38">
        <f>_xll.qlQuoteValue(D9,AllTriggers)</f>
        <v>1.8400000000000001E-3</v>
      </c>
      <c r="H9" s="40" t="str">
        <f>_xll.qlMakeDatedOIS(,E9,F9,OvernightIndex,0,,,,EvaluationDate)</f>
        <v>obj_005ac#0001</v>
      </c>
      <c r="I9" s="40" t="b">
        <f>_xll.qlInstrumentSetPricingEngine(H9,OisEngine)</f>
        <v>1</v>
      </c>
      <c r="J9" s="38">
        <f>_xll.qlOvernightIndexedSwapFairRate(H9,AllTriggers)</f>
        <v>-7.0731121409097375E-4</v>
      </c>
      <c r="K9" s="38">
        <f t="shared" si="0"/>
        <v>2.5473112140909737E-3</v>
      </c>
      <c r="L9" s="418" t="b">
        <v>0</v>
      </c>
      <c r="M9" s="38">
        <f>_xll.qlInterpolationInterpolate($M$1,E9,TRUE)</f>
        <v>2.5585134112323096E-3</v>
      </c>
      <c r="N9" s="262">
        <f t="shared" si="3"/>
        <v>1.1202197141335895E-5</v>
      </c>
      <c r="P9" s="407">
        <f>_xll.qlCalendarAdvance(Calendar,P8,"1D","f")</f>
        <v>41963</v>
      </c>
      <c r="Q9" s="262">
        <f>_xll.qlInterpolationInterpolate($M$1,P9,TRUE)</f>
        <v>2.2292416571903385E-3</v>
      </c>
    </row>
    <row r="10" spans="1:17" ht="11.25" customHeight="1" x14ac:dyDescent="0.2">
      <c r="A10" s="36">
        <f t="shared" si="4"/>
        <v>8</v>
      </c>
      <c r="B10" s="36" t="s">
        <v>40</v>
      </c>
      <c r="C10" s="36">
        <f t="shared" si="2"/>
        <v>14</v>
      </c>
      <c r="D10" s="260" t="str">
        <f t="shared" si="1"/>
        <v>EUR8x14F_Quote</v>
      </c>
      <c r="E10" s="261">
        <f>_xll.qlCalendarAdvance("target",$E$2,A10&amp;"M","mf",,Trigger)</f>
        <v>42198</v>
      </c>
      <c r="F10" s="261">
        <f>_xll.qlCalendarAdvance(Calendar,E10,"6M","mf",,Trigger)</f>
        <v>42382</v>
      </c>
      <c r="G10" s="38">
        <f>_xll.qlQuoteValue(D10,AllTriggers)</f>
        <v>1.89E-3</v>
      </c>
      <c r="H10" s="40" t="str">
        <f>_xll.qlMakeDatedOIS(,E10,F10,OvernightIndex,0,,,,EvaluationDate)</f>
        <v>obj_005a7#0001</v>
      </c>
      <c r="I10" s="40" t="b">
        <f>_xll.qlInstrumentSetPricingEngine(H10,OisEngine)</f>
        <v>1</v>
      </c>
      <c r="J10" s="38">
        <f>_xll.qlOvernightIndexedSwapFairRate(H10,AllTriggers)</f>
        <v>-6.5302806499735531E-4</v>
      </c>
      <c r="K10" s="38">
        <f t="shared" si="0"/>
        <v>2.5430280649973553E-3</v>
      </c>
      <c r="L10" s="418" t="b">
        <v>0</v>
      </c>
      <c r="M10" s="38">
        <f>_xll.qlInterpolationInterpolate($M$1,E10,TRUE)</f>
        <v>2.5681651305966124E-3</v>
      </c>
      <c r="N10" s="262">
        <f t="shared" si="3"/>
        <v>2.5137065599257092E-5</v>
      </c>
      <c r="P10" s="407">
        <f>_xll.qlCalendarAdvance(Calendar,P9,"1D","f")</f>
        <v>41964</v>
      </c>
      <c r="Q10" s="262">
        <f>_xll.qlInterpolationInterpolate($M$1,P10,TRUE)</f>
        <v>2.231612185678084E-3</v>
      </c>
    </row>
    <row r="11" spans="1:17" ht="11.25" customHeight="1" x14ac:dyDescent="0.2">
      <c r="A11" s="36">
        <f t="shared" si="4"/>
        <v>9</v>
      </c>
      <c r="B11" s="36" t="s">
        <v>40</v>
      </c>
      <c r="C11" s="36">
        <f t="shared" si="2"/>
        <v>15</v>
      </c>
      <c r="D11" s="260" t="str">
        <f t="shared" si="1"/>
        <v>EUR9x15F_Quote</v>
      </c>
      <c r="E11" s="261">
        <f>_xll.qlCalendarAdvance("target",$E$2,A11&amp;"M","mf",,Trigger)</f>
        <v>42227</v>
      </c>
      <c r="F11" s="261">
        <f>_xll.qlCalendarAdvance(Calendar,E11,"6M","mf",,Trigger)</f>
        <v>42411</v>
      </c>
      <c r="G11" s="38">
        <f>_xll.qlQuoteValue(D11,AllTriggers)</f>
        <v>1.92E-3</v>
      </c>
      <c r="H11" s="40" t="str">
        <f>_xll.qlMakeDatedOIS(,E11,F11,OvernightIndex,0,,,,EvaluationDate)</f>
        <v>obj_0059c#0001</v>
      </c>
      <c r="I11" s="40" t="b">
        <f>_xll.qlInstrumentSetPricingEngine(H11,OisEngine)</f>
        <v>1</v>
      </c>
      <c r="J11" s="38">
        <f>_xll.qlOvernightIndexedSwapFairRate(H11,AllTriggers)</f>
        <v>-6.5677635449440147E-4</v>
      </c>
      <c r="K11" s="38">
        <f t="shared" si="0"/>
        <v>2.5767763544944015E-3</v>
      </c>
      <c r="L11" s="418" t="b">
        <v>1</v>
      </c>
      <c r="M11" s="38">
        <f>_xll.qlInterpolationInterpolate($M$1,E11,TRUE)</f>
        <v>2.5767763544944015E-3</v>
      </c>
      <c r="N11" s="262">
        <f t="shared" si="3"/>
        <v>0</v>
      </c>
      <c r="P11" s="407">
        <f>_xll.qlCalendarAdvance(Calendar,P10,"1D","f")</f>
        <v>41967</v>
      </c>
      <c r="Q11" s="262">
        <f>_xll.qlInterpolationInterpolate($M$1,P11,TRUE)</f>
        <v>2.2385114981492427E-3</v>
      </c>
    </row>
    <row r="12" spans="1:17" ht="11.25" customHeight="1" x14ac:dyDescent="0.2">
      <c r="A12" s="36">
        <f t="shared" si="4"/>
        <v>10</v>
      </c>
      <c r="B12" s="36" t="s">
        <v>40</v>
      </c>
      <c r="C12" s="36">
        <f t="shared" si="2"/>
        <v>16</v>
      </c>
      <c r="D12" s="260" t="str">
        <f t="shared" si="1"/>
        <v>EUR10x16F_Quote</v>
      </c>
      <c r="E12" s="261">
        <f>_xll.qlCalendarAdvance("target",$E$2,A12&amp;"M","mf",,Trigger)</f>
        <v>42258</v>
      </c>
      <c r="F12" s="261">
        <f>_xll.qlCalendarAdvance(Calendar,E12,"6M","mf",,Trigger)</f>
        <v>42440</v>
      </c>
      <c r="G12" s="38">
        <f>_xll.qlQuoteValue(D12,AllTriggers)</f>
        <v>1.9599999999999999E-3</v>
      </c>
      <c r="H12" s="40" t="str">
        <f>_xll.qlMakeDatedOIS(,E12,F12,OvernightIndex,0,,,,EvaluationDate)</f>
        <v>obj_005a0#0001</v>
      </c>
      <c r="I12" s="40" t="b">
        <f>_xll.qlInstrumentSetPricingEngine(H12,OisEngine)</f>
        <v>1</v>
      </c>
      <c r="J12" s="38">
        <f>_xll.qlOvernightIndexedSwapFairRate(H12,AllTriggers)</f>
        <v>-6.4344164610671925E-4</v>
      </c>
      <c r="K12" s="38">
        <f t="shared" si="0"/>
        <v>2.6034416461067191E-3</v>
      </c>
      <c r="L12" s="418" t="b">
        <v>0</v>
      </c>
      <c r="M12" s="38">
        <f>_xll.qlInterpolationInterpolate($M$1,E12,TRUE)</f>
        <v>2.5974654595589761E-3</v>
      </c>
      <c r="N12" s="262">
        <f t="shared" si="3"/>
        <v>-5.9761865477429496E-6</v>
      </c>
      <c r="P12" s="407">
        <f>_xll.qlCalendarAdvance(Calendar,P11,"1D","f")</f>
        <v>41968</v>
      </c>
      <c r="Q12" s="262">
        <f>_xll.qlInterpolationInterpolate($M$1,P12,TRUE)</f>
        <v>2.2407428086356905E-3</v>
      </c>
    </row>
    <row r="13" spans="1:17" ht="11.25" customHeight="1" x14ac:dyDescent="0.2">
      <c r="A13" s="36">
        <f t="shared" si="4"/>
        <v>11</v>
      </c>
      <c r="B13" s="36" t="s">
        <v>40</v>
      </c>
      <c r="C13" s="36">
        <f t="shared" si="2"/>
        <v>17</v>
      </c>
      <c r="D13" s="260" t="str">
        <f t="shared" si="1"/>
        <v>EUR11x17F_Quote</v>
      </c>
      <c r="E13" s="261">
        <f>_xll.qlCalendarAdvance("target",$E$2,A13&amp;"M","mf",,Trigger)</f>
        <v>42289</v>
      </c>
      <c r="F13" s="261">
        <f>_xll.qlCalendarAdvance(Calendar,E13,"6M","mf",,Trigger)</f>
        <v>42472</v>
      </c>
      <c r="G13" s="38">
        <f>_xll.qlQuoteValue(D13,AllTriggers)</f>
        <v>2.0200000000000001E-3</v>
      </c>
      <c r="H13" s="40" t="str">
        <f>_xll.qlMakeDatedOIS(,E13,F13,OvernightIndex,0,,,,EvaluationDate)</f>
        <v>obj_00591#0001</v>
      </c>
      <c r="I13" s="40" t="b">
        <f>_xll.qlInstrumentSetPricingEngine(H13,OisEngine)</f>
        <v>1</v>
      </c>
      <c r="J13" s="38">
        <f>_xll.qlOvernightIndexedSwapFairRate(H13,AllTriggers)</f>
        <v>-6.135377535164524E-4</v>
      </c>
      <c r="K13" s="38">
        <f t="shared" si="0"/>
        <v>2.6335377535164524E-3</v>
      </c>
      <c r="L13" s="418" t="b">
        <v>0</v>
      </c>
      <c r="M13" s="38">
        <f>_xll.qlInterpolationInterpolate($M$1,E13,TRUE)</f>
        <v>2.6297189988002648E-3</v>
      </c>
      <c r="N13" s="262">
        <f t="shared" si="3"/>
        <v>-3.8187547161875994E-6</v>
      </c>
      <c r="P13" s="407">
        <f>_xll.qlCalendarAdvance(Calendar,P12,"1D","f")</f>
        <v>41969</v>
      </c>
      <c r="Q13" s="262">
        <f>_xll.qlInterpolationInterpolate($M$1,P13,TRUE)</f>
        <v>2.2429410376168797E-3</v>
      </c>
    </row>
    <row r="14" spans="1:17" ht="11.25" customHeight="1" x14ac:dyDescent="0.2">
      <c r="A14" s="36">
        <f t="shared" si="4"/>
        <v>12</v>
      </c>
      <c r="B14" s="36" t="s">
        <v>40</v>
      </c>
      <c r="C14" s="36">
        <f t="shared" si="2"/>
        <v>18</v>
      </c>
      <c r="D14" s="260" t="str">
        <f t="shared" si="1"/>
        <v>EUR12x18F_Quote</v>
      </c>
      <c r="E14" s="261">
        <f>_xll.qlCalendarAdvance("target",$E$2,A14&amp;"M","mf",,Trigger)</f>
        <v>42319</v>
      </c>
      <c r="F14" s="261">
        <f>_xll.qlCalendarAdvance(Calendar,E14,"6M","mf",,Trigger)</f>
        <v>42501</v>
      </c>
      <c r="G14" s="38">
        <f>_xll.qlQuoteValue(D14,AllTriggers)</f>
        <v>2.0899999999999998E-3</v>
      </c>
      <c r="H14" s="40" t="str">
        <f>_xll.qlMakeDatedOIS(,E14,F14,OvernightIndex,0,,,,EvaluationDate)</f>
        <v>obj_005ab#0001</v>
      </c>
      <c r="I14" s="40" t="b">
        <f>_xll.qlInstrumentSetPricingEngine(H14,OisEngine)</f>
        <v>1</v>
      </c>
      <c r="J14" s="38">
        <f>_xll.qlOvernightIndexedSwapFairRate(H14,AllTriggers)</f>
        <v>-5.7896275526231767E-4</v>
      </c>
      <c r="K14" s="38">
        <f t="shared" si="0"/>
        <v>2.6689627552623175E-3</v>
      </c>
      <c r="L14" s="418" t="b">
        <v>1</v>
      </c>
      <c r="M14" s="38">
        <f>_xll.qlInterpolationInterpolate($M$1,E14,TRUE)</f>
        <v>2.6689627552623175E-3</v>
      </c>
      <c r="N14" s="262">
        <f t="shared" si="3"/>
        <v>0</v>
      </c>
      <c r="P14" s="407">
        <f>_xll.qlCalendarAdvance(Calendar,P13,"1D","f")</f>
        <v>41970</v>
      </c>
      <c r="Q14" s="262">
        <f>_xll.qlInterpolationInterpolate($M$1,P14,TRUE)</f>
        <v>2.2451068742908357E-3</v>
      </c>
    </row>
    <row r="15" spans="1:17" ht="11.25" customHeight="1" x14ac:dyDescent="0.2">
      <c r="A15" s="36">
        <f t="shared" si="4"/>
        <v>13</v>
      </c>
      <c r="B15" s="36" t="s">
        <v>40</v>
      </c>
      <c r="C15" s="36">
        <f t="shared" si="2"/>
        <v>19</v>
      </c>
      <c r="D15" s="260" t="str">
        <f t="shared" si="1"/>
        <v>EUR13x19F_Quote</v>
      </c>
      <c r="E15" s="261">
        <f>_xll.qlCalendarAdvance("target",$E$2,A15&amp;"M","mf",,Trigger)</f>
        <v>42349</v>
      </c>
      <c r="F15" s="261">
        <f>_xll.qlCalendarAdvance(Calendar,E15,"6M","mf",,Trigger)</f>
        <v>42534</v>
      </c>
      <c r="G15" s="38">
        <f>_xll.qlQuoteValue(D15,AllTriggers)</f>
        <v>2.1600000000000005E-3</v>
      </c>
      <c r="H15" s="40" t="str">
        <f>_xll.qlMakeDatedOIS(,E15,F15,OvernightIndex,0,,,,EvaluationDate)</f>
        <v>obj_005a2#0001</v>
      </c>
      <c r="I15" s="40" t="b">
        <f>_xll.qlInstrumentSetPricingEngine(H15,OisEngine)</f>
        <v>1</v>
      </c>
      <c r="J15" s="38">
        <f>_xll.qlOvernightIndexedSwapFairRate(H15,AllTriggers)</f>
        <v>-5.3546240943279258E-4</v>
      </c>
      <c r="K15" s="38">
        <f t="shared" si="0"/>
        <v>2.6954624094327933E-3</v>
      </c>
      <c r="L15" s="418" t="b">
        <v>0</v>
      </c>
      <c r="M15" s="38">
        <f>_xll.qlInterpolationInterpolate($M$1,E15,TRUE)</f>
        <v>2.7127481683053849E-3</v>
      </c>
      <c r="N15" s="262">
        <f t="shared" si="3"/>
        <v>1.7285758872591633E-5</v>
      </c>
      <c r="P15" s="407">
        <f>_xll.qlCalendarAdvance(Calendar,P14,"1D","f")</f>
        <v>41971</v>
      </c>
      <c r="Q15" s="262">
        <f>_xll.qlInterpolationInterpolate($M$1,P15,TRUE)</f>
        <v>2.2472410078555856E-3</v>
      </c>
    </row>
    <row r="16" spans="1:17" ht="11.25" customHeight="1" x14ac:dyDescent="0.2">
      <c r="A16" s="36">
        <f t="shared" si="4"/>
        <v>14</v>
      </c>
      <c r="B16" s="36" t="s">
        <v>40</v>
      </c>
      <c r="C16" s="36">
        <f t="shared" si="2"/>
        <v>20</v>
      </c>
      <c r="D16" s="260" t="str">
        <f t="shared" si="1"/>
        <v>EUR14x20F_Quote</v>
      </c>
      <c r="E16" s="261">
        <f>_xll.qlCalendarAdvance("target",$E$2,A16&amp;"M","mf",,Trigger)</f>
        <v>42380</v>
      </c>
      <c r="F16" s="261">
        <f>_xll.qlCalendarAdvance(Calendar,E16,"6M","mf",,Trigger)</f>
        <v>42562</v>
      </c>
      <c r="G16" s="38">
        <f>_xll.qlQuoteValue(D16,AllTriggers)</f>
        <v>2.2300000000000002E-3</v>
      </c>
      <c r="H16" s="40" t="str">
        <f>_xll.qlMakeDatedOIS(,E16,F16,OvernightIndex,0,,,,EvaluationDate)</f>
        <v>obj_005b0#0001</v>
      </c>
      <c r="I16" s="40" t="b">
        <f>_xll.qlInstrumentSetPricingEngine(H16,OisEngine)</f>
        <v>1</v>
      </c>
      <c r="J16" s="38">
        <f>_xll.qlOvernightIndexedSwapFairRate(H16,AllTriggers)</f>
        <v>-5.4968966191343217E-4</v>
      </c>
      <c r="K16" s="38">
        <f t="shared" si="0"/>
        <v>2.7796896619134322E-3</v>
      </c>
      <c r="L16" s="418" t="b">
        <v>0</v>
      </c>
      <c r="M16" s="38">
        <f>_xll.qlInterpolationInterpolate($M$1,E16,TRUE)</f>
        <v>2.7572812727422727E-3</v>
      </c>
      <c r="N16" s="262">
        <f t="shared" si="3"/>
        <v>-2.2408389171159511E-5</v>
      </c>
      <c r="P16" s="407">
        <f>_xll.qlCalendarAdvance(Calendar,P15,"1D","f")</f>
        <v>41974</v>
      </c>
      <c r="Q16" s="262">
        <f>_xll.qlInterpolationInterpolate($M$1,P16,TRUE)</f>
        <v>2.253460081874859E-3</v>
      </c>
    </row>
    <row r="17" spans="1:17" ht="11.25" customHeight="1" x14ac:dyDescent="0.2">
      <c r="A17" s="36">
        <f t="shared" si="4"/>
        <v>15</v>
      </c>
      <c r="B17" s="36" t="s">
        <v>40</v>
      </c>
      <c r="C17" s="36">
        <f t="shared" si="2"/>
        <v>21</v>
      </c>
      <c r="D17" s="260" t="str">
        <f t="shared" si="1"/>
        <v>EUR15x21F_Quote</v>
      </c>
      <c r="E17" s="261">
        <f>_xll.qlCalendarAdvance("target",$E$2,A17&amp;"M","mf",,Trigger)</f>
        <v>42411</v>
      </c>
      <c r="F17" s="261">
        <f>_xll.qlCalendarAdvance(Calendar,E17,"6M","mf",,Trigger)</f>
        <v>42593</v>
      </c>
      <c r="G17" s="38">
        <f>_xll.qlQuoteValue(D17,AllTriggers)</f>
        <v>2.31E-3</v>
      </c>
      <c r="H17" s="40" t="str">
        <f>_xll.qlMakeDatedOIS(,E17,F17,OvernightIndex,0,,,,EvaluationDate)</f>
        <v>obj_005ad#0001</v>
      </c>
      <c r="I17" s="40" t="b">
        <f>_xll.qlInstrumentSetPricingEngine(H17,OisEngine)</f>
        <v>1</v>
      </c>
      <c r="J17" s="38">
        <f>_xll.qlOvernightIndexedSwapFairRate(H17,AllTriggers)</f>
        <v>-4.8496243053452049E-4</v>
      </c>
      <c r="K17" s="38">
        <f t="shared" si="0"/>
        <v>2.7949624305345206E-3</v>
      </c>
      <c r="L17" s="418" t="b">
        <v>1</v>
      </c>
      <c r="M17" s="38">
        <f>_xll.qlInterpolationInterpolate($M$1,E17,TRUE)</f>
        <v>2.7949624305345206E-3</v>
      </c>
      <c r="N17" s="262">
        <f t="shared" si="3"/>
        <v>0</v>
      </c>
      <c r="P17" s="407">
        <f>_xll.qlCalendarAdvance(Calendar,P16,"1D","f")</f>
        <v>41975</v>
      </c>
      <c r="Q17" s="262">
        <f>_xll.qlInterpolationInterpolate($M$1,P17,TRUE)</f>
        <v>2.2554742949830457E-3</v>
      </c>
    </row>
    <row r="18" spans="1:17" ht="11.25" customHeight="1" x14ac:dyDescent="0.2">
      <c r="A18" s="36">
        <f t="shared" si="4"/>
        <v>16</v>
      </c>
      <c r="B18" s="36" t="s">
        <v>40</v>
      </c>
      <c r="C18" s="36">
        <f t="shared" si="2"/>
        <v>22</v>
      </c>
      <c r="D18" s="260" t="str">
        <f t="shared" si="1"/>
        <v>EUR16x22F_Quote</v>
      </c>
      <c r="E18" s="261">
        <f>_xll.qlCalendarAdvance("target",$E$2,A18&amp;"M","mf",,Trigger)</f>
        <v>42440</v>
      </c>
      <c r="F18" s="261">
        <f>_xll.qlCalendarAdvance(Calendar,E18,"6M","mf",,Trigger)</f>
        <v>42625</v>
      </c>
      <c r="G18" s="38">
        <f>_xll.qlQuoteValue(D18,AllTriggers)</f>
        <v>2.3900000000000002E-3</v>
      </c>
      <c r="H18" s="40" t="str">
        <f>_xll.qlMakeDatedOIS(,E18,F18,OvernightIndex,0,,,,EvaluationDate)</f>
        <v>obj_005aa#0001</v>
      </c>
      <c r="I18" s="40" t="b">
        <f>_xll.qlInstrumentSetPricingEngine(H18,OisEngine)</f>
        <v>1</v>
      </c>
      <c r="J18" s="38">
        <f>_xll.qlOvernightIndexedSwapFairRate(H18,AllTriggers)</f>
        <v>-4.2026993911511171E-4</v>
      </c>
      <c r="K18" s="38">
        <f t="shared" si="0"/>
        <v>2.8102699391151119E-3</v>
      </c>
      <c r="L18" s="418" t="b">
        <v>0</v>
      </c>
      <c r="M18" s="38">
        <f>_xll.qlInterpolationInterpolate($M$1,E18,TRUE)</f>
        <v>2.8199800698015527E-3</v>
      </c>
      <c r="N18" s="262">
        <f t="shared" si="3"/>
        <v>9.7101306864408495E-6</v>
      </c>
      <c r="P18" s="407">
        <f>_xll.qlCalendarAdvance(Calendar,P17,"1D","f")</f>
        <v>41976</v>
      </c>
      <c r="Q18" s="262">
        <f>_xll.qlInterpolationInterpolate($M$1,P18,TRUE)</f>
        <v>2.2574602509721569E-3</v>
      </c>
    </row>
    <row r="19" spans="1:17" ht="11.25" customHeight="1" x14ac:dyDescent="0.2">
      <c r="A19" s="36">
        <f t="shared" si="4"/>
        <v>17</v>
      </c>
      <c r="B19" s="36" t="s">
        <v>40</v>
      </c>
      <c r="C19" s="36">
        <f t="shared" si="2"/>
        <v>23</v>
      </c>
      <c r="D19" s="260" t="str">
        <f t="shared" si="1"/>
        <v>EUR17x23F_Quote</v>
      </c>
      <c r="E19" s="261">
        <f>_xll.qlCalendarAdvance("target",$E$2,A19&amp;"M","mf",,Trigger)</f>
        <v>42471</v>
      </c>
      <c r="F19" s="261">
        <f>_xll.qlCalendarAdvance(Calendar,E19,"6M","mf",,Trigger)</f>
        <v>42654</v>
      </c>
      <c r="G19" s="38">
        <f>_xll.qlQuoteValue(D19,AllTriggers)</f>
        <v>2.47E-3</v>
      </c>
      <c r="H19" s="40" t="str">
        <f>_xll.qlMakeDatedOIS(,E19,F19,OvernightIndex,0,,,,EvaluationDate)</f>
        <v>obj_005a4#0001</v>
      </c>
      <c r="I19" s="40" t="b">
        <f>_xll.qlInstrumentSetPricingEngine(H19,OisEngine)</f>
        <v>1</v>
      </c>
      <c r="J19" s="38">
        <f>_xll.qlOvernightIndexedSwapFairRate(H19,AllTriggers)</f>
        <v>-3.567385923748099E-4</v>
      </c>
      <c r="K19" s="38">
        <f t="shared" si="0"/>
        <v>2.8267385923748099E-3</v>
      </c>
      <c r="L19" s="418" t="b">
        <v>0</v>
      </c>
      <c r="M19" s="38">
        <f>_xll.qlInterpolationInterpolate($M$1,E19,TRUE)</f>
        <v>2.8382588707548907E-3</v>
      </c>
      <c r="N19" s="262">
        <f t="shared" si="3"/>
        <v>1.1520278380080812E-5</v>
      </c>
      <c r="P19" s="407">
        <f>_xll.qlCalendarAdvance(Calendar,P18,"1D","f")</f>
        <v>41977</v>
      </c>
      <c r="Q19" s="262">
        <f>_xll.qlInterpolationInterpolate($M$1,P19,TRUE)</f>
        <v>2.2594186390402192E-3</v>
      </c>
    </row>
    <row r="20" spans="1:17" ht="11.25" customHeight="1" thickBot="1" x14ac:dyDescent="0.25">
      <c r="A20" s="36">
        <f t="shared" si="4"/>
        <v>18</v>
      </c>
      <c r="B20" s="36" t="s">
        <v>40</v>
      </c>
      <c r="C20" s="36">
        <f t="shared" si="2"/>
        <v>24</v>
      </c>
      <c r="D20" s="263" t="str">
        <f t="shared" si="1"/>
        <v>EUR18x24F_Quote</v>
      </c>
      <c r="E20" s="264">
        <f>_xll.qlCalendarAdvance("target",$E$2,A20&amp;"M","mf",,Trigger)</f>
        <v>42501</v>
      </c>
      <c r="F20" s="264">
        <f>_xll.qlCalendarAdvance(Calendar,E20,"6M","mf",,Trigger)</f>
        <v>42685</v>
      </c>
      <c r="G20" s="265">
        <f>_xll.qlQuoteValue(D20,AllTriggers)</f>
        <v>2.5600000000000002E-3</v>
      </c>
      <c r="H20" s="40" t="str">
        <f>_xll.qlMakeDatedOIS(,E20,F20,OvernightIndex,0,,,,EvaluationDate)</f>
        <v>obj_0059e#0001</v>
      </c>
      <c r="I20" s="40" t="b">
        <f>_xll.qlInstrumentSetPricingEngine(H20,OisEngine)</f>
        <v>1</v>
      </c>
      <c r="J20" s="265">
        <f>_xll.qlOvernightIndexedSwapFairRate(H20,AllTriggers)</f>
        <v>-2.917611915908148E-4</v>
      </c>
      <c r="K20" s="265">
        <f t="shared" si="0"/>
        <v>2.8517611915908148E-3</v>
      </c>
      <c r="L20" s="419" t="b">
        <v>1</v>
      </c>
      <c r="M20" s="265">
        <f>_xll.qlInterpolationInterpolate($M$1,E20,TRUE)</f>
        <v>2.8517611915908148E-3</v>
      </c>
      <c r="N20" s="266">
        <f t="shared" si="3"/>
        <v>0</v>
      </c>
      <c r="P20" s="407">
        <f>_xll.qlCalendarAdvance(Calendar,P19,"1D","f")</f>
        <v>41978</v>
      </c>
      <c r="Q20" s="262">
        <f>_xll.qlInterpolationInterpolate($M$1,P20,TRUE)</f>
        <v>2.2613501483852582E-3</v>
      </c>
    </row>
    <row r="21" spans="1:17" ht="11.25" customHeight="1" x14ac:dyDescent="0.2">
      <c r="E21" s="172"/>
      <c r="F21" s="172"/>
      <c r="G21" s="39"/>
      <c r="H21" s="267"/>
      <c r="I21" s="37"/>
      <c r="J21" s="39"/>
      <c r="K21" s="39"/>
      <c r="P21" s="407">
        <f>_xll.qlCalendarAdvance(Calendar,P20,"1D","f")</f>
        <v>41981</v>
      </c>
      <c r="Q21" s="262">
        <f>_xll.qlInterpolationInterpolate($M$1,P21,TRUE)</f>
        <v>2.2669902960625017E-3</v>
      </c>
    </row>
    <row r="22" spans="1:17" ht="11.25" customHeight="1" x14ac:dyDescent="0.2">
      <c r="E22" s="172"/>
      <c r="F22" s="172"/>
      <c r="G22" s="39"/>
      <c r="J22" s="39"/>
      <c r="K22" s="39"/>
      <c r="P22" s="407">
        <f>_xll.qlCalendarAdvance(Calendar,P21,"1D","f")</f>
        <v>41982</v>
      </c>
      <c r="Q22" s="262">
        <f>_xll.qlInterpolationInterpolate($M$1,P22,TRUE)</f>
        <v>2.268821182495712E-3</v>
      </c>
    </row>
    <row r="23" spans="1:17" ht="11.25" customHeight="1" x14ac:dyDescent="0.2">
      <c r="E23" s="172"/>
      <c r="F23" s="172"/>
      <c r="G23" s="39"/>
      <c r="J23" s="39"/>
      <c r="K23" s="39"/>
      <c r="P23" s="407">
        <f>_xll.qlCalendarAdvance(Calendar,P22,"1D","f")</f>
        <v>41983</v>
      </c>
      <c r="Q23" s="262">
        <f>_xll.qlInterpolationInterpolate($M$1,P23,TRUE)</f>
        <v>2.2706286361960305E-3</v>
      </c>
    </row>
    <row r="24" spans="1:17" ht="11.25" customHeight="1" x14ac:dyDescent="0.2">
      <c r="E24" s="172"/>
      <c r="F24" s="172"/>
      <c r="G24" s="39"/>
      <c r="J24" s="39"/>
      <c r="K24" s="39"/>
      <c r="P24" s="407">
        <f>_xll.qlCalendarAdvance(Calendar,P23,"1D","f")</f>
        <v>41984</v>
      </c>
      <c r="Q24" s="262">
        <f>_xll.qlInterpolationInterpolate($M$1,P24,TRUE)</f>
        <v>2.2724133463614838E-3</v>
      </c>
    </row>
    <row r="25" spans="1:17" ht="11.25" customHeight="1" x14ac:dyDescent="0.2">
      <c r="E25" s="172"/>
      <c r="F25" s="172"/>
      <c r="G25" s="39"/>
      <c r="J25" s="39"/>
      <c r="K25" s="39"/>
      <c r="P25" s="407">
        <f>_xll.qlCalendarAdvance(Calendar,P24,"1D","f")</f>
        <v>41985</v>
      </c>
      <c r="Q25" s="262">
        <f>_xll.qlInterpolationInterpolate($M$1,P25,TRUE)</f>
        <v>2.2741760021900976E-3</v>
      </c>
    </row>
    <row r="26" spans="1:17" ht="11.25" customHeight="1" x14ac:dyDescent="0.2">
      <c r="E26" s="172"/>
      <c r="F26" s="172"/>
      <c r="G26" s="39"/>
      <c r="J26" s="39"/>
      <c r="K26" s="39"/>
      <c r="P26" s="407">
        <f>_xll.qlCalendarAdvance(Calendar,P25,"1D","f")</f>
        <v>41988</v>
      </c>
      <c r="Q26" s="262">
        <f>_xll.qlInterpolationInterpolate($M$1,P26,TRUE)</f>
        <v>2.2793385356351661E-3</v>
      </c>
    </row>
    <row r="27" spans="1:17" ht="11.25" customHeight="1" x14ac:dyDescent="0.2">
      <c r="E27" s="172"/>
      <c r="F27" s="172"/>
      <c r="G27" s="39"/>
      <c r="J27" s="39"/>
      <c r="K27" s="39"/>
      <c r="P27" s="407">
        <f>_xll.qlCalendarAdvance(Calendar,P26,"1D","f")</f>
        <v>41989</v>
      </c>
      <c r="Q27" s="262">
        <f>_xll.qlInterpolationInterpolate($M$1,P27,TRUE)</f>
        <v>2.2810198660966853E-3</v>
      </c>
    </row>
    <row r="28" spans="1:17" ht="11.25" customHeight="1" x14ac:dyDescent="0.2">
      <c r="E28" s="172"/>
      <c r="F28" s="172"/>
      <c r="G28" s="39"/>
      <c r="J28" s="39"/>
      <c r="K28" s="39"/>
      <c r="P28" s="407">
        <f>_xll.qlCalendarAdvance(Calendar,P27,"1D","f")</f>
        <v>41990</v>
      </c>
      <c r="Q28" s="262">
        <f>_xll.qlInterpolationInterpolate($M$1,P28,TRUE)</f>
        <v>2.2826825882114963E-3</v>
      </c>
    </row>
    <row r="29" spans="1:17" ht="11.25" customHeight="1" x14ac:dyDescent="0.2">
      <c r="E29" s="172"/>
      <c r="F29" s="172"/>
      <c r="G29" s="39"/>
      <c r="J29" s="39"/>
      <c r="K29" s="39"/>
      <c r="P29" s="407">
        <f>_xll.qlCalendarAdvance(Calendar,P28,"1D","f")</f>
        <v>41991</v>
      </c>
      <c r="Q29" s="262">
        <f>_xll.qlInterpolationInterpolate($M$1,P29,TRUE)</f>
        <v>2.2843273911776255E-3</v>
      </c>
    </row>
    <row r="30" spans="1:17" ht="11.25" customHeight="1" x14ac:dyDescent="0.2">
      <c r="E30" s="172"/>
      <c r="F30" s="172"/>
      <c r="G30" s="39"/>
      <c r="J30" s="39"/>
      <c r="K30" s="39"/>
      <c r="P30" s="407">
        <f>_xll.qlCalendarAdvance(Calendar,P29,"1D","f")</f>
        <v>41992</v>
      </c>
      <c r="Q30" s="262">
        <f>_xll.qlInterpolationInterpolate($M$1,P30,TRUE)</f>
        <v>2.2859549641930988E-3</v>
      </c>
    </row>
    <row r="31" spans="1:17" ht="11.25" customHeight="1" x14ac:dyDescent="0.2">
      <c r="E31" s="172"/>
      <c r="F31" s="172"/>
      <c r="G31" s="39"/>
      <c r="J31" s="39"/>
      <c r="K31" s="39"/>
      <c r="P31" s="407">
        <f>_xll.qlCalendarAdvance(Calendar,P30,"1D","f")</f>
        <v>41995</v>
      </c>
      <c r="Q31" s="262">
        <f>_xll.qlInterpolationInterpolate($M$1,P31,TRUE)</f>
        <v>2.2907411955158477E-3</v>
      </c>
    </row>
    <row r="32" spans="1:17" ht="11.25" customHeight="1" x14ac:dyDescent="0.2">
      <c r="E32" s="172"/>
      <c r="F32" s="172"/>
      <c r="G32" s="39"/>
      <c r="J32" s="39"/>
      <c r="K32" s="39"/>
      <c r="P32" s="407">
        <f>_xll.qlCalendarAdvance(Calendar,P31,"1D","f")</f>
        <v>41996</v>
      </c>
      <c r="Q32" s="262">
        <f>_xll.qlInterpolationInterpolate($M$1,P32,TRUE)</f>
        <v>2.2923067407089608E-3</v>
      </c>
    </row>
    <row r="33" spans="5:17" ht="11.25" customHeight="1" x14ac:dyDescent="0.2">
      <c r="E33" s="172"/>
      <c r="F33" s="172"/>
      <c r="G33" s="39"/>
      <c r="J33" s="39"/>
      <c r="K33" s="39"/>
      <c r="P33" s="407">
        <f>_xll.qlCalendarAdvance(Calendar,P32,"1D","f")</f>
        <v>41997</v>
      </c>
      <c r="Q33" s="262">
        <f>_xll.qlInterpolationInterpolate($M$1,P33,TRUE)</f>
        <v>2.2938585019415497E-3</v>
      </c>
    </row>
    <row r="34" spans="5:17" ht="11.25" customHeight="1" x14ac:dyDescent="0.2">
      <c r="E34" s="172"/>
      <c r="F34" s="172"/>
      <c r="G34" s="39"/>
      <c r="J34" s="39"/>
      <c r="K34" s="39"/>
      <c r="P34" s="407">
        <f>_xll.qlCalendarAdvance(Calendar,P33,"1D","f")</f>
        <v>42002</v>
      </c>
      <c r="Q34" s="262">
        <f>_xll.qlInterpolationInterpolate($M$1,P34,TRUE)</f>
        <v>2.3014346706275429E-3</v>
      </c>
    </row>
    <row r="35" spans="5:17" ht="11.25" customHeight="1" x14ac:dyDescent="0.2">
      <c r="E35" s="172"/>
      <c r="F35" s="172"/>
      <c r="G35" s="39"/>
      <c r="J35" s="39"/>
      <c r="K35" s="39"/>
      <c r="P35" s="407">
        <f>_xll.qlCalendarAdvance(Calendar,P34,"1D","f")</f>
        <v>42003</v>
      </c>
      <c r="Q35" s="262">
        <f>_xll.qlInterpolationInterpolate($M$1,P35,TRUE)</f>
        <v>2.302918201255535E-3</v>
      </c>
    </row>
    <row r="36" spans="5:17" ht="11.25" customHeight="1" x14ac:dyDescent="0.2">
      <c r="E36" s="172"/>
      <c r="F36" s="172"/>
      <c r="G36" s="39"/>
      <c r="J36" s="39"/>
      <c r="K36" s="39"/>
      <c r="P36" s="407">
        <f>_xll.qlCalendarAdvance(Calendar,P35,"1D","f")</f>
        <v>42004</v>
      </c>
      <c r="Q36" s="262">
        <f>_xll.qlInterpolationInterpolate($M$1,P36,TRUE)</f>
        <v>2.3043927723091864E-3</v>
      </c>
    </row>
    <row r="37" spans="5:17" ht="11.25" customHeight="1" x14ac:dyDescent="0.2">
      <c r="E37" s="172"/>
      <c r="F37" s="172"/>
      <c r="G37" s="39"/>
      <c r="J37" s="39"/>
      <c r="K37" s="39"/>
      <c r="P37" s="407">
        <f>_xll.qlCalendarAdvance(Calendar,P36,"1D","f")</f>
        <v>42006</v>
      </c>
      <c r="Q37" s="262">
        <f>_xll.qlInterpolationInterpolate($M$1,P37,TRUE)</f>
        <v>2.3073177924855708E-3</v>
      </c>
    </row>
    <row r="38" spans="5:17" ht="11.25" customHeight="1" x14ac:dyDescent="0.2">
      <c r="E38" s="172"/>
      <c r="F38" s="172"/>
      <c r="G38" s="39"/>
      <c r="J38" s="39"/>
      <c r="K38" s="39"/>
      <c r="P38" s="407">
        <f>_xll.qlCalendarAdvance(Calendar,P37,"1D","f")</f>
        <v>42009</v>
      </c>
      <c r="Q38" s="262">
        <f>_xll.qlInterpolationInterpolate($M$1,P38,TRUE)</f>
        <v>2.3116553558932464E-3</v>
      </c>
    </row>
    <row r="39" spans="5:17" ht="11.25" customHeight="1" x14ac:dyDescent="0.2">
      <c r="E39" s="172"/>
      <c r="F39" s="172"/>
      <c r="G39" s="39"/>
      <c r="J39" s="39"/>
      <c r="K39" s="39"/>
      <c r="P39" s="407">
        <f>_xll.qlCalendarAdvance(Calendar,P38,"1D","f")</f>
        <v>42010</v>
      </c>
      <c r="Q39" s="262">
        <f>_xll.qlInterpolationInterpolate($M$1,P39,TRUE)</f>
        <v>2.313090642659403E-3</v>
      </c>
    </row>
    <row r="40" spans="5:17" ht="11.25" customHeight="1" x14ac:dyDescent="0.2">
      <c r="E40" s="172"/>
      <c r="F40" s="172"/>
      <c r="G40" s="39"/>
      <c r="J40" s="39"/>
      <c r="K40" s="39"/>
      <c r="P40" s="407">
        <f>_xll.qlCalendarAdvance(Calendar,P39,"1D","f")</f>
        <v>42011</v>
      </c>
      <c r="Q40" s="262">
        <f>_xll.qlInterpolationInterpolate($M$1,P40,TRUE)</f>
        <v>2.3145217942374019E-3</v>
      </c>
    </row>
    <row r="41" spans="5:17" ht="11.25" customHeight="1" x14ac:dyDescent="0.2">
      <c r="E41" s="172"/>
      <c r="F41" s="172"/>
      <c r="G41" s="39"/>
      <c r="J41" s="39"/>
      <c r="K41" s="39"/>
      <c r="P41" s="407">
        <f>_xll.qlCalendarAdvance(Calendar,P40,"1D","f")</f>
        <v>42012</v>
      </c>
      <c r="Q41" s="262">
        <f>_xll.qlInterpolationInterpolate($M$1,P41,TRUE)</f>
        <v>2.3159494998252696E-3</v>
      </c>
    </row>
    <row r="42" spans="5:17" ht="11.25" customHeight="1" x14ac:dyDescent="0.2">
      <c r="E42" s="172"/>
      <c r="F42" s="172"/>
      <c r="G42" s="39"/>
      <c r="J42" s="39"/>
      <c r="K42" s="39"/>
      <c r="P42" s="407">
        <f>_xll.qlCalendarAdvance(Calendar,P41,"1D","f")</f>
        <v>42013</v>
      </c>
      <c r="Q42" s="262">
        <f>_xll.qlInterpolationInterpolate($M$1,P42,TRUE)</f>
        <v>2.3173744486210328E-3</v>
      </c>
    </row>
    <row r="43" spans="5:17" ht="11.25" customHeight="1" x14ac:dyDescent="0.2">
      <c r="E43" s="172"/>
      <c r="F43" s="172"/>
      <c r="G43" s="39"/>
      <c r="J43" s="39"/>
      <c r="K43" s="39"/>
      <c r="P43" s="407">
        <f>_xll.qlCalendarAdvance(Calendar,P42,"1D","f")</f>
        <v>42016</v>
      </c>
      <c r="Q43" s="262">
        <f>_xll.qlInterpolationInterpolate($M$1,P43,TRUE)</f>
        <v>2.3216396462359544E-3</v>
      </c>
    </row>
    <row r="44" spans="5:17" ht="11.25" customHeight="1" x14ac:dyDescent="0.2">
      <c r="E44" s="172"/>
      <c r="F44" s="172"/>
      <c r="G44" s="39"/>
      <c r="J44" s="39"/>
      <c r="K44" s="39"/>
      <c r="P44" s="407">
        <f>_xll.qlCalendarAdvance(Calendar,P43,"1D","f")</f>
        <v>42017</v>
      </c>
      <c r="Q44" s="262">
        <f>_xll.qlInterpolationInterpolate($M$1,P44,TRUE)</f>
        <v>2.32306045984356E-3</v>
      </c>
    </row>
    <row r="45" spans="5:17" ht="11.25" customHeight="1" x14ac:dyDescent="0.2">
      <c r="E45" s="172"/>
      <c r="F45" s="172"/>
      <c r="G45" s="39"/>
      <c r="J45" s="39"/>
      <c r="K45" s="39"/>
      <c r="P45" s="407">
        <f>_xll.qlCalendarAdvance(Calendar,P44,"1D","f")</f>
        <v>42018</v>
      </c>
      <c r="Q45" s="262">
        <f>_xll.qlInterpolationInterpolate($M$1,P45,TRUE)</f>
        <v>2.3244819626491919E-3</v>
      </c>
    </row>
    <row r="46" spans="5:17" ht="11.25" customHeight="1" x14ac:dyDescent="0.2">
      <c r="E46" s="172"/>
      <c r="F46" s="172"/>
      <c r="G46" s="39"/>
      <c r="J46" s="39"/>
      <c r="K46" s="39"/>
      <c r="P46" s="407">
        <f>_xll.qlCalendarAdvance(Calendar,P45,"1D","f")</f>
        <v>42019</v>
      </c>
      <c r="Q46" s="262">
        <f>_xll.qlInterpolationInterpolate($M$1,P46,TRUE)</f>
        <v>2.3259048438508761E-3</v>
      </c>
    </row>
    <row r="47" spans="5:17" ht="11.25" customHeight="1" x14ac:dyDescent="0.2">
      <c r="E47" s="172"/>
      <c r="F47" s="172"/>
      <c r="G47" s="39"/>
      <c r="J47" s="39"/>
      <c r="K47" s="39"/>
      <c r="P47" s="407">
        <f>_xll.qlCalendarAdvance(Calendar,P46,"1D","f")</f>
        <v>42020</v>
      </c>
      <c r="Q47" s="262">
        <f>_xll.qlInterpolationInterpolate($M$1,P47,TRUE)</f>
        <v>2.3273297926466392E-3</v>
      </c>
    </row>
    <row r="48" spans="5:17" ht="11.25" customHeight="1" x14ac:dyDescent="0.2">
      <c r="E48" s="172"/>
      <c r="F48" s="172"/>
      <c r="G48" s="39"/>
      <c r="J48" s="39"/>
      <c r="K48" s="39"/>
      <c r="P48" s="407">
        <f>_xll.qlCalendarAdvance(Calendar,P47,"1D","f")</f>
        <v>42023</v>
      </c>
      <c r="Q48" s="262">
        <f>_xll.qlInterpolationInterpolate($M$1,P48,TRUE)</f>
        <v>2.3316239365786624E-3</v>
      </c>
    </row>
    <row r="49" spans="5:17" ht="11.25" customHeight="1" x14ac:dyDescent="0.2">
      <c r="E49" s="172"/>
      <c r="F49" s="172"/>
      <c r="G49" s="39"/>
      <c r="J49" s="39"/>
      <c r="K49" s="39"/>
      <c r="P49" s="407">
        <f>_xll.qlCalendarAdvance(Calendar,P48,"1D","f")</f>
        <v>42024</v>
      </c>
      <c r="Q49" s="262">
        <f>_xll.qlInterpolationInterpolate($M$1,P49,TRUE)</f>
        <v>2.3330640477310025E-3</v>
      </c>
    </row>
    <row r="50" spans="5:17" ht="11.25" customHeight="1" x14ac:dyDescent="0.2">
      <c r="E50" s="172"/>
      <c r="F50" s="172"/>
      <c r="G50" s="39"/>
      <c r="J50" s="39"/>
      <c r="K50" s="39"/>
      <c r="P50" s="407">
        <f>_xll.qlCalendarAdvance(Calendar,P49,"1D","f")</f>
        <v>42025</v>
      </c>
      <c r="Q50" s="262">
        <f>_xll.qlInterpolationInterpolate($M$1,P50,TRUE)</f>
        <v>2.3345096724675524E-3</v>
      </c>
    </row>
    <row r="51" spans="5:17" ht="11.25" customHeight="1" x14ac:dyDescent="0.2">
      <c r="E51" s="172"/>
      <c r="F51" s="172"/>
      <c r="G51" s="39"/>
      <c r="J51" s="39"/>
      <c r="K51" s="39"/>
      <c r="P51" s="407">
        <f>_xll.qlCalendarAdvance(Calendar,P50,"1D","f")</f>
        <v>42026</v>
      </c>
      <c r="Q51" s="262">
        <f>_xll.qlInterpolationInterpolate($M$1,P51,TRUE)</f>
        <v>2.335961499986338E-3</v>
      </c>
    </row>
    <row r="52" spans="5:17" x14ac:dyDescent="0.2">
      <c r="P52" s="407">
        <f>_xll.qlCalendarAdvance(Calendar,P51,"1D","f")</f>
        <v>42027</v>
      </c>
      <c r="Q52" s="262">
        <f>_xll.qlInterpolationInterpolate($M$1,P52,TRUE)</f>
        <v>2.3374202194853862E-3</v>
      </c>
    </row>
    <row r="53" spans="5:17" x14ac:dyDescent="0.2">
      <c r="P53" s="407">
        <f>_xll.qlCalendarAdvance(Calendar,P52,"1D","f")</f>
        <v>42030</v>
      </c>
      <c r="Q53" s="262">
        <f>_xll.qlInterpolationInterpolate($M$1,P53,TRUE)</f>
        <v>2.341844621844366E-3</v>
      </c>
    </row>
    <row r="54" spans="5:17" x14ac:dyDescent="0.2">
      <c r="P54" s="407">
        <f>_xll.qlCalendarAdvance(Calendar,P53,"1D","f")</f>
        <v>42031</v>
      </c>
      <c r="Q54" s="262">
        <f>_xll.qlInterpolationInterpolate($M$1,P54,TRUE)</f>
        <v>2.3433378012447255E-3</v>
      </c>
    </row>
    <row r="55" spans="5:17" x14ac:dyDescent="0.2">
      <c r="P55" s="407">
        <f>_xll.qlCalendarAdvance(Calendar,P54,"1D","f")</f>
        <v>42032</v>
      </c>
      <c r="Q55" s="262">
        <f>_xll.qlInterpolationInterpolate($M$1,P55,TRUE)</f>
        <v>2.3448413186154785E-3</v>
      </c>
    </row>
    <row r="56" spans="5:17" x14ac:dyDescent="0.2">
      <c r="P56" s="407">
        <f>_xll.qlCalendarAdvance(Calendar,P55,"1D","f")</f>
        <v>42033</v>
      </c>
      <c r="Q56" s="262">
        <f>_xll.qlInterpolationInterpolate($M$1,P56,TRUE)</f>
        <v>2.3463558631546507E-3</v>
      </c>
    </row>
    <row r="57" spans="5:17" x14ac:dyDescent="0.2">
      <c r="P57" s="407">
        <f>_xll.qlCalendarAdvance(Calendar,P56,"1D","f")</f>
        <v>42034</v>
      </c>
      <c r="Q57" s="262">
        <f>_xll.qlInterpolationInterpolate($M$1,P57,TRUE)</f>
        <v>2.3478821240602689E-3</v>
      </c>
    </row>
    <row r="58" spans="5:17" x14ac:dyDescent="0.2">
      <c r="P58" s="407">
        <f>_xll.qlCalendarAdvance(Calendar,P57,"1D","f")</f>
        <v>42037</v>
      </c>
      <c r="Q58" s="262">
        <f>_xll.qlInterpolationInterpolate($M$1,P58,TRUE)</f>
        <v>2.3525380969560612E-3</v>
      </c>
    </row>
    <row r="59" spans="5:17" x14ac:dyDescent="0.2">
      <c r="P59" s="407">
        <f>_xll.qlCalendarAdvance(Calendar,P58,"1D","f")</f>
        <v>42038</v>
      </c>
      <c r="Q59" s="262">
        <f>_xll.qlInterpolationInterpolate($M$1,P59,TRUE)</f>
        <v>2.3541181153077248E-3</v>
      </c>
    </row>
    <row r="60" spans="5:17" x14ac:dyDescent="0.2">
      <c r="P60" s="407">
        <f>_xll.qlCalendarAdvance(Calendar,P59,"1D","f")</f>
        <v>42039</v>
      </c>
      <c r="Q60" s="262">
        <f>_xll.qlInterpolationInterpolate($M$1,P60,TRUE)</f>
        <v>2.3557132960159658E-3</v>
      </c>
    </row>
    <row r="61" spans="5:17" x14ac:dyDescent="0.2">
      <c r="P61" s="407">
        <f>_xll.qlCalendarAdvance(Calendar,P60,"1D","f")</f>
        <v>42040</v>
      </c>
      <c r="Q61" s="262">
        <f>_xll.qlInterpolationInterpolate($M$1,P61,TRUE)</f>
        <v>2.35732432827881E-3</v>
      </c>
    </row>
    <row r="62" spans="5:17" x14ac:dyDescent="0.2">
      <c r="P62" s="407">
        <f>_xll.qlCalendarAdvance(Calendar,P61,"1D","f")</f>
        <v>42041</v>
      </c>
      <c r="Q62" s="262">
        <f>_xll.qlInterpolationInterpolate($M$1,P62,TRUE)</f>
        <v>2.3589519012942833E-3</v>
      </c>
    </row>
    <row r="63" spans="5:17" x14ac:dyDescent="0.2">
      <c r="P63" s="407">
        <f>_xll.qlCalendarAdvance(Calendar,P62,"1D","f")</f>
        <v>42044</v>
      </c>
      <c r="Q63" s="262">
        <f>_xll.qlInterpolationInterpolate($M$1,P63,TRUE)</f>
        <v>2.3639407568367427E-3</v>
      </c>
    </row>
    <row r="64" spans="5:17" x14ac:dyDescent="0.2">
      <c r="P64" s="407">
        <f>_xll.qlCalendarAdvance(Calendar,P63,"1D","f")</f>
        <v>42045</v>
      </c>
      <c r="Q64" s="262">
        <f>_xll.qlInterpolationInterpolate($M$1,P64,TRUE)</f>
        <v>2.3656413848429964E-3</v>
      </c>
    </row>
    <row r="65" spans="16:17" x14ac:dyDescent="0.2">
      <c r="P65" s="407">
        <f>_xll.qlCalendarAdvance(Calendar,P64,"1D","f")</f>
        <v>42046</v>
      </c>
      <c r="Q65" s="262">
        <f>_xll.qlInterpolationInterpolate($M$1,P65,TRUE)</f>
        <v>2.3673619995920104E-3</v>
      </c>
    </row>
    <row r="66" spans="16:17" x14ac:dyDescent="0.2">
      <c r="P66" s="407">
        <f>_xll.qlCalendarAdvance(Calendar,P65,"1D","f")</f>
        <v>42047</v>
      </c>
      <c r="Q66" s="262">
        <f>_xll.qlInterpolationInterpolate($M$1,P66,TRUE)</f>
        <v>2.3691030765007563E-3</v>
      </c>
    </row>
    <row r="67" spans="16:17" x14ac:dyDescent="0.2">
      <c r="P67" s="407">
        <f>_xll.qlCalendarAdvance(Calendar,P66,"1D","f")</f>
        <v>42048</v>
      </c>
      <c r="Q67" s="262">
        <f>_xll.qlInterpolationInterpolate($M$1,P67,TRUE)</f>
        <v>2.3708642358619861E-3</v>
      </c>
    </row>
    <row r="68" spans="16:17" x14ac:dyDescent="0.2">
      <c r="P68" s="407">
        <f>_xll.qlCalendarAdvance(Calendar,P67,"1D","f")</f>
        <v>42051</v>
      </c>
      <c r="Q68" s="262">
        <f>_xll.qlInterpolationInterpolate($M$1,P68,TRUE)</f>
        <v>2.3762622737775432E-3</v>
      </c>
    </row>
    <row r="69" spans="16:17" x14ac:dyDescent="0.2">
      <c r="P69" s="407">
        <f>_xll.qlCalendarAdvance(Calendar,P68,"1D","f")</f>
        <v>42052</v>
      </c>
      <c r="Q69" s="262">
        <f>_xll.qlInterpolationInterpolate($M$1,P69,TRUE)</f>
        <v>2.3780978280656746E-3</v>
      </c>
    </row>
    <row r="70" spans="16:17" x14ac:dyDescent="0.2">
      <c r="P70" s="407">
        <f>_xll.qlCalendarAdvance(Calendar,P69,"1D","f")</f>
        <v>42053</v>
      </c>
      <c r="Q70" s="262">
        <f>_xll.qlInterpolationInterpolate($M$1,P70,TRUE)</f>
        <v>2.3799504973647735E-3</v>
      </c>
    </row>
    <row r="71" spans="16:17" x14ac:dyDescent="0.2">
      <c r="P71" s="407">
        <f>_xll.qlCalendarAdvance(Calendar,P70,"1D","f")</f>
        <v>42054</v>
      </c>
      <c r="Q71" s="262">
        <f>_xll.qlInterpolationInterpolate($M$1,P71,TRUE)</f>
        <v>2.3818196881865363E-3</v>
      </c>
    </row>
    <row r="72" spans="16:17" x14ac:dyDescent="0.2">
      <c r="P72" s="407">
        <f>_xll.qlCalendarAdvance(Calendar,P71,"1D","f")</f>
        <v>42055</v>
      </c>
      <c r="Q72" s="262">
        <f>_xll.qlInterpolationInterpolate($M$1,P72,TRUE)</f>
        <v>2.3837048070426601E-3</v>
      </c>
    </row>
    <row r="73" spans="16:17" x14ac:dyDescent="0.2">
      <c r="P73" s="407">
        <f>_xll.qlCalendarAdvance(Calendar,P72,"1D","f")</f>
        <v>42058</v>
      </c>
      <c r="Q73" s="262">
        <f>_xll.qlInterpolationInterpolate($M$1,P73,TRUE)</f>
        <v>2.3894497969341641E-3</v>
      </c>
    </row>
    <row r="74" spans="16:17" x14ac:dyDescent="0.2">
      <c r="P74" s="407">
        <f>_xll.qlCalendarAdvance(Calendar,P73,"1D","f")</f>
        <v>42059</v>
      </c>
      <c r="Q74" s="262">
        <f>_xll.qlInterpolationInterpolate($M$1,P74,TRUE)</f>
        <v>2.3913926930446993E-3</v>
      </c>
    </row>
    <row r="75" spans="16:17" x14ac:dyDescent="0.2">
      <c r="P75" s="407">
        <f>_xll.qlCalendarAdvance(Calendar,P74,"1D","f")</f>
        <v>42060</v>
      </c>
      <c r="Q75" s="262">
        <f>_xll.qlInterpolationInterpolate($M$1,P75,TRUE)</f>
        <v>2.3933485497480791E-3</v>
      </c>
    </row>
    <row r="76" spans="16:17" x14ac:dyDescent="0.2">
      <c r="P76" s="407">
        <f>_xll.qlCalendarAdvance(Calendar,P75,"1D","f")</f>
        <v>42061</v>
      </c>
      <c r="Q76" s="262">
        <f>_xll.qlInterpolationInterpolate($M$1,P76,TRUE)</f>
        <v>2.3953167735559998E-3</v>
      </c>
    </row>
    <row r="77" spans="16:17" x14ac:dyDescent="0.2">
      <c r="P77" s="407">
        <f>_xll.qlCalendarAdvance(Calendar,P76,"1D","f")</f>
        <v>42062</v>
      </c>
      <c r="Q77" s="262">
        <f>_xll.qlInterpolationInterpolate($M$1,P77,TRUE)</f>
        <v>2.3972967709801592E-3</v>
      </c>
    </row>
    <row r="78" spans="16:17" x14ac:dyDescent="0.2">
      <c r="P78" s="407">
        <f>_xll.qlCalendarAdvance(Calendar,P77,"1D","f")</f>
        <v>42065</v>
      </c>
      <c r="Q78" s="262">
        <f>_xll.qlInterpolationInterpolate($M$1,P78,TRUE)</f>
        <v>2.4033014700670344E-3</v>
      </c>
    </row>
    <row r="79" spans="16:17" x14ac:dyDescent="0.2">
      <c r="P79" s="407">
        <f>_xll.qlCalendarAdvance(Calendar,P78,"1D","f")</f>
        <v>42066</v>
      </c>
      <c r="Q79" s="262">
        <f>_xll.qlInterpolationInterpolate($M$1,P79,TRUE)</f>
        <v>2.4053226270731145E-3</v>
      </c>
    </row>
    <row r="80" spans="16:17" x14ac:dyDescent="0.2">
      <c r="P80" s="407">
        <f>_xll.qlCalendarAdvance(Calendar,P79,"1D","f")</f>
        <v>42067</v>
      </c>
      <c r="Q80" s="262">
        <f>_xll.qlInterpolationInterpolate($M$1,P80,TRUE)</f>
        <v>2.4073525902539167E-3</v>
      </c>
    </row>
    <row r="81" spans="16:17" x14ac:dyDescent="0.2">
      <c r="P81" s="407">
        <f>_xll.qlCalendarAdvance(Calendar,P80,"1D","f")</f>
        <v>42068</v>
      </c>
      <c r="Q81" s="262">
        <f>_xll.qlInterpolationInterpolate($M$1,P81,TRUE)</f>
        <v>2.4093907661211374E-3</v>
      </c>
    </row>
    <row r="82" spans="16:17" x14ac:dyDescent="0.2">
      <c r="P82" s="407">
        <f>_xll.qlCalendarAdvance(Calendar,P81,"1D","f")</f>
        <v>42069</v>
      </c>
      <c r="Q82" s="262">
        <f>_xll.qlInterpolationInterpolate($M$1,P82,TRUE)</f>
        <v>2.4114365611864739E-3</v>
      </c>
    </row>
    <row r="83" spans="16:17" x14ac:dyDescent="0.2">
      <c r="P83" s="407">
        <f>_xll.qlCalendarAdvance(Calendar,P82,"1D","f")</f>
        <v>42072</v>
      </c>
      <c r="Q83" s="262">
        <f>_xll.qlInterpolationInterpolate($M$1,P83,TRUE)</f>
        <v>2.417613726688144E-3</v>
      </c>
    </row>
    <row r="84" spans="16:17" x14ac:dyDescent="0.2">
      <c r="P84" s="407">
        <f>_xll.qlCalendarAdvance(Calendar,P83,"1D","f")</f>
        <v>42073</v>
      </c>
      <c r="Q84" s="262">
        <f>_xll.qlInterpolationInterpolate($M$1,P84,TRUE)</f>
        <v>2.4196840636629105E-3</v>
      </c>
    </row>
    <row r="85" spans="16:17" x14ac:dyDescent="0.2">
      <c r="P85" s="407">
        <f>_xll.qlCalendarAdvance(Calendar,P84,"1D","f")</f>
        <v>42074</v>
      </c>
      <c r="Q85" s="262">
        <f>_xll.qlInterpolationInterpolate($M$1,P85,TRUE)</f>
        <v>2.4217590523942763E-3</v>
      </c>
    </row>
    <row r="86" spans="16:17" x14ac:dyDescent="0.2">
      <c r="P86" s="407">
        <f>_xll.qlCalendarAdvance(Calendar,P85,"1D","f")</f>
        <v>42075</v>
      </c>
      <c r="Q86" s="262">
        <f>_xll.qlInterpolationInterpolate($M$1,P86,TRUE)</f>
        <v>2.4238380993939382E-3</v>
      </c>
    </row>
    <row r="87" spans="16:17" x14ac:dyDescent="0.2">
      <c r="P87" s="407">
        <f>_xll.qlCalendarAdvance(Calendar,P86,"1D","f")</f>
        <v>42076</v>
      </c>
      <c r="Q87" s="262">
        <f>_xll.qlInterpolationInterpolate($M$1,P87,TRUE)</f>
        <v>2.4259206111735929E-3</v>
      </c>
    </row>
    <row r="88" spans="16:17" x14ac:dyDescent="0.2">
      <c r="P88" s="407">
        <f>_xll.qlCalendarAdvance(Calendar,P87,"1D","f")</f>
        <v>42079</v>
      </c>
      <c r="Q88" s="262">
        <f>_xll.qlInterpolationInterpolate($M$1,P88,TRUE)</f>
        <v>2.4321830003094826E-3</v>
      </c>
    </row>
    <row r="89" spans="16:17" x14ac:dyDescent="0.2">
      <c r="P89" s="407">
        <f>_xll.qlCalendarAdvance(Calendar,P88,"1D","f")</f>
        <v>42080</v>
      </c>
      <c r="Q89" s="262">
        <f>_xll.qlInterpolationInterpolate($M$1,P89,TRUE)</f>
        <v>2.4342734363260767E-3</v>
      </c>
    </row>
    <row r="90" spans="16:17" x14ac:dyDescent="0.2">
      <c r="P90" s="407">
        <f>_xll.qlCalendarAdvance(Calendar,P89,"1D","f")</f>
        <v>42081</v>
      </c>
      <c r="Q90" s="262">
        <f>_xll.qlInterpolationInterpolate($M$1,P90,TRUE)</f>
        <v>2.4363643696811476E-3</v>
      </c>
    </row>
    <row r="91" spans="16:17" x14ac:dyDescent="0.2">
      <c r="P91" s="407">
        <f>_xll.qlCalendarAdvance(Calendar,P90,"1D","f")</f>
        <v>42082</v>
      </c>
      <c r="Q91" s="262">
        <f>_xll.qlInterpolationInterpolate($M$1,P91,TRUE)</f>
        <v>2.4384552068863917E-3</v>
      </c>
    </row>
    <row r="92" spans="16:17" x14ac:dyDescent="0.2">
      <c r="P92" s="407">
        <f>_xll.qlCalendarAdvance(Calendar,P91,"1D","f")</f>
        <v>42083</v>
      </c>
      <c r="Q92" s="262">
        <f>_xll.qlInterpolationInterpolate($M$1,P92,TRUE)</f>
        <v>2.4405453544535062E-3</v>
      </c>
    </row>
    <row r="93" spans="16:17" x14ac:dyDescent="0.2">
      <c r="P93" s="407">
        <f>_xll.qlCalendarAdvance(Calendar,P92,"1D","f")</f>
        <v>42086</v>
      </c>
      <c r="Q93" s="262">
        <f>_xll.qlInterpolationInterpolate($M$1,P93,TRUE)</f>
        <v>2.4468057244430392E-3</v>
      </c>
    </row>
    <row r="94" spans="16:17" x14ac:dyDescent="0.2">
      <c r="P94" s="407">
        <f>_xll.qlCalendarAdvance(Calendar,P93,"1D","f")</f>
        <v>42087</v>
      </c>
      <c r="Q94" s="262">
        <f>_xll.qlInterpolationInterpolate($M$1,P94,TRUE)</f>
        <v>2.4488871785746029E-3</v>
      </c>
    </row>
    <row r="95" spans="16:17" x14ac:dyDescent="0.2">
      <c r="P95" s="407">
        <f>_xll.qlCalendarAdvance(Calendar,P94,"1D","f")</f>
        <v>42088</v>
      </c>
      <c r="Q95" s="262">
        <f>_xll.qlInterpolationInterpolate($M$1,P95,TRUE)</f>
        <v>2.45096497562652E-3</v>
      </c>
    </row>
    <row r="96" spans="16:17" x14ac:dyDescent="0.2">
      <c r="P96" s="407">
        <f>_xll.qlCalendarAdvance(Calendar,P95,"1D","f")</f>
        <v>42089</v>
      </c>
      <c r="Q96" s="262">
        <f>_xll.qlInterpolationInterpolate($M$1,P96,TRUE)</f>
        <v>2.4530385221104884E-3</v>
      </c>
    </row>
    <row r="97" spans="16:17" x14ac:dyDescent="0.2">
      <c r="P97" s="407">
        <f>_xll.qlCalendarAdvance(Calendar,P96,"1D","f")</f>
        <v>42090</v>
      </c>
      <c r="Q97" s="262">
        <f>_xll.qlInterpolationInterpolate($M$1,P97,TRUE)</f>
        <v>2.4551072245382042E-3</v>
      </c>
    </row>
    <row r="98" spans="16:17" x14ac:dyDescent="0.2">
      <c r="P98" s="407">
        <f>_xll.qlCalendarAdvance(Calendar,P97,"1D","f")</f>
        <v>42093</v>
      </c>
      <c r="Q98" s="262">
        <f>_xll.qlInterpolationInterpolate($M$1,P98,TRUE)</f>
        <v>2.4612783326008049E-3</v>
      </c>
    </row>
    <row r="99" spans="16:17" x14ac:dyDescent="0.2">
      <c r="P99" s="407">
        <f>_xll.qlCalendarAdvance(Calendar,P98,"1D","f")</f>
        <v>42094</v>
      </c>
      <c r="Q99" s="262">
        <f>_xll.qlInterpolationInterpolate($M$1,P99,TRUE)</f>
        <v>2.4633217239204788E-3</v>
      </c>
    </row>
    <row r="100" spans="16:17" x14ac:dyDescent="0.2">
      <c r="P100" s="407">
        <f>_xll.qlCalendarAdvance(Calendar,P99,"1D","f")</f>
        <v>42095</v>
      </c>
      <c r="Q100" s="262">
        <f>_xll.qlInterpolationInterpolate($M$1,P100,TRUE)</f>
        <v>2.4653573037423837E-3</v>
      </c>
    </row>
    <row r="101" spans="16:17" x14ac:dyDescent="0.2">
      <c r="P101" s="407">
        <f>_xll.qlCalendarAdvance(Calendar,P100,"1D","f")</f>
        <v>42096</v>
      </c>
      <c r="Q101" s="262">
        <f>_xll.qlInterpolationInterpolate($M$1,P101,TRUE)</f>
        <v>2.4673844785782174E-3</v>
      </c>
    </row>
    <row r="102" spans="16:17" x14ac:dyDescent="0.2">
      <c r="P102" s="407">
        <f>_xll.qlCalendarAdvance(Calendar,P101,"1D","f")</f>
        <v>42101</v>
      </c>
      <c r="Q102" s="262">
        <f>_xll.qlInterpolationInterpolate($M$1,P102,TRUE)</f>
        <v>2.4773735058756939E-3</v>
      </c>
    </row>
    <row r="103" spans="16:17" x14ac:dyDescent="0.2">
      <c r="P103" s="407">
        <f>_xll.qlCalendarAdvance(Calendar,P102,"1D","f")</f>
        <v>42102</v>
      </c>
      <c r="Q103" s="262">
        <f>_xll.qlInterpolationInterpolate($M$1,P103,TRUE)</f>
        <v>2.4793377875407287E-3</v>
      </c>
    </row>
    <row r="104" spans="16:17" x14ac:dyDescent="0.2">
      <c r="P104" s="407">
        <f>_xll.qlCalendarAdvance(Calendar,P103,"1D","f")</f>
        <v>42103</v>
      </c>
      <c r="Q104" s="262">
        <f>_xll.qlInterpolationInterpolate($M$1,P104,TRUE)</f>
        <v>2.4812895098015688E-3</v>
      </c>
    </row>
    <row r="105" spans="16:17" x14ac:dyDescent="0.2">
      <c r="P105" s="407">
        <f>_xll.qlCalendarAdvance(Calendar,P104,"1D","f")</f>
        <v>42104</v>
      </c>
      <c r="Q105" s="262">
        <f>_xll.qlInterpolationInterpolate($M$1,P105,TRUE)</f>
        <v>2.4832280791699112E-3</v>
      </c>
    </row>
    <row r="106" spans="16:17" x14ac:dyDescent="0.2">
      <c r="P106" s="407">
        <f>_xll.qlCalendarAdvance(Calendar,P105,"1D","f")</f>
        <v>42107</v>
      </c>
      <c r="Q106" s="262">
        <f>_xll.qlInterpolationInterpolate($M$1,P106,TRUE)</f>
        <v>2.4889589350369193E-3</v>
      </c>
    </row>
    <row r="107" spans="16:17" x14ac:dyDescent="0.2">
      <c r="P107" s="407">
        <f>_xll.qlCalendarAdvance(Calendar,P106,"1D","f")</f>
        <v>42108</v>
      </c>
      <c r="Q107" s="262">
        <f>_xll.qlInterpolationInterpolate($M$1,P107,TRUE)</f>
        <v>2.4908389579522388E-3</v>
      </c>
    </row>
    <row r="108" spans="16:17" x14ac:dyDescent="0.2">
      <c r="P108" s="407">
        <f>_xll.qlCalendarAdvance(Calendar,P107,"1D","f")</f>
        <v>42109</v>
      </c>
      <c r="Q108" s="262">
        <f>_xll.qlInterpolationInterpolate($M$1,P108,TRUE)</f>
        <v>2.492702860533544E-3</v>
      </c>
    </row>
    <row r="109" spans="16:17" x14ac:dyDescent="0.2">
      <c r="P109" s="407">
        <f>_xll.qlCalendarAdvance(Calendar,P108,"1D","f")</f>
        <v>42110</v>
      </c>
      <c r="Q109" s="262">
        <f>_xll.qlInterpolationInterpolate($M$1,P109,TRUE)</f>
        <v>2.4945500492925318E-3</v>
      </c>
    </row>
    <row r="110" spans="16:17" x14ac:dyDescent="0.2">
      <c r="P110" s="407">
        <f>_xll.qlCalendarAdvance(Calendar,P109,"1D","f")</f>
        <v>42111</v>
      </c>
      <c r="Q110" s="262">
        <f>_xll.qlInterpolationInterpolate($M$1,P110,TRUE)</f>
        <v>2.4963799307408997E-3</v>
      </c>
    </row>
    <row r="111" spans="16:17" x14ac:dyDescent="0.2">
      <c r="P111" s="407">
        <f>_xll.qlCalendarAdvance(Calendar,P110,"1D","f")</f>
        <v>42114</v>
      </c>
      <c r="Q111" s="262">
        <f>_xll.qlInterpolationInterpolate($M$1,P111,TRUE)</f>
        <v>2.5017597963392481E-3</v>
      </c>
    </row>
    <row r="112" spans="16:17" x14ac:dyDescent="0.2">
      <c r="P112" s="407">
        <f>_xll.qlCalendarAdvance(Calendar,P111,"1D","f")</f>
        <v>42115</v>
      </c>
      <c r="Q112" s="262">
        <f>_xll.qlInterpolationInterpolate($M$1,P112,TRUE)</f>
        <v>2.5035145136621021E-3</v>
      </c>
    </row>
    <row r="113" spans="16:17" x14ac:dyDescent="0.2">
      <c r="P113" s="407">
        <f>_xll.qlCalendarAdvance(Calendar,P112,"1D","f")</f>
        <v>42116</v>
      </c>
      <c r="Q113" s="262">
        <f>_xll.qlInterpolationInterpolate($M$1,P113,TRUE)</f>
        <v>2.5052489562328193E-3</v>
      </c>
    </row>
    <row r="114" spans="16:17" x14ac:dyDescent="0.2">
      <c r="P114" s="407">
        <f>_xll.qlCalendarAdvance(Calendar,P113,"1D","f")</f>
        <v>42117</v>
      </c>
      <c r="Q114" s="262">
        <f>_xll.qlInterpolationInterpolate($M$1,P114,TRUE)</f>
        <v>2.5069625305630971E-3</v>
      </c>
    </row>
    <row r="115" spans="16:17" x14ac:dyDescent="0.2">
      <c r="P115" s="407">
        <f>_xll.qlCalendarAdvance(Calendar,P114,"1D","f")</f>
        <v>42118</v>
      </c>
      <c r="Q115" s="262">
        <f>_xll.qlInterpolationInterpolate($M$1,P115,TRUE)</f>
        <v>2.5086546431646317E-3</v>
      </c>
    </row>
    <row r="116" spans="16:17" x14ac:dyDescent="0.2">
      <c r="P116" s="407">
        <f>_xll.qlCalendarAdvance(Calendar,P115,"1D","f")</f>
        <v>42121</v>
      </c>
      <c r="Q116" s="262">
        <f>_xll.qlInterpolationInterpolate($M$1,P116,TRUE)</f>
        <v>2.5135962757137447E-3</v>
      </c>
    </row>
    <row r="117" spans="16:17" x14ac:dyDescent="0.2">
      <c r="P117" s="407">
        <f>_xll.qlCalendarAdvance(Calendar,P116,"1D","f")</f>
        <v>42122</v>
      </c>
      <c r="Q117" s="262">
        <f>_xll.qlInterpolationInterpolate($M$1,P117,TRUE)</f>
        <v>2.5151966065172747E-3</v>
      </c>
    </row>
    <row r="118" spans="16:17" x14ac:dyDescent="0.2">
      <c r="P118" s="407">
        <f>_xll.qlCalendarAdvance(Calendar,P117,"1D","f")</f>
        <v>42123</v>
      </c>
      <c r="Q118" s="262">
        <f>_xll.qlInterpolationInterpolate($M$1,P118,TRUE)</f>
        <v>2.5167725081505451E-3</v>
      </c>
    </row>
    <row r="119" spans="16:17" x14ac:dyDescent="0.2">
      <c r="P119" s="407">
        <f>_xll.qlCalendarAdvance(Calendar,P118,"1D","f")</f>
        <v>42124</v>
      </c>
      <c r="Q119" s="262">
        <f>_xll.qlInterpolationInterpolate($M$1,P119,TRUE)</f>
        <v>2.5183233871252536E-3</v>
      </c>
    </row>
    <row r="120" spans="16:17" x14ac:dyDescent="0.2">
      <c r="P120" s="407">
        <f>_xll.qlCalendarAdvance(Calendar,P119,"1D","f")</f>
        <v>42128</v>
      </c>
      <c r="Q120" s="262">
        <f>_xll.qlInterpolationInterpolate($M$1,P120,TRUE)</f>
        <v>2.5242648066723977E-3</v>
      </c>
    </row>
    <row r="121" spans="16:17" x14ac:dyDescent="0.2">
      <c r="P121" s="407">
        <f>_xll.qlCalendarAdvance(Calendar,P120,"1D","f")</f>
        <v>42129</v>
      </c>
      <c r="Q121" s="262">
        <f>_xll.qlInterpolationInterpolate($M$1,P121,TRUE)</f>
        <v>2.5256816700297453E-3</v>
      </c>
    </row>
    <row r="122" spans="16:17" x14ac:dyDescent="0.2">
      <c r="P122" s="407">
        <f>_xll.qlCalendarAdvance(Calendar,P121,"1D","f")</f>
        <v>42130</v>
      </c>
      <c r="Q122" s="262">
        <f>_xll.qlInterpolationInterpolate($M$1,P122,TRUE)</f>
        <v>2.5270699497987109E-3</v>
      </c>
    </row>
    <row r="123" spans="16:17" x14ac:dyDescent="0.2">
      <c r="P123" s="407">
        <f>_xll.qlCalendarAdvance(Calendar,P122,"1D","f")</f>
        <v>42131</v>
      </c>
      <c r="Q123" s="262">
        <f>_xll.qlInterpolationInterpolate($M$1,P123,TRUE)</f>
        <v>2.5284290524909916E-3</v>
      </c>
    </row>
    <row r="124" spans="16:17" x14ac:dyDescent="0.2">
      <c r="P124" s="407">
        <f>_xll.qlCalendarAdvance(Calendar,P123,"1D","f")</f>
        <v>42132</v>
      </c>
      <c r="Q124" s="262">
        <f>_xll.qlInterpolationInterpolate($M$1,P124,TRUE)</f>
        <v>2.5297583846182834E-3</v>
      </c>
    </row>
    <row r="125" spans="16:17" x14ac:dyDescent="0.2">
      <c r="P125" s="407">
        <f>_xll.qlCalendarAdvance(Calendar,P124,"1D","f")</f>
        <v>42135</v>
      </c>
      <c r="Q125" s="262">
        <f>_xll.qlInterpolationInterpolate($M$1,P125,TRUE)</f>
        <v>2.5335618227271977E-3</v>
      </c>
    </row>
    <row r="126" spans="16:17" x14ac:dyDescent="0.2">
      <c r="P126" s="407">
        <f>_xll.qlCalendarAdvance(Calendar,P125,"1D","f")</f>
        <v>42136</v>
      </c>
      <c r="Q126" s="262">
        <f>_xll.qlInterpolationInterpolate($M$1,P126,TRUE)</f>
        <v>2.5347663226239587E-3</v>
      </c>
    </row>
    <row r="127" spans="16:17" x14ac:dyDescent="0.2">
      <c r="P127" s="407">
        <f>_xll.qlCalendarAdvance(Calendar,P126,"1D","f")</f>
        <v>42137</v>
      </c>
      <c r="Q127" s="262">
        <f>_xll.qlInterpolationInterpolate($M$1,P127,TRUE)</f>
        <v>2.5359391939889439E-3</v>
      </c>
    </row>
    <row r="128" spans="16:17" x14ac:dyDescent="0.2">
      <c r="P128" s="407">
        <f>_xll.qlCalendarAdvance(Calendar,P127,"1D","f")</f>
        <v>42138</v>
      </c>
      <c r="Q128" s="262">
        <f>_xll.qlInterpolationInterpolate($M$1,P128,TRUE)</f>
        <v>2.5370809528085783E-3</v>
      </c>
    </row>
    <row r="129" spans="16:17" x14ac:dyDescent="0.2">
      <c r="P129" s="407">
        <f>_xll.qlCalendarAdvance(Calendar,P128,"1D","f")</f>
        <v>42139</v>
      </c>
      <c r="Q129" s="262">
        <f>_xll.qlInterpolationInterpolate($M$1,P129,TRUE)</f>
        <v>2.5381921150692869E-3</v>
      </c>
    </row>
    <row r="130" spans="16:17" x14ac:dyDescent="0.2">
      <c r="P130" s="407">
        <f>_xll.qlCalendarAdvance(Calendar,P129,"1D","f")</f>
        <v>42142</v>
      </c>
      <c r="Q130" s="262">
        <f>_xll.qlInterpolationInterpolate($M$1,P130,TRUE)</f>
        <v>2.5413471823621113E-3</v>
      </c>
    </row>
    <row r="131" spans="16:17" x14ac:dyDescent="0.2">
      <c r="P131" s="407">
        <f>_xll.qlCalendarAdvance(Calendar,P130,"1D","f")</f>
        <v>42143</v>
      </c>
      <c r="Q131" s="262">
        <f>_xll.qlInterpolationInterpolate($M$1,P131,TRUE)</f>
        <v>2.5423411182513697E-3</v>
      </c>
    </row>
    <row r="132" spans="16:17" x14ac:dyDescent="0.2">
      <c r="P132" s="407">
        <f>_xll.qlCalendarAdvance(Calendar,P131,"1D","f")</f>
        <v>42144</v>
      </c>
      <c r="Q132" s="262">
        <f>_xll.qlInterpolationInterpolate($M$1,P132,TRUE)</f>
        <v>2.5433070375138287E-3</v>
      </c>
    </row>
    <row r="133" spans="16:17" x14ac:dyDescent="0.2">
      <c r="P133" s="407">
        <f>_xll.qlCalendarAdvance(Calendar,P132,"1D","f")</f>
        <v>42145</v>
      </c>
      <c r="Q133" s="262">
        <f>_xll.qlInterpolationInterpolate($M$1,P133,TRUE)</f>
        <v>2.5442454561359134E-3</v>
      </c>
    </row>
    <row r="134" spans="16:17" x14ac:dyDescent="0.2">
      <c r="P134" s="407">
        <f>_xll.qlCalendarAdvance(Calendar,P133,"1D","f")</f>
        <v>42146</v>
      </c>
      <c r="Q134" s="262">
        <f>_xll.qlInterpolationInterpolate($M$1,P134,TRUE)</f>
        <v>2.5451568901040489E-3</v>
      </c>
    </row>
    <row r="135" spans="16:17" x14ac:dyDescent="0.2">
      <c r="P135" s="407">
        <f>_xll.qlCalendarAdvance(Calendar,P134,"1D","f")</f>
        <v>42149</v>
      </c>
      <c r="Q135" s="262">
        <f>_xll.qlInterpolationInterpolate($M$1,P135,TRUE)</f>
        <v>2.5477344439490137E-3</v>
      </c>
    </row>
    <row r="136" spans="16:17" x14ac:dyDescent="0.2">
      <c r="P136" s="407">
        <f>_xll.qlCalendarAdvance(Calendar,P135,"1D","f")</f>
        <v>42150</v>
      </c>
      <c r="Q136" s="262">
        <f>_xll.qlInterpolationInterpolate($M$1,P136,TRUE)</f>
        <v>2.5485430991656053E-3</v>
      </c>
    </row>
    <row r="137" spans="16:17" x14ac:dyDescent="0.2">
      <c r="P137" s="407">
        <f>_xll.qlCalendarAdvance(Calendar,P136,"1D","f")</f>
        <v>42151</v>
      </c>
      <c r="Q137" s="262">
        <f>_xll.qlInterpolationInterpolate($M$1,P137,TRUE)</f>
        <v>2.5493273496603741E-3</v>
      </c>
    </row>
    <row r="138" spans="16:17" x14ac:dyDescent="0.2">
      <c r="P138" s="407">
        <f>_xll.qlCalendarAdvance(Calendar,P137,"1D","f")</f>
        <v>42152</v>
      </c>
      <c r="Q138" s="262">
        <f>_xll.qlInterpolationInterpolate($M$1,P138,TRUE)</f>
        <v>2.5500877114197455E-3</v>
      </c>
    </row>
    <row r="139" spans="16:17" x14ac:dyDescent="0.2">
      <c r="P139" s="407">
        <f>_xll.qlCalendarAdvance(Calendar,P138,"1D","f")</f>
        <v>42153</v>
      </c>
      <c r="Q139" s="262">
        <f>_xll.qlInterpolationInterpolate($M$1,P139,TRUE)</f>
        <v>2.5508247004301442E-3</v>
      </c>
    </row>
    <row r="140" spans="16:17" x14ac:dyDescent="0.2">
      <c r="P140" s="407">
        <f>_xll.qlCalendarAdvance(Calendar,P139,"1D","f")</f>
        <v>42156</v>
      </c>
      <c r="Q140" s="262">
        <f>_xll.qlInterpolationInterpolate($M$1,P140,TRUE)</f>
        <v>2.5529005908317575E-3</v>
      </c>
    </row>
    <row r="141" spans="16:17" x14ac:dyDescent="0.2">
      <c r="P141" s="407">
        <f>_xll.qlCalendarAdvance(Calendar,P140,"1D","f")</f>
        <v>42157</v>
      </c>
      <c r="Q141" s="262">
        <f>_xll.qlInterpolationInterpolate($M$1,P141,TRUE)</f>
        <v>2.5535492487105183E-3</v>
      </c>
    </row>
    <row r="142" spans="16:17" x14ac:dyDescent="0.2">
      <c r="P142" s="407">
        <f>_xll.qlCalendarAdvance(Calendar,P141,"1D","f")</f>
        <v>42158</v>
      </c>
      <c r="Q142" s="262">
        <f>_xll.qlInterpolationInterpolate($M$1,P142,TRUE)</f>
        <v>2.5541771137724332E-3</v>
      </c>
    </row>
    <row r="143" spans="16:17" x14ac:dyDescent="0.2">
      <c r="P143" s="407">
        <f>_xll.qlCalendarAdvance(Calendar,P142,"1D","f")</f>
        <v>42159</v>
      </c>
      <c r="Q143" s="262">
        <f>_xll.qlInterpolationInterpolate($M$1,P143,TRUE)</f>
        <v>2.5547847020039268E-3</v>
      </c>
    </row>
    <row r="144" spans="16:17" x14ac:dyDescent="0.2">
      <c r="P144" s="407">
        <f>_xll.qlCalendarAdvance(Calendar,P143,"1D","f")</f>
        <v>42160</v>
      </c>
      <c r="Q144" s="262">
        <f>_xll.qlInterpolationInterpolate($M$1,P144,TRUE)</f>
        <v>2.5553725293914246E-3</v>
      </c>
    </row>
    <row r="145" spans="16:17" x14ac:dyDescent="0.2">
      <c r="P145" s="407">
        <f>_xll.qlCalendarAdvance(Calendar,P144,"1D","f")</f>
        <v>42163</v>
      </c>
      <c r="Q145" s="262">
        <f>_xll.qlInterpolationInterpolate($M$1,P145,TRUE)</f>
        <v>2.5570226063541947E-3</v>
      </c>
    </row>
    <row r="146" spans="16:17" x14ac:dyDescent="0.2">
      <c r="P146" s="407">
        <f>_xll.qlCalendarAdvance(Calendar,P145,"1D","f")</f>
        <v>42164</v>
      </c>
      <c r="Q146" s="262">
        <f>_xll.qlInterpolationInterpolate($M$1,P146,TRUE)</f>
        <v>2.557536550229961E-3</v>
      </c>
    </row>
    <row r="147" spans="16:17" x14ac:dyDescent="0.2">
      <c r="P147" s="407">
        <f>_xll.qlCalendarAdvance(Calendar,P146,"1D","f")</f>
        <v>42165</v>
      </c>
      <c r="Q147" s="262">
        <f>_xll.qlInterpolationInterpolate($M$1,P147,TRUE)</f>
        <v>2.5580333131938575E-3</v>
      </c>
    </row>
    <row r="148" spans="16:17" x14ac:dyDescent="0.2">
      <c r="P148" s="407">
        <f>_xll.qlCalendarAdvance(Calendar,P147,"1D","f")</f>
        <v>42166</v>
      </c>
      <c r="Q148" s="262">
        <f>_xll.qlInterpolationInterpolate($M$1,P148,TRUE)</f>
        <v>2.5585134112323096E-3</v>
      </c>
    </row>
    <row r="149" spans="16:17" x14ac:dyDescent="0.2">
      <c r="P149" s="407">
        <f>_xll.qlCalendarAdvance(Calendar,P148,"1D","f")</f>
        <v>42167</v>
      </c>
      <c r="Q149" s="262">
        <f>_xll.qlInterpolationInterpolate($M$1,P149,TRUE)</f>
        <v>2.5589773603317423E-3</v>
      </c>
    </row>
    <row r="150" spans="16:17" x14ac:dyDescent="0.2">
      <c r="P150" s="407">
        <f>_xll.qlCalendarAdvance(Calendar,P149,"1D","f")</f>
        <v>42170</v>
      </c>
      <c r="Q150" s="262">
        <f>_xll.qlInterpolationInterpolate($M$1,P150,TRUE)</f>
        <v>2.5602774738601774E-3</v>
      </c>
    </row>
    <row r="151" spans="16:17" x14ac:dyDescent="0.2">
      <c r="P151" s="407">
        <f>_xll.qlCalendarAdvance(Calendar,P150,"1D","f")</f>
        <v>42171</v>
      </c>
      <c r="Q151" s="262">
        <f>_xll.qlInterpolationInterpolate($M$1,P151,TRUE)</f>
        <v>2.5606819870677851E-3</v>
      </c>
    </row>
    <row r="152" spans="16:17" x14ac:dyDescent="0.2">
      <c r="P152" s="407">
        <f>_xll.qlCalendarAdvance(Calendar,P151,"1D","f")</f>
        <v>42172</v>
      </c>
      <c r="Q152" s="262">
        <f>_xll.qlInterpolationInterpolate($M$1,P152,TRUE)</f>
        <v>2.5610729312685E-3</v>
      </c>
    </row>
    <row r="153" spans="16:17" x14ac:dyDescent="0.2">
      <c r="P153" s="407">
        <f>_xll.qlCalendarAdvance(Calendar,P152,"1D","f")</f>
        <v>42173</v>
      </c>
      <c r="Q153" s="262">
        <f>_xll.qlInterpolationInterpolate($M$1,P153,TRUE)</f>
        <v>2.5614508224487465E-3</v>
      </c>
    </row>
    <row r="154" spans="16:17" x14ac:dyDescent="0.2">
      <c r="P154" s="407">
        <f>_xll.qlCalendarAdvance(Calendar,P153,"1D","f")</f>
        <v>42174</v>
      </c>
      <c r="Q154" s="262">
        <f>_xll.qlInterpolationInterpolate($M$1,P154,TRUE)</f>
        <v>2.5618161765949506E-3</v>
      </c>
    </row>
    <row r="155" spans="16:17" x14ac:dyDescent="0.2">
      <c r="P155" s="407">
        <f>_xll.qlCalendarAdvance(Calendar,P154,"1D","f")</f>
        <v>42177</v>
      </c>
      <c r="Q155" s="262">
        <f>_xll.qlInterpolationInterpolate($M$1,P155,TRUE)</f>
        <v>2.5628421766935583E-3</v>
      </c>
    </row>
    <row r="156" spans="16:17" x14ac:dyDescent="0.2">
      <c r="P156" s="407">
        <f>_xll.qlCalendarAdvance(Calendar,P155,"1D","f")</f>
        <v>42178</v>
      </c>
      <c r="Q156" s="262">
        <f>_xll.qlInterpolationInterpolate($M$1,P156,TRUE)</f>
        <v>2.5631625425678434E-3</v>
      </c>
    </row>
    <row r="157" spans="16:17" x14ac:dyDescent="0.2">
      <c r="P157" s="407">
        <f>_xll.qlCalendarAdvance(Calendar,P156,"1D","f")</f>
        <v>42179</v>
      </c>
      <c r="Q157" s="262">
        <f>_xll.qlInterpolationInterpolate($M$1,P157,TRUE)</f>
        <v>2.5634729513402121E-3</v>
      </c>
    </row>
    <row r="158" spans="16:17" x14ac:dyDescent="0.2">
      <c r="P158" s="407">
        <f>_xll.qlCalendarAdvance(Calendar,P157,"1D","f")</f>
        <v>42180</v>
      </c>
      <c r="Q158" s="262">
        <f>_xll.qlInterpolationInterpolate($M$1,P158,TRUE)</f>
        <v>2.5637739189970895E-3</v>
      </c>
    </row>
    <row r="159" spans="16:17" x14ac:dyDescent="0.2">
      <c r="P159" s="407">
        <f>_xll.qlCalendarAdvance(Calendar,P158,"1D","f")</f>
        <v>42181</v>
      </c>
      <c r="Q159" s="262">
        <f>_xll.qlInterpolationInterpolate($M$1,P159,TRUE)</f>
        <v>2.5640659615249009E-3</v>
      </c>
    </row>
    <row r="160" spans="16:17" x14ac:dyDescent="0.2">
      <c r="P160" s="407">
        <f>_xll.qlCalendarAdvance(Calendar,P159,"1D","f")</f>
        <v>42184</v>
      </c>
      <c r="Q160" s="262">
        <f>_xll.qlInterpolationInterpolate($M$1,P160,TRUE)</f>
        <v>2.5648936981981897E-3</v>
      </c>
    </row>
    <row r="161" spans="16:17" x14ac:dyDescent="0.2">
      <c r="P161" s="407">
        <f>_xll.qlCalendarAdvance(Calendar,P160,"1D","f")</f>
        <v>42185</v>
      </c>
      <c r="Q161" s="262">
        <f>_xll.qlInterpolationInterpolate($M$1,P161,TRUE)</f>
        <v>2.5651552000739886E-3</v>
      </c>
    </row>
    <row r="162" spans="16:17" x14ac:dyDescent="0.2">
      <c r="P162" s="407">
        <f>_xll.qlCalendarAdvance(Calendar,P161,"1D","f")</f>
        <v>42186</v>
      </c>
      <c r="Q162" s="262">
        <f>_xll.qlInterpolationInterpolate($M$1,P162,TRUE)</f>
        <v>2.5654103567528471E-3</v>
      </c>
    </row>
    <row r="163" spans="16:17" x14ac:dyDescent="0.2">
      <c r="P163" s="407">
        <f>_xll.qlCalendarAdvance(Calendar,P162,"1D","f")</f>
        <v>42187</v>
      </c>
      <c r="Q163" s="262">
        <f>_xll.qlInterpolationInterpolate($M$1,P163,TRUE)</f>
        <v>2.5656596842211911E-3</v>
      </c>
    </row>
    <row r="164" spans="16:17" x14ac:dyDescent="0.2">
      <c r="P164" s="407">
        <f>_xll.qlCalendarAdvance(Calendar,P163,"1D","f")</f>
        <v>42188</v>
      </c>
      <c r="Q164" s="262">
        <f>_xll.qlInterpolationInterpolate($M$1,P164,TRUE)</f>
        <v>2.5659036984654457E-3</v>
      </c>
    </row>
    <row r="165" spans="16:17" x14ac:dyDescent="0.2">
      <c r="P165" s="407">
        <f>_xll.qlCalendarAdvance(Calendar,P164,"1D","f")</f>
        <v>42191</v>
      </c>
      <c r="Q165" s="262">
        <f>_xll.qlInterpolationInterpolate($M$1,P165,TRUE)</f>
        <v>2.5666090217179235E-3</v>
      </c>
    </row>
    <row r="166" spans="16:17" x14ac:dyDescent="0.2">
      <c r="P166" s="407">
        <f>_xll.qlCalendarAdvance(Calendar,P165,"1D","f")</f>
        <v>42192</v>
      </c>
      <c r="Q166" s="262">
        <f>_xll.qlInterpolationInterpolate($M$1,P166,TRUE)</f>
        <v>2.566836942930072E-3</v>
      </c>
    </row>
    <row r="167" spans="16:17" x14ac:dyDescent="0.2">
      <c r="P167" s="407">
        <f>_xll.qlCalendarAdvance(Calendar,P166,"1D","f")</f>
        <v>42193</v>
      </c>
      <c r="Q167" s="262">
        <f>_xll.qlInterpolationInterpolate($M$1,P167,TRUE)</f>
        <v>2.567062130850257E-3</v>
      </c>
    </row>
    <row r="168" spans="16:17" x14ac:dyDescent="0.2">
      <c r="P168" s="407">
        <f>_xll.qlCalendarAdvance(Calendar,P167,"1D","f")</f>
        <v>42194</v>
      </c>
      <c r="Q168" s="262">
        <f>_xll.qlInterpolationInterpolate($M$1,P168,TRUE)</f>
        <v>2.5672851014649036E-3</v>
      </c>
    </row>
    <row r="169" spans="16:17" x14ac:dyDescent="0.2">
      <c r="P169" s="407">
        <f>_xll.qlCalendarAdvance(Calendar,P168,"1D","f")</f>
        <v>42195</v>
      </c>
      <c r="Q169" s="262">
        <f>_xll.qlInterpolationInterpolate($M$1,P169,TRUE)</f>
        <v>2.5675063707604373E-3</v>
      </c>
    </row>
    <row r="170" spans="16:17" x14ac:dyDescent="0.2">
      <c r="P170" s="407">
        <f>_xll.qlCalendarAdvance(Calendar,P169,"1D","f")</f>
        <v>42198</v>
      </c>
      <c r="Q170" s="262">
        <f>_xll.qlInterpolationInterpolate($M$1,P170,TRUE)</f>
        <v>2.5681651305966124E-3</v>
      </c>
    </row>
    <row r="171" spans="16:17" x14ac:dyDescent="0.2">
      <c r="P171" s="407">
        <f>_xll.qlCalendarAdvance(Calendar,P170,"1D","f")</f>
        <v>42199</v>
      </c>
      <c r="Q171" s="262">
        <f>_xll.qlInterpolationInterpolate($M$1,P171,TRUE)</f>
        <v>2.5683847544799463E-3</v>
      </c>
    </row>
    <row r="172" spans="16:17" x14ac:dyDescent="0.2">
      <c r="P172" s="407">
        <f>_xll.qlCalendarAdvance(Calendar,P171,"1D","f")</f>
        <v>42200</v>
      </c>
      <c r="Q172" s="262">
        <f>_xll.qlInterpolationInterpolate($M$1,P172,TRUE)</f>
        <v>2.5686052569762934E-3</v>
      </c>
    </row>
    <row r="173" spans="16:17" x14ac:dyDescent="0.2">
      <c r="P173" s="407">
        <f>_xll.qlCalendarAdvance(Calendar,P172,"1D","f")</f>
        <v>42201</v>
      </c>
      <c r="Q173" s="262">
        <f>_xll.qlInterpolationInterpolate($M$1,P173,TRUE)</f>
        <v>2.568827154072079E-3</v>
      </c>
    </row>
    <row r="174" spans="16:17" x14ac:dyDescent="0.2">
      <c r="P174" s="407">
        <f>_xll.qlCalendarAdvance(Calendar,P173,"1D","f")</f>
        <v>42202</v>
      </c>
      <c r="Q174" s="262">
        <f>_xll.qlInterpolationInterpolate($M$1,P174,TRUE)</f>
        <v>2.5690509617537281E-3</v>
      </c>
    </row>
    <row r="175" spans="16:17" x14ac:dyDescent="0.2">
      <c r="P175" s="407">
        <f>_xll.qlCalendarAdvance(Calendar,P174,"1D","f")</f>
        <v>42205</v>
      </c>
      <c r="Q175" s="262">
        <f>_xll.qlInterpolationInterpolate($M$1,P175,TRUE)</f>
        <v>2.5697390081781089E-3</v>
      </c>
    </row>
    <row r="176" spans="16:17" x14ac:dyDescent="0.2">
      <c r="P176" s="407">
        <f>_xll.qlCalendarAdvance(Calendar,P175,"1D","f")</f>
        <v>42206</v>
      </c>
      <c r="Q176" s="262">
        <f>_xll.qlInterpolationInterpolate($M$1,P176,TRUE)</f>
        <v>2.5699756180674643E-3</v>
      </c>
    </row>
    <row r="177" spans="16:17" x14ac:dyDescent="0.2">
      <c r="P177" s="407">
        <f>_xll.qlCalendarAdvance(Calendar,P176,"1D","f")</f>
        <v>42207</v>
      </c>
      <c r="Q177" s="262">
        <f>_xll.qlInterpolationInterpolate($M$1,P177,TRUE)</f>
        <v>2.5702167184748098E-3</v>
      </c>
    </row>
    <row r="178" spans="16:17" x14ac:dyDescent="0.2">
      <c r="P178" s="407">
        <f>_xll.qlCalendarAdvance(Calendar,P177,"1D","f")</f>
        <v>42208</v>
      </c>
      <c r="Q178" s="262">
        <f>_xll.qlInterpolationInterpolate($M$1,P178,TRUE)</f>
        <v>2.5704628253865702E-3</v>
      </c>
    </row>
    <row r="179" spans="16:17" x14ac:dyDescent="0.2">
      <c r="P179" s="407">
        <f>_xll.qlCalendarAdvance(Calendar,P178,"1D","f")</f>
        <v>42209</v>
      </c>
      <c r="Q179" s="262">
        <f>_xll.qlInterpolationInterpolate($M$1,P179,TRUE)</f>
        <v>2.5707144547891703E-3</v>
      </c>
    </row>
    <row r="180" spans="16:17" x14ac:dyDescent="0.2">
      <c r="P180" s="407">
        <f>_xll.qlCalendarAdvance(Calendar,P179,"1D","f")</f>
        <v>42212</v>
      </c>
      <c r="Q180" s="262">
        <f>_xll.qlInterpolationInterpolate($M$1,P180,TRUE)</f>
        <v>2.5715076378062646E-3</v>
      </c>
    </row>
    <row r="181" spans="16:17" x14ac:dyDescent="0.2">
      <c r="P181" s="407">
        <f>_xll.qlCalendarAdvance(Calendar,P180,"1D","f")</f>
        <v>42213</v>
      </c>
      <c r="Q181" s="262">
        <f>_xll.qlInterpolationInterpolate($M$1,P181,TRUE)</f>
        <v>2.5717865170364783E-3</v>
      </c>
    </row>
    <row r="182" spans="16:17" x14ac:dyDescent="0.2">
      <c r="P182" s="407">
        <f>_xll.qlCalendarAdvance(Calendar,P181,"1D","f")</f>
        <v>42214</v>
      </c>
      <c r="Q182" s="262">
        <f>_xll.qlInterpolationInterpolate($M$1,P182,TRUE)</f>
        <v>2.5720734986896575E-3</v>
      </c>
    </row>
    <row r="183" spans="16:17" x14ac:dyDescent="0.2">
      <c r="P183" s="407">
        <f>_xll.qlCalendarAdvance(Calendar,P182,"1D","f")</f>
        <v>42215</v>
      </c>
      <c r="Q183" s="262">
        <f>_xll.qlInterpolationInterpolate($M$1,P183,TRUE)</f>
        <v>2.5723690987522287E-3</v>
      </c>
    </row>
    <row r="184" spans="16:17" x14ac:dyDescent="0.2">
      <c r="P184" s="407">
        <f>_xll.qlCalendarAdvance(Calendar,P183,"1D","f")</f>
        <v>42216</v>
      </c>
      <c r="Q184" s="262">
        <f>_xll.qlInterpolationInterpolate($M$1,P184,TRUE)</f>
        <v>2.5726738332106165E-3</v>
      </c>
    </row>
    <row r="185" spans="16:17" x14ac:dyDescent="0.2">
      <c r="P185" s="407">
        <f>_xll.qlCalendarAdvance(Calendar,P184,"1D","f")</f>
        <v>42219</v>
      </c>
      <c r="Q185" s="262">
        <f>_xll.qlInterpolationInterpolate($M$1,P185,TRUE)</f>
        <v>2.5736480028249326E-3</v>
      </c>
    </row>
    <row r="186" spans="16:17" x14ac:dyDescent="0.2">
      <c r="P186" s="407">
        <f>_xll.qlCalendarAdvance(Calendar,P185,"1D","f")</f>
        <v>42220</v>
      </c>
      <c r="Q186" s="262">
        <f>_xll.qlInterpolationInterpolate($M$1,P186,TRUE)</f>
        <v>2.5739944347308395E-3</v>
      </c>
    </row>
    <row r="187" spans="16:17" x14ac:dyDescent="0.2">
      <c r="P187" s="407">
        <f>_xll.qlCalendarAdvance(Calendar,P186,"1D","f")</f>
        <v>42221</v>
      </c>
      <c r="Q187" s="262">
        <f>_xll.qlInterpolationInterpolate($M$1,P187,TRUE)</f>
        <v>2.5743525809646894E-3</v>
      </c>
    </row>
    <row r="188" spans="16:17" x14ac:dyDescent="0.2">
      <c r="P188" s="407">
        <f>_xll.qlCalendarAdvance(Calendar,P187,"1D","f")</f>
        <v>42222</v>
      </c>
      <c r="Q188" s="262">
        <f>_xll.qlInterpolationInterpolate($M$1,P188,TRUE)</f>
        <v>2.5747229575129073E-3</v>
      </c>
    </row>
    <row r="189" spans="16:17" x14ac:dyDescent="0.2">
      <c r="P189" s="407">
        <f>_xll.qlCalendarAdvance(Calendar,P188,"1D","f")</f>
        <v>42223</v>
      </c>
      <c r="Q189" s="262">
        <f>_xll.qlInterpolationInterpolate($M$1,P189,TRUE)</f>
        <v>2.5751060803619187E-3</v>
      </c>
    </row>
    <row r="190" spans="16:17" x14ac:dyDescent="0.2">
      <c r="P190" s="407">
        <f>_xll.qlCalendarAdvance(Calendar,P189,"1D","f")</f>
        <v>42226</v>
      </c>
      <c r="Q190" s="262">
        <f>_xll.qlInterpolationInterpolate($M$1,P190,TRUE)</f>
        <v>2.5763370865779646E-3</v>
      </c>
    </row>
    <row r="191" spans="16:17" x14ac:dyDescent="0.2">
      <c r="P191" s="407">
        <f>_xll.qlCalendarAdvance(Calendar,P190,"1D","f")</f>
        <v>42227</v>
      </c>
      <c r="Q191" s="262">
        <f>_xll.qlInterpolationInterpolate($M$1,P191,TRUE)</f>
        <v>2.5767763544944015E-3</v>
      </c>
    </row>
    <row r="192" spans="16:17" x14ac:dyDescent="0.2">
      <c r="P192" s="407">
        <f>_xll.qlCalendarAdvance(Calendar,P191,"1D","f")</f>
        <v>42228</v>
      </c>
      <c r="Q192" s="262">
        <f>_xll.qlInterpolationInterpolate($M$1,P192,TRUE)</f>
        <v>2.5772308449445013E-3</v>
      </c>
    </row>
    <row r="193" spans="16:17" x14ac:dyDescent="0.2">
      <c r="P193" s="407">
        <f>_xll.qlCalendarAdvance(Calendar,P192,"1D","f")</f>
        <v>42229</v>
      </c>
      <c r="Q193" s="262">
        <f>_xll.qlInterpolationInterpolate($M$1,P193,TRUE)</f>
        <v>2.5777005554184088E-3</v>
      </c>
    </row>
    <row r="194" spans="16:17" x14ac:dyDescent="0.2">
      <c r="P194" s="407">
        <f>_xll.qlCalendarAdvance(Calendar,P193,"1D","f")</f>
        <v>42230</v>
      </c>
      <c r="Q194" s="262">
        <f>_xll.qlInterpolationInterpolate($M$1,P194,TRUE)</f>
        <v>2.5781853797070113E-3</v>
      </c>
    </row>
    <row r="195" spans="16:17" x14ac:dyDescent="0.2">
      <c r="P195" s="407">
        <f>_xll.qlCalendarAdvance(Calendar,P194,"1D","f")</f>
        <v>42233</v>
      </c>
      <c r="Q195" s="262">
        <f>_xll.qlInterpolationInterpolate($M$1,P195,TRUE)</f>
        <v>2.5797294733698691E-3</v>
      </c>
    </row>
    <row r="196" spans="16:17" x14ac:dyDescent="0.2">
      <c r="P196" s="407">
        <f>_xll.qlCalendarAdvance(Calendar,P195,"1D","f")</f>
        <v>42234</v>
      </c>
      <c r="Q196" s="262">
        <f>_xll.qlInterpolationInterpolate($M$1,P196,TRUE)</f>
        <v>2.5802736908261317E-3</v>
      </c>
    </row>
    <row r="197" spans="16:17" x14ac:dyDescent="0.2">
      <c r="P197" s="407">
        <f>_xll.qlCalendarAdvance(Calendar,P196,"1D","f")</f>
        <v>42235</v>
      </c>
      <c r="Q197" s="262">
        <f>_xll.qlInterpolationInterpolate($M$1,P197,TRUE)</f>
        <v>2.5808324910515288E-3</v>
      </c>
    </row>
    <row r="198" spans="16:17" x14ac:dyDescent="0.2">
      <c r="P198" s="407">
        <f>_xll.qlCalendarAdvance(Calendar,P197,"1D","f")</f>
        <v>42236</v>
      </c>
      <c r="Q198" s="262">
        <f>_xll.qlInterpolationInterpolate($M$1,P198,TRUE)</f>
        <v>2.5814057678369483E-3</v>
      </c>
    </row>
    <row r="199" spans="16:17" x14ac:dyDescent="0.2">
      <c r="P199" s="407">
        <f>_xll.qlCalendarAdvance(Calendar,P198,"1D","f")</f>
        <v>42237</v>
      </c>
      <c r="Q199" s="262">
        <f>_xll.qlInterpolationInterpolate($M$1,P199,TRUE)</f>
        <v>2.5819934149732783E-3</v>
      </c>
    </row>
    <row r="200" spans="16:17" x14ac:dyDescent="0.2">
      <c r="P200" s="407">
        <f>_xll.qlCalendarAdvance(Calendar,P199,"1D","f")</f>
        <v>42240</v>
      </c>
      <c r="Q200" s="262">
        <f>_xll.qlInterpolationInterpolate($M$1,P200,TRUE)</f>
        <v>2.5838415163966099E-3</v>
      </c>
    </row>
    <row r="201" spans="16:17" x14ac:dyDescent="0.2">
      <c r="P201" s="407">
        <f>_xll.qlCalendarAdvance(Calendar,P200,"1D","f")</f>
        <v>42241</v>
      </c>
      <c r="Q201" s="262">
        <f>_xll.qlInterpolationInterpolate($M$1,P201,TRUE)</f>
        <v>2.5844855828454608E-3</v>
      </c>
    </row>
    <row r="202" spans="16:17" x14ac:dyDescent="0.2">
      <c r="P202" s="407">
        <f>_xll.qlCalendarAdvance(Calendar,P201,"1D","f")</f>
        <v>42242</v>
      </c>
      <c r="Q202" s="262">
        <f>_xll.qlInterpolationInterpolate($M$1,P202,TRUE)</f>
        <v>2.5851434885996614E-3</v>
      </c>
    </row>
    <row r="203" spans="16:17" x14ac:dyDescent="0.2">
      <c r="P203" s="407">
        <f>_xll.qlCalendarAdvance(Calendar,P202,"1D","f")</f>
        <v>42243</v>
      </c>
      <c r="Q203" s="262">
        <f>_xll.qlInterpolationInterpolate($M$1,P203,TRUE)</f>
        <v>2.5858151274500995E-3</v>
      </c>
    </row>
    <row r="204" spans="16:17" x14ac:dyDescent="0.2">
      <c r="P204" s="407">
        <f>_xll.qlCalendarAdvance(Calendar,P203,"1D","f")</f>
        <v>42244</v>
      </c>
      <c r="Q204" s="262">
        <f>_xll.qlInterpolationInterpolate($M$1,P204,TRUE)</f>
        <v>2.5865003931876637E-3</v>
      </c>
    </row>
    <row r="205" spans="16:17" x14ac:dyDescent="0.2">
      <c r="P205" s="407">
        <f>_xll.qlCalendarAdvance(Calendar,P204,"1D","f")</f>
        <v>42247</v>
      </c>
      <c r="Q205" s="262">
        <f>_xll.qlInterpolationInterpolate($M$1,P205,TRUE)</f>
        <v>2.5886368896319892E-3</v>
      </c>
    </row>
    <row r="206" spans="16:17" x14ac:dyDescent="0.2">
      <c r="P206" s="407">
        <f>_xll.qlCalendarAdvance(Calendar,P205,"1D","f")</f>
        <v>42248</v>
      </c>
      <c r="Q206" s="262">
        <f>_xll.qlInterpolationInterpolate($M$1,P206,TRUE)</f>
        <v>2.5893756008269347E-3</v>
      </c>
    </row>
    <row r="207" spans="16:17" x14ac:dyDescent="0.2">
      <c r="P207" s="407">
        <f>_xll.qlCalendarAdvance(Calendar,P206,"1D","f")</f>
        <v>42249</v>
      </c>
      <c r="Q207" s="262">
        <f>_xll.qlInterpolationInterpolate($M$1,P207,TRUE)</f>
        <v>2.5901274078634455E-3</v>
      </c>
    </row>
    <row r="208" spans="16:17" x14ac:dyDescent="0.2">
      <c r="P208" s="407">
        <f>_xll.qlCalendarAdvance(Calendar,P207,"1D","f")</f>
        <v>42250</v>
      </c>
      <c r="Q208" s="262">
        <f>_xll.qlInterpolationInterpolate($M$1,P208,TRUE)</f>
        <v>2.5908922045324097E-3</v>
      </c>
    </row>
    <row r="209" spans="16:17" x14ac:dyDescent="0.2">
      <c r="P209" s="407">
        <f>_xll.qlCalendarAdvance(Calendar,P208,"1D","f")</f>
        <v>42251</v>
      </c>
      <c r="Q209" s="262">
        <f>_xll.qlInterpolationInterpolate($M$1,P209,TRUE)</f>
        <v>2.5916698846247142E-3</v>
      </c>
    </row>
    <row r="210" spans="16:17" x14ac:dyDescent="0.2">
      <c r="P210" s="407">
        <f>_xll.qlCalendarAdvance(Calendar,P209,"1D","f")</f>
        <v>42254</v>
      </c>
      <c r="Q210" s="262">
        <f>_xll.qlInterpolationInterpolate($M$1,P210,TRUE)</f>
        <v>2.5940791633505531E-3</v>
      </c>
    </row>
    <row r="211" spans="16:17" x14ac:dyDescent="0.2">
      <c r="P211" s="407">
        <f>_xll.qlCalendarAdvance(Calendar,P210,"1D","f")</f>
        <v>42255</v>
      </c>
      <c r="Q211" s="262">
        <f>_xll.qlInterpolationInterpolate($M$1,P211,TRUE)</f>
        <v>2.5949073150451003E-3</v>
      </c>
    </row>
    <row r="212" spans="16:17" x14ac:dyDescent="0.2">
      <c r="P212" s="407">
        <f>_xll.qlCalendarAdvance(Calendar,P211,"1D","f")</f>
        <v>42256</v>
      </c>
      <c r="Q212" s="262">
        <f>_xll.qlInterpolationInterpolate($M$1,P212,TRUE)</f>
        <v>2.5957478191174282E-3</v>
      </c>
    </row>
    <row r="213" spans="16:17" x14ac:dyDescent="0.2">
      <c r="P213" s="407">
        <f>_xll.qlCalendarAdvance(Calendar,P212,"1D","f")</f>
        <v>42257</v>
      </c>
      <c r="Q213" s="262">
        <f>_xll.qlInterpolationInterpolate($M$1,P213,TRUE)</f>
        <v>2.5966005693584238E-3</v>
      </c>
    </row>
    <row r="214" spans="16:17" x14ac:dyDescent="0.2">
      <c r="P214" s="407">
        <f>_xll.qlCalendarAdvance(Calendar,P213,"1D","f")</f>
        <v>42258</v>
      </c>
      <c r="Q214" s="262">
        <f>_xll.qlInterpolationInterpolate($M$1,P214,TRUE)</f>
        <v>2.5974654595589761E-3</v>
      </c>
    </row>
    <row r="215" spans="16:17" x14ac:dyDescent="0.2">
      <c r="P215" s="407">
        <f>_xll.qlCalendarAdvance(Calendar,P214,"1D","f")</f>
        <v>42261</v>
      </c>
      <c r="Q215" s="262">
        <f>_xll.qlInterpolationInterpolate($M$1,P215,TRUE)</f>
        <v>2.6001319078268483E-3</v>
      </c>
    </row>
    <row r="216" spans="16:17" x14ac:dyDescent="0.2">
      <c r="P216" s="407">
        <f>_xll.qlCalendarAdvance(Calendar,P215,"1D","f")</f>
        <v>42262</v>
      </c>
      <c r="Q216" s="262">
        <f>_xll.qlInterpolationInterpolate($M$1,P216,TRUE)</f>
        <v>2.6010442957745037E-3</v>
      </c>
    </row>
    <row r="217" spans="16:17" x14ac:dyDescent="0.2">
      <c r="P217" s="407">
        <f>_xll.qlCalendarAdvance(Calendar,P216,"1D","f")</f>
        <v>42263</v>
      </c>
      <c r="Q217" s="262">
        <f>_xll.qlInterpolationInterpolate($M$1,P217,TRUE)</f>
        <v>2.601968292636155E-3</v>
      </c>
    </row>
    <row r="218" spans="16:17" x14ac:dyDescent="0.2">
      <c r="P218" s="407">
        <f>_xll.qlCalendarAdvance(Calendar,P217,"1D","f")</f>
        <v>42264</v>
      </c>
      <c r="Q218" s="262">
        <f>_xll.qlInterpolationInterpolate($M$1,P218,TRUE)</f>
        <v>2.6029037922026895E-3</v>
      </c>
    </row>
    <row r="219" spans="16:17" x14ac:dyDescent="0.2">
      <c r="P219" s="407">
        <f>_xll.qlCalendarAdvance(Calendar,P218,"1D","f")</f>
        <v>42265</v>
      </c>
      <c r="Q219" s="262">
        <f>_xll.qlInterpolationInterpolate($M$1,P219,TRUE)</f>
        <v>2.6038506882649953E-3</v>
      </c>
    </row>
    <row r="220" spans="16:17" x14ac:dyDescent="0.2">
      <c r="P220" s="407">
        <f>_xll.qlCalendarAdvance(Calendar,P219,"1D","f")</f>
        <v>42268</v>
      </c>
      <c r="Q220" s="262">
        <f>_xll.qlInterpolationInterpolate($M$1,P220,TRUE)</f>
        <v>2.6067586933354206E-3</v>
      </c>
    </row>
    <row r="221" spans="16:17" x14ac:dyDescent="0.2">
      <c r="P221" s="407">
        <f>_xll.qlCalendarAdvance(Calendar,P220,"1D","f")</f>
        <v>42269</v>
      </c>
      <c r="Q221" s="262">
        <f>_xll.qlInterpolationInterpolate($M$1,P221,TRUE)</f>
        <v>2.6077501132896908E-3</v>
      </c>
    </row>
    <row r="222" spans="16:17" x14ac:dyDescent="0.2">
      <c r="P222" s="407">
        <f>_xll.qlCalendarAdvance(Calendar,P221,"1D","f")</f>
        <v>42270</v>
      </c>
      <c r="Q222" s="262">
        <f>_xll.qlInterpolationInterpolate($M$1,P222,TRUE)</f>
        <v>2.6087523986941721E-3</v>
      </c>
    </row>
    <row r="223" spans="16:17" x14ac:dyDescent="0.2">
      <c r="P223" s="407">
        <f>_xll.qlCalendarAdvance(Calendar,P222,"1D","f")</f>
        <v>42271</v>
      </c>
      <c r="Q223" s="262">
        <f>_xll.qlInterpolationInterpolate($M$1,P223,TRUE)</f>
        <v>2.6097654433397521E-3</v>
      </c>
    </row>
    <row r="224" spans="16:17" x14ac:dyDescent="0.2">
      <c r="P224" s="407">
        <f>_xll.qlCalendarAdvance(Calendar,P223,"1D","f")</f>
        <v>42272</v>
      </c>
      <c r="Q224" s="262">
        <f>_xll.qlInterpolationInterpolate($M$1,P224,TRUE)</f>
        <v>2.6107891410173186E-3</v>
      </c>
    </row>
    <row r="225" spans="16:17" x14ac:dyDescent="0.2">
      <c r="P225" s="407">
        <f>_xll.qlCalendarAdvance(Calendar,P224,"1D","f")</f>
        <v>42275</v>
      </c>
      <c r="Q225" s="262">
        <f>_xll.qlInterpolationInterpolate($M$1,P225,TRUE)</f>
        <v>2.6139230901508167E-3</v>
      </c>
    </row>
    <row r="226" spans="16:17" x14ac:dyDescent="0.2">
      <c r="P226" s="407">
        <f>_xll.qlCalendarAdvance(Calendar,P225,"1D","f")</f>
        <v>42276</v>
      </c>
      <c r="Q226" s="262">
        <f>_xll.qlInterpolationInterpolate($M$1,P226,TRUE)</f>
        <v>2.6149883378652084E-3</v>
      </c>
    </row>
    <row r="227" spans="16:17" x14ac:dyDescent="0.2">
      <c r="P227" s="407">
        <f>_xll.qlCalendarAdvance(Calendar,P226,"1D","f")</f>
        <v>42277</v>
      </c>
      <c r="Q227" s="262">
        <f>_xll.qlInterpolationInterpolate($M$1,P227,TRUE)</f>
        <v>2.6160637075660262E-3</v>
      </c>
    </row>
    <row r="228" spans="16:17" x14ac:dyDescent="0.2">
      <c r="P228" s="407">
        <f>_xll.qlCalendarAdvance(Calendar,P227,"1D","f")</f>
        <v>42278</v>
      </c>
      <c r="Q228" s="262">
        <f>_xll.qlInterpolationInterpolate($M$1,P228,TRUE)</f>
        <v>2.6171490930441584E-3</v>
      </c>
    </row>
    <row r="229" spans="16:17" x14ac:dyDescent="0.2">
      <c r="P229" s="407">
        <f>_xll.qlCalendarAdvance(Calendar,P228,"1D","f")</f>
        <v>42279</v>
      </c>
      <c r="Q229" s="262">
        <f>_xll.qlInterpolationInterpolate($M$1,P229,TRUE)</f>
        <v>2.6182443880904916E-3</v>
      </c>
    </row>
    <row r="230" spans="16:17" x14ac:dyDescent="0.2">
      <c r="P230" s="407">
        <f>_xll.qlCalendarAdvance(Calendar,P229,"1D","f")</f>
        <v>42282</v>
      </c>
      <c r="Q230" s="262">
        <f>_xll.qlInterpolationInterpolate($M$1,P230,TRUE)</f>
        <v>2.6215886685475825E-3</v>
      </c>
    </row>
    <row r="231" spans="16:17" x14ac:dyDescent="0.2">
      <c r="P231" s="407">
        <f>_xll.qlCalendarAdvance(Calendar,P230,"1D","f")</f>
        <v>42283</v>
      </c>
      <c r="Q231" s="262">
        <f>_xll.qlInterpolationInterpolate($M$1,P231,TRUE)</f>
        <v>2.6227225397756023E-3</v>
      </c>
    </row>
    <row r="232" spans="16:17" x14ac:dyDescent="0.2">
      <c r="P232" s="407">
        <f>_xll.qlCalendarAdvance(Calendar,P231,"1D","f")</f>
        <v>42284</v>
      </c>
      <c r="Q232" s="262">
        <f>_xll.qlInterpolationInterpolate($M$1,P232,TRUE)</f>
        <v>2.6238657895262638E-3</v>
      </c>
    </row>
    <row r="233" spans="16:17" x14ac:dyDescent="0.2">
      <c r="P233" s="407">
        <f>_xll.qlCalendarAdvance(Calendar,P232,"1D","f")</f>
        <v>42285</v>
      </c>
      <c r="Q233" s="262">
        <f>_xll.qlInterpolationInterpolate($M$1,P233,TRUE)</f>
        <v>2.6250183115904542E-3</v>
      </c>
    </row>
    <row r="234" spans="16:17" x14ac:dyDescent="0.2">
      <c r="P234" s="407">
        <f>_xll.qlCalendarAdvance(Calendar,P233,"1D","f")</f>
        <v>42286</v>
      </c>
      <c r="Q234" s="262">
        <f>_xll.qlInterpolationInterpolate($M$1,P234,TRUE)</f>
        <v>2.6261799997590613E-3</v>
      </c>
    </row>
    <row r="235" spans="16:17" x14ac:dyDescent="0.2">
      <c r="P235" s="407">
        <f>_xll.qlCalendarAdvance(Calendar,P234,"1D","f")</f>
        <v>42289</v>
      </c>
      <c r="Q235" s="262">
        <f>_xll.qlInterpolationInterpolate($M$1,P235,TRUE)</f>
        <v>2.6297189988002648E-3</v>
      </c>
    </row>
    <row r="236" spans="16:17" x14ac:dyDescent="0.2">
      <c r="P236" s="407">
        <f>_xll.qlCalendarAdvance(Calendar,P235,"1D","f")</f>
        <v>42290</v>
      </c>
      <c r="Q236" s="262">
        <f>_xll.qlInterpolationInterpolate($M$1,P236,TRUE)</f>
        <v>2.6309162892954193E-3</v>
      </c>
    </row>
    <row r="237" spans="16:17" x14ac:dyDescent="0.2">
      <c r="P237" s="407">
        <f>_xll.qlCalendarAdvance(Calendar,P236,"1D","f")</f>
        <v>42291</v>
      </c>
      <c r="Q237" s="262">
        <f>_xll.qlInterpolationInterpolate($M$1,P237,TRUE)</f>
        <v>2.6321222148494305E-3</v>
      </c>
    </row>
    <row r="238" spans="16:17" x14ac:dyDescent="0.2">
      <c r="P238" s="407">
        <f>_xll.qlCalendarAdvance(Calendar,P237,"1D","f")</f>
        <v>42292</v>
      </c>
      <c r="Q238" s="262">
        <f>_xll.qlInterpolationInterpolate($M$1,P238,TRUE)</f>
        <v>2.6333366692531859E-3</v>
      </c>
    </row>
    <row r="239" spans="16:17" x14ac:dyDescent="0.2">
      <c r="P239" s="407">
        <f>_xll.qlCalendarAdvance(Calendar,P238,"1D","f")</f>
        <v>42293</v>
      </c>
      <c r="Q239" s="262">
        <f>_xll.qlInterpolationInterpolate($M$1,P239,TRUE)</f>
        <v>2.6345595462975739E-3</v>
      </c>
    </row>
    <row r="240" spans="16:17" x14ac:dyDescent="0.2">
      <c r="P240" s="407">
        <f>_xll.qlCalendarAdvance(Calendar,P239,"1D","f")</f>
        <v>42296</v>
      </c>
      <c r="Q240" s="262">
        <f>_xll.qlInterpolationInterpolate($M$1,P240,TRUE)</f>
        <v>2.6382776511834098E-3</v>
      </c>
    </row>
    <row r="241" spans="16:17" x14ac:dyDescent="0.2">
      <c r="P241" s="407">
        <f>_xll.qlCalendarAdvance(Calendar,P240,"1D","f")</f>
        <v>42297</v>
      </c>
      <c r="Q241" s="262">
        <f>_xll.qlInterpolationInterpolate($M$1,P241,TRUE)</f>
        <v>2.6395331566992056E-3</v>
      </c>
    </row>
    <row r="242" spans="16:17" x14ac:dyDescent="0.2">
      <c r="P242" s="407">
        <f>_xll.qlCalendarAdvance(Calendar,P241,"1D","f")</f>
        <v>42298</v>
      </c>
      <c r="Q242" s="262">
        <f>_xll.qlInterpolationInterpolate($M$1,P242,TRUE)</f>
        <v>2.6407965538100728E-3</v>
      </c>
    </row>
    <row r="243" spans="16:17" x14ac:dyDescent="0.2">
      <c r="P243" s="407">
        <f>_xll.qlCalendarAdvance(Calendar,P242,"1D","f")</f>
        <v>42299</v>
      </c>
      <c r="Q243" s="262">
        <f>_xll.qlInterpolationInterpolate($M$1,P243,TRUE)</f>
        <v>2.6420677363069001E-3</v>
      </c>
    </row>
    <row r="244" spans="16:17" x14ac:dyDescent="0.2">
      <c r="P244" s="407">
        <f>_xll.qlCalendarAdvance(Calendar,P243,"1D","f")</f>
        <v>42300</v>
      </c>
      <c r="Q244" s="262">
        <f>_xll.qlInterpolationInterpolate($M$1,P244,TRUE)</f>
        <v>2.6433465979805748E-3</v>
      </c>
    </row>
    <row r="245" spans="16:17" x14ac:dyDescent="0.2">
      <c r="P245" s="407">
        <f>_xll.qlCalendarAdvance(Calendar,P244,"1D","f")</f>
        <v>42303</v>
      </c>
      <c r="Q245" s="262">
        <f>_xll.qlInterpolationInterpolate($M$1,P245,TRUE)</f>
        <v>2.6472281959715629E-3</v>
      </c>
    </row>
    <row r="246" spans="16:17" x14ac:dyDescent="0.2">
      <c r="P246" s="407">
        <f>_xll.qlCalendarAdvance(Calendar,P245,"1D","f")</f>
        <v>42304</v>
      </c>
      <c r="Q246" s="262">
        <f>_xll.qlInterpolationInterpolate($M$1,P246,TRUE)</f>
        <v>2.6485367122615067E-3</v>
      </c>
    </row>
    <row r="247" spans="16:17" x14ac:dyDescent="0.2">
      <c r="P247" s="407">
        <f>_xll.qlCalendarAdvance(Calendar,P246,"1D","f")</f>
        <v>42305</v>
      </c>
      <c r="Q247" s="262">
        <f>_xll.qlInterpolationInterpolate($M$1,P247,TRUE)</f>
        <v>2.6498523766827374E-3</v>
      </c>
    </row>
    <row r="248" spans="16:17" x14ac:dyDescent="0.2">
      <c r="P248" s="407">
        <f>_xll.qlCalendarAdvance(Calendar,P247,"1D","f")</f>
        <v>42306</v>
      </c>
      <c r="Q248" s="262">
        <f>_xll.qlInterpolationInterpolate($M$1,P248,TRUE)</f>
        <v>2.6511750830261432E-3</v>
      </c>
    </row>
    <row r="249" spans="16:17" x14ac:dyDescent="0.2">
      <c r="P249" s="407">
        <f>_xll.qlCalendarAdvance(Calendar,P248,"1D","f")</f>
        <v>42307</v>
      </c>
      <c r="Q249" s="262">
        <f>_xll.qlInterpolationInterpolate($M$1,P249,TRUE)</f>
        <v>2.6525047250826111E-3</v>
      </c>
    </row>
    <row r="250" spans="16:17" x14ac:dyDescent="0.2">
      <c r="P250" s="407">
        <f>_xll.qlCalendarAdvance(Calendar,P249,"1D","f")</f>
        <v>42310</v>
      </c>
      <c r="Q250" s="262">
        <f>_xll.qlInterpolationInterpolate($M$1,P250,TRUE)</f>
        <v>2.6565342034392718E-3</v>
      </c>
    </row>
    <row r="251" spans="16:17" x14ac:dyDescent="0.2">
      <c r="P251" s="407">
        <f>_xll.qlCalendarAdvance(Calendar,P250,"1D","f")</f>
        <v>42311</v>
      </c>
      <c r="Q251" s="262">
        <f>_xll.qlInterpolationInterpolate($M$1,P251,TRUE)</f>
        <v>2.6578905262568697E-3</v>
      </c>
    </row>
    <row r="252" spans="16:17" x14ac:dyDescent="0.2">
      <c r="P252" s="407">
        <f>_xll.qlCalendarAdvance(Calendar,P251,"1D","f")</f>
        <v>42312</v>
      </c>
      <c r="Q252" s="262">
        <f>_xll.qlInterpolationInterpolate($M$1,P252,TRUE)</f>
        <v>2.6592532537419705E-3</v>
      </c>
    </row>
    <row r="253" spans="16:17" x14ac:dyDescent="0.2">
      <c r="P253" s="407">
        <f>_xll.qlCalendarAdvance(Calendar,P252,"1D","f")</f>
        <v>42313</v>
      </c>
      <c r="Q253" s="262">
        <f>_xll.qlInterpolationInterpolate($M$1,P253,TRUE)</f>
        <v>2.6606222796854606E-3</v>
      </c>
    </row>
    <row r="254" spans="16:17" x14ac:dyDescent="0.2">
      <c r="P254" s="407">
        <f>_xll.qlCalendarAdvance(Calendar,P253,"1D","f")</f>
        <v>42314</v>
      </c>
      <c r="Q254" s="262">
        <f>_xll.qlInterpolationInterpolate($M$1,P254,TRUE)</f>
        <v>2.6619974978782292E-3</v>
      </c>
    </row>
    <row r="255" spans="16:17" x14ac:dyDescent="0.2">
      <c r="P255" s="407">
        <f>_xll.qlCalendarAdvance(Calendar,P254,"1D","f")</f>
        <v>42317</v>
      </c>
      <c r="Q255" s="262">
        <f>_xll.qlInterpolationInterpolate($M$1,P255,TRUE)</f>
        <v>2.6661592438610815E-3</v>
      </c>
    </row>
    <row r="256" spans="16:17" x14ac:dyDescent="0.2">
      <c r="P256" s="407">
        <f>_xll.qlCalendarAdvance(Calendar,P255,"1D","f")</f>
        <v>42318</v>
      </c>
      <c r="Q256" s="262">
        <f>_xll.qlInterpolationInterpolate($M$1,P256,TRUE)</f>
        <v>2.6675581689598409E-3</v>
      </c>
    </row>
    <row r="257" spans="16:17" x14ac:dyDescent="0.2">
      <c r="P257" s="407">
        <f>_xll.qlCalendarAdvance(Calendar,P256,"1D","f")</f>
        <v>42319</v>
      </c>
      <c r="Q257" s="262">
        <f>_xll.qlInterpolationInterpolate($M$1,P257,TRUE)</f>
        <v>2.6689627552623175E-3</v>
      </c>
    </row>
    <row r="258" spans="16:17" x14ac:dyDescent="0.2">
      <c r="P258" s="407">
        <f>_xll.qlCalendarAdvance(Calendar,P257,"1D","f")</f>
        <v>42320</v>
      </c>
      <c r="Q258" s="262">
        <f>_xll.qlInterpolationInterpolate($M$1,P258,TRUE)</f>
        <v>2.6703728796024159E-3</v>
      </c>
    </row>
    <row r="259" spans="16:17" x14ac:dyDescent="0.2">
      <c r="P259" s="407">
        <f>_xll.qlCalendarAdvance(Calendar,P258,"1D","f")</f>
        <v>42321</v>
      </c>
      <c r="Q259" s="262">
        <f>_xll.qlInterpolationInterpolate($M$1,P259,TRUE)</f>
        <v>2.6717883509861039E-3</v>
      </c>
    </row>
    <row r="260" spans="16:17" x14ac:dyDescent="0.2">
      <c r="P260" s="407">
        <f>_xll.qlCalendarAdvance(Calendar,P259,"1D","f")</f>
        <v>42324</v>
      </c>
      <c r="Q260" s="262">
        <f>_xll.qlInterpolationInterpolate($M$1,P260,TRUE)</f>
        <v>2.6760647678885584E-3</v>
      </c>
    </row>
    <row r="261" spans="16:17" x14ac:dyDescent="0.2">
      <c r="P261" s="407">
        <f>_xll.qlCalendarAdvance(Calendar,P260,"1D","f")</f>
        <v>42325</v>
      </c>
      <c r="Q261" s="262">
        <f>_xll.qlInterpolationInterpolate($M$1,P261,TRUE)</f>
        <v>2.6774995479364556E-3</v>
      </c>
    </row>
    <row r="262" spans="16:17" x14ac:dyDescent="0.2">
      <c r="P262" s="407">
        <f>_xll.qlCalendarAdvance(Calendar,P261,"1D","f")</f>
        <v>42326</v>
      </c>
      <c r="Q262" s="262">
        <f>_xll.qlInterpolationInterpolate($M$1,P262,TRUE)</f>
        <v>2.6789386352728674E-3</v>
      </c>
    </row>
    <row r="263" spans="16:17" x14ac:dyDescent="0.2">
      <c r="P263" s="407">
        <f>_xll.qlCalendarAdvance(Calendar,P262,"1D","f")</f>
        <v>42327</v>
      </c>
      <c r="Q263" s="262">
        <f>_xll.qlInterpolationInterpolate($M$1,P263,TRUE)</f>
        <v>2.6803818219467779E-3</v>
      </c>
    </row>
    <row r="264" spans="16:17" x14ac:dyDescent="0.2">
      <c r="P264" s="407">
        <f>_xll.qlCalendarAdvance(Calendar,P263,"1D","f")</f>
        <v>42328</v>
      </c>
      <c r="Q264" s="262">
        <f>_xll.qlInterpolationInterpolate($M$1,P264,TRUE)</f>
        <v>2.6818289000071728E-3</v>
      </c>
    </row>
    <row r="265" spans="16:17" x14ac:dyDescent="0.2">
      <c r="P265" s="407">
        <f>_xll.qlCalendarAdvance(Calendar,P264,"1D","f")</f>
        <v>42331</v>
      </c>
      <c r="Q265" s="262">
        <f>_xll.qlInterpolationInterpolate($M$1,P265,TRUE)</f>
        <v>2.6861914029971084E-3</v>
      </c>
    </row>
    <row r="266" spans="16:17" x14ac:dyDescent="0.2">
      <c r="P266" s="407">
        <f>_xll.qlCalendarAdvance(Calendar,P265,"1D","f")</f>
        <v>42332</v>
      </c>
      <c r="Q266" s="262">
        <f>_xll.qlInterpolationInterpolate($M$1,P266,TRUE)</f>
        <v>2.6876519670932875E-3</v>
      </c>
    </row>
    <row r="267" spans="16:17" x14ac:dyDescent="0.2">
      <c r="P267" s="407">
        <f>_xll.qlCalendarAdvance(Calendar,P266,"1D","f")</f>
        <v>42333</v>
      </c>
      <c r="Q267" s="262">
        <f>_xll.qlInterpolationInterpolate($M$1,P267,TRUE)</f>
        <v>2.6891153828208741E-3</v>
      </c>
    </row>
    <row r="268" spans="16:17" x14ac:dyDescent="0.2">
      <c r="P268" s="407">
        <f>_xll.qlCalendarAdvance(Calendar,P267,"1D","f")</f>
        <v>42334</v>
      </c>
      <c r="Q268" s="262">
        <f>_xll.qlInterpolationInterpolate($M$1,P268,TRUE)</f>
        <v>2.6905814422288538E-3</v>
      </c>
    </row>
    <row r="269" spans="16:17" x14ac:dyDescent="0.2">
      <c r="P269" s="407">
        <f>_xll.qlCalendarAdvance(Calendar,P268,"1D","f")</f>
        <v>42335</v>
      </c>
      <c r="Q269" s="262">
        <f>_xll.qlInterpolationInterpolate($M$1,P269,TRUE)</f>
        <v>2.6920499373662113E-3</v>
      </c>
    </row>
    <row r="270" spans="16:17" x14ac:dyDescent="0.2">
      <c r="P270" s="407">
        <f>_xll.qlCalendarAdvance(Calendar,P269,"1D","f")</f>
        <v>42338</v>
      </c>
      <c r="Q270" s="262">
        <f>_xll.qlInterpolationInterpolate($M$1,P270,TRUE)</f>
        <v>2.6964679576443988E-3</v>
      </c>
    </row>
    <row r="271" spans="16:17" x14ac:dyDescent="0.2">
      <c r="P271" s="407">
        <f>_xll.qlCalendarAdvance(Calendar,P270,"1D","f")</f>
        <v>42339</v>
      </c>
      <c r="Q271" s="262">
        <f>_xll.qlInterpolationInterpolate($M$1,P271,TRUE)</f>
        <v>2.6979441161891155E-3</v>
      </c>
    </row>
    <row r="272" spans="16:17" x14ac:dyDescent="0.2">
      <c r="P272" s="407">
        <f>_xll.qlCalendarAdvance(Calendar,P271,"1D","f")</f>
        <v>42340</v>
      </c>
      <c r="Q272" s="262">
        <f>_xll.qlInterpolationInterpolate($M$1,P272,TRUE)</f>
        <v>2.6994216707081345E-3</v>
      </c>
    </row>
    <row r="273" spans="16:17" x14ac:dyDescent="0.2">
      <c r="P273" s="407">
        <f>_xll.qlCalendarAdvance(Calendar,P272,"1D","f")</f>
        <v>42341</v>
      </c>
      <c r="Q273" s="262">
        <f>_xll.qlInterpolationInterpolate($M$1,P273,TRUE)</f>
        <v>2.7009004132504399E-3</v>
      </c>
    </row>
    <row r="274" spans="16:17" x14ac:dyDescent="0.2">
      <c r="P274" s="407">
        <f>_xll.qlCalendarAdvance(Calendar,P273,"1D","f")</f>
        <v>42342</v>
      </c>
      <c r="Q274" s="262">
        <f>_xll.qlInterpolationInterpolate($M$1,P274,TRUE)</f>
        <v>2.7023801358650166E-3</v>
      </c>
    </row>
    <row r="275" spans="16:17" x14ac:dyDescent="0.2">
      <c r="P275" s="407">
        <f>_xll.qlCalendarAdvance(Calendar,P274,"1D","f")</f>
        <v>42345</v>
      </c>
      <c r="Q275" s="262">
        <f>_xll.qlInterpolationInterpolate($M$1,P275,TRUE)</f>
        <v>2.7068231046322253E-3</v>
      </c>
    </row>
    <row r="276" spans="16:17" x14ac:dyDescent="0.2">
      <c r="P276" s="407">
        <f>_xll.qlCalendarAdvance(Calendar,P275,"1D","f")</f>
        <v>42346</v>
      </c>
      <c r="Q276" s="262">
        <f>_xll.qlInterpolationInterpolate($M$1,P276,TRUE)</f>
        <v>2.7083046680257371E-3</v>
      </c>
    </row>
    <row r="277" spans="16:17" x14ac:dyDescent="0.2">
      <c r="P277" s="407">
        <f>_xll.qlCalendarAdvance(Calendar,P276,"1D","f")</f>
        <v>42347</v>
      </c>
      <c r="Q277" s="262">
        <f>_xll.qlInterpolationInterpolate($M$1,P277,TRUE)</f>
        <v>2.7097861717364441E-3</v>
      </c>
    </row>
    <row r="278" spans="16:17" x14ac:dyDescent="0.2">
      <c r="P278" s="407">
        <f>_xll.qlCalendarAdvance(Calendar,P277,"1D","f")</f>
        <v>42348</v>
      </c>
      <c r="Q278" s="262">
        <f>_xll.qlInterpolationInterpolate($M$1,P278,TRUE)</f>
        <v>2.711267407813332E-3</v>
      </c>
    </row>
    <row r="279" spans="16:17" x14ac:dyDescent="0.2">
      <c r="P279" s="407">
        <f>_xll.qlCalendarAdvance(Calendar,P278,"1D","f")</f>
        <v>42349</v>
      </c>
      <c r="Q279" s="262">
        <f>_xll.qlInterpolationInterpolate($M$1,P279,TRUE)</f>
        <v>2.7127481683053849E-3</v>
      </c>
    </row>
    <row r="280" spans="16:17" x14ac:dyDescent="0.2">
      <c r="P280" s="407">
        <f>_xll.qlCalendarAdvance(Calendar,P279,"1D","f")</f>
        <v>42352</v>
      </c>
      <c r="Q280" s="262">
        <f>_xll.qlInterpolationInterpolate($M$1,P280,TRUE)</f>
        <v>2.7171855167623846E-3</v>
      </c>
    </row>
    <row r="281" spans="16:17" x14ac:dyDescent="0.2">
      <c r="P281" s="407">
        <f>_xll.qlCalendarAdvance(Calendar,P280,"1D","f")</f>
        <v>42353</v>
      </c>
      <c r="Q281" s="262">
        <f>_xll.qlInterpolationInterpolate($M$1,P281,TRUE)</f>
        <v>2.7186622954049476E-3</v>
      </c>
    </row>
    <row r="282" spans="16:17" x14ac:dyDescent="0.2">
      <c r="P282" s="407">
        <f>_xll.qlCalendarAdvance(Calendar,P281,"1D","f")</f>
        <v>42354</v>
      </c>
      <c r="Q282" s="262">
        <f>_xll.qlInterpolationInterpolate($M$1,P282,TRUE)</f>
        <v>2.7201375587075998E-3</v>
      </c>
    </row>
    <row r="283" spans="16:17" x14ac:dyDescent="0.2">
      <c r="P283" s="407">
        <f>_xll.qlCalendarAdvance(Calendar,P282,"1D","f")</f>
        <v>42355</v>
      </c>
      <c r="Q283" s="262">
        <f>_xll.qlInterpolationInterpolate($M$1,P283,TRUE)</f>
        <v>2.7216110987193262E-3</v>
      </c>
    </row>
    <row r="284" spans="16:17" x14ac:dyDescent="0.2">
      <c r="P284" s="407">
        <f>_xll.qlCalendarAdvance(Calendar,P283,"1D","f")</f>
        <v>42356</v>
      </c>
      <c r="Q284" s="262">
        <f>_xll.qlInterpolationInterpolate($M$1,P284,TRUE)</f>
        <v>2.7230827074891124E-3</v>
      </c>
    </row>
    <row r="285" spans="16:17" x14ac:dyDescent="0.2">
      <c r="P285" s="407">
        <f>_xll.qlCalendarAdvance(Calendar,P284,"1D","f")</f>
        <v>42359</v>
      </c>
      <c r="Q285" s="262">
        <f>_xll.qlInterpolationInterpolate($M$1,P285,TRUE)</f>
        <v>2.7274838668366729E-3</v>
      </c>
    </row>
    <row r="286" spans="16:17" x14ac:dyDescent="0.2">
      <c r="P286" s="407">
        <f>_xll.qlCalendarAdvance(Calendar,P285,"1D","f")</f>
        <v>42360</v>
      </c>
      <c r="Q286" s="262">
        <f>_xll.qlInterpolationInterpolate($M$1,P286,TRUE)</f>
        <v>2.7289456711285433E-3</v>
      </c>
    </row>
    <row r="287" spans="16:17" x14ac:dyDescent="0.2">
      <c r="P287" s="407">
        <f>_xll.qlCalendarAdvance(Calendar,P286,"1D","f")</f>
        <v>42361</v>
      </c>
      <c r="Q287" s="262">
        <f>_xll.qlInterpolationInterpolate($M$1,P287,TRUE)</f>
        <v>2.7304045044233977E-3</v>
      </c>
    </row>
    <row r="288" spans="16:17" x14ac:dyDescent="0.2">
      <c r="P288" s="407">
        <f>_xll.qlCalendarAdvance(Calendar,P287,"1D","f")</f>
        <v>42362</v>
      </c>
      <c r="Q288" s="262">
        <f>_xll.qlInterpolationInterpolate($M$1,P288,TRUE)</f>
        <v>2.7318601587702196E-3</v>
      </c>
    </row>
    <row r="289" spans="16:17" x14ac:dyDescent="0.2">
      <c r="P289" s="407">
        <f>_xll.qlCalendarAdvance(Calendar,P288,"1D","f")</f>
        <v>42366</v>
      </c>
      <c r="Q289" s="262">
        <f>_xll.qlInterpolationInterpolate($M$1,P289,TRUE)</f>
        <v>2.737646827656886E-3</v>
      </c>
    </row>
    <row r="290" spans="16:17" x14ac:dyDescent="0.2">
      <c r="P290" s="407">
        <f>_xll.qlCalendarAdvance(Calendar,P289,"1D","f")</f>
        <v>42367</v>
      </c>
      <c r="Q290" s="262">
        <f>_xll.qlInterpolationInterpolate($M$1,P290,TRUE)</f>
        <v>2.7390834679983213E-3</v>
      </c>
    </row>
    <row r="291" spans="16:17" x14ac:dyDescent="0.2">
      <c r="P291" s="407">
        <f>_xll.qlCalendarAdvance(Calendar,P290,"1D","f")</f>
        <v>42368</v>
      </c>
      <c r="Q291" s="262">
        <f>_xll.qlInterpolationInterpolate($M$1,P291,TRUE)</f>
        <v>2.7405156816856335E-3</v>
      </c>
    </row>
    <row r="292" spans="16:17" x14ac:dyDescent="0.2">
      <c r="P292" s="407">
        <f>_xll.qlCalendarAdvance(Calendar,P291,"1D","f")</f>
        <v>42369</v>
      </c>
      <c r="Q292" s="262">
        <f>_xll.qlInterpolationInterpolate($M$1,P292,TRUE)</f>
        <v>2.7419432607678077E-3</v>
      </c>
    </row>
    <row r="293" spans="16:17" x14ac:dyDescent="0.2">
      <c r="P293" s="407">
        <f>_xll.qlCalendarAdvance(Calendar,P292,"1D","f")</f>
        <v>42373</v>
      </c>
      <c r="Q293" s="262">
        <f>_xll.qlInterpolationInterpolate($M$1,P293,TRUE)</f>
        <v>2.7476030720248205E-3</v>
      </c>
    </row>
    <row r="294" spans="16:17" x14ac:dyDescent="0.2">
      <c r="P294" s="407">
        <f>_xll.qlCalendarAdvance(Calendar,P293,"1D","f")</f>
        <v>42374</v>
      </c>
      <c r="Q294" s="262">
        <f>_xll.qlInterpolationInterpolate($M$1,P294,TRUE)</f>
        <v>2.7490043588160769E-3</v>
      </c>
    </row>
    <row r="295" spans="16:17" x14ac:dyDescent="0.2">
      <c r="P295" s="407">
        <f>_xll.qlCalendarAdvance(Calendar,P294,"1D","f")</f>
        <v>42375</v>
      </c>
      <c r="Q295" s="262">
        <f>_xll.qlInterpolationInterpolate($M$1,P295,TRUE)</f>
        <v>2.750399763296104E-3</v>
      </c>
    </row>
    <row r="296" spans="16:17" x14ac:dyDescent="0.2">
      <c r="P296" s="407">
        <f>_xll.qlCalendarAdvance(Calendar,P295,"1D","f")</f>
        <v>42376</v>
      </c>
      <c r="Q296" s="262">
        <f>_xll.qlInterpolationInterpolate($M$1,P296,TRUE)</f>
        <v>2.7517890775138869E-3</v>
      </c>
    </row>
    <row r="297" spans="16:17" x14ac:dyDescent="0.2">
      <c r="P297" s="407">
        <f>_xll.qlCalendarAdvance(Calendar,P296,"1D","f")</f>
        <v>42377</v>
      </c>
      <c r="Q297" s="262">
        <f>_xll.qlInterpolationInterpolate($M$1,P297,TRUE)</f>
        <v>2.7531720935184104E-3</v>
      </c>
    </row>
    <row r="298" spans="16:17" x14ac:dyDescent="0.2">
      <c r="P298" s="407">
        <f>_xll.qlCalendarAdvance(Calendar,P297,"1D","f")</f>
        <v>42380</v>
      </c>
      <c r="Q298" s="262">
        <f>_xll.qlInterpolationInterpolate($M$1,P298,TRUE)</f>
        <v>2.7572812727422727E-3</v>
      </c>
    </row>
    <row r="299" spans="16:17" x14ac:dyDescent="0.2">
      <c r="P299" s="407">
        <f>_xll.qlCalendarAdvance(Calendar,P298,"1D","f")</f>
        <v>42381</v>
      </c>
      <c r="Q299" s="262">
        <f>_xll.qlInterpolationInterpolate($M$1,P299,TRUE)</f>
        <v>2.7586370163836067E-3</v>
      </c>
    </row>
    <row r="300" spans="16:17" x14ac:dyDescent="0.2">
      <c r="P300" s="407">
        <f>_xll.qlCalendarAdvance(Calendar,P299,"1D","f")</f>
        <v>42382</v>
      </c>
      <c r="Q300" s="262">
        <f>_xll.qlInterpolationInterpolate($M$1,P300,TRUE)</f>
        <v>2.7599854220566058E-3</v>
      </c>
    </row>
    <row r="301" spans="16:17" x14ac:dyDescent="0.2">
      <c r="P301" s="407">
        <f>_xll.qlCalendarAdvance(Calendar,P300,"1D","f")</f>
        <v>42383</v>
      </c>
      <c r="Q301" s="262">
        <f>_xll.qlInterpolationInterpolate($M$1,P301,TRUE)</f>
        <v>2.7613262818102537E-3</v>
      </c>
    </row>
    <row r="302" spans="16:17" x14ac:dyDescent="0.2">
      <c r="P302" s="407">
        <f>_xll.qlCalendarAdvance(Calendar,P301,"1D","f")</f>
        <v>42384</v>
      </c>
      <c r="Q302" s="262">
        <f>_xll.qlInterpolationInterpolate($M$1,P302,TRUE)</f>
        <v>2.7626593876935363E-3</v>
      </c>
    </row>
    <row r="303" spans="16:17" x14ac:dyDescent="0.2">
      <c r="P303" s="407">
        <f>_xll.qlCalendarAdvance(Calendar,P302,"1D","f")</f>
        <v>42387</v>
      </c>
      <c r="Q303" s="262">
        <f>_xll.qlInterpolationInterpolate($M$1,P303,TRUE)</f>
        <v>2.7666101026110387E-3</v>
      </c>
    </row>
    <row r="304" spans="16:17" x14ac:dyDescent="0.2">
      <c r="P304" s="407">
        <f>_xll.qlCalendarAdvance(Calendar,P303,"1D","f")</f>
        <v>42388</v>
      </c>
      <c r="Q304" s="262">
        <f>_xll.qlInterpolationInterpolate($M$1,P304,TRUE)</f>
        <v>2.7679101135027074E-3</v>
      </c>
    </row>
    <row r="305" spans="16:17" x14ac:dyDescent="0.2">
      <c r="P305" s="407">
        <f>_xll.qlCalendarAdvance(Calendar,P304,"1D","f")</f>
        <v>42389</v>
      </c>
      <c r="Q305" s="262">
        <f>_xll.qlInterpolationInterpolate($M$1,P305,TRUE)</f>
        <v>2.7692013307689342E-3</v>
      </c>
    </row>
    <row r="306" spans="16:17" x14ac:dyDescent="0.2">
      <c r="P306" s="407">
        <f>_xll.qlCalendarAdvance(Calendar,P305,"1D","f")</f>
        <v>42390</v>
      </c>
      <c r="Q306" s="262">
        <f>_xll.qlInterpolationInterpolate($M$1,P306,TRUE)</f>
        <v>2.7704835464587045E-3</v>
      </c>
    </row>
    <row r="307" spans="16:17" x14ac:dyDescent="0.2">
      <c r="P307" s="407">
        <f>_xll.qlCalendarAdvance(Calendar,P306,"1D","f")</f>
        <v>42391</v>
      </c>
      <c r="Q307" s="262">
        <f>_xll.qlInterpolationInterpolate($M$1,P307,TRUE)</f>
        <v>2.7717565526210026E-3</v>
      </c>
    </row>
    <row r="308" spans="16:17" x14ac:dyDescent="0.2">
      <c r="P308" s="407">
        <f>_xll.qlCalendarAdvance(Calendar,P307,"1D","f")</f>
        <v>42394</v>
      </c>
      <c r="Q308" s="262">
        <f>_xll.qlInterpolationInterpolate($M$1,P308,TRUE)</f>
        <v>2.7755182344329152E-3</v>
      </c>
    </row>
    <row r="309" spans="16:17" x14ac:dyDescent="0.2">
      <c r="P309" s="407">
        <f>_xll.qlCalendarAdvance(Calendar,P308,"1D","f")</f>
        <v>42395</v>
      </c>
      <c r="Q309" s="262">
        <f>_xll.qlInterpolationInterpolate($M$1,P309,TRUE)</f>
        <v>2.7767523229751743E-3</v>
      </c>
    </row>
    <row r="310" spans="16:17" x14ac:dyDescent="0.2">
      <c r="P310" s="407">
        <f>_xll.qlCalendarAdvance(Calendar,P309,"1D","f")</f>
        <v>42396</v>
      </c>
      <c r="Q310" s="262">
        <f>_xll.qlInterpolationInterpolate($M$1,P310,TRUE)</f>
        <v>2.7779761622348863E-3</v>
      </c>
    </row>
    <row r="311" spans="16:17" x14ac:dyDescent="0.2">
      <c r="P311" s="407">
        <f>_xll.qlCalendarAdvance(Calendar,P310,"1D","f")</f>
        <v>42397</v>
      </c>
      <c r="Q311" s="262">
        <f>_xll.qlInterpolationInterpolate($M$1,P311,TRUE)</f>
        <v>2.7791895442610347E-3</v>
      </c>
    </row>
    <row r="312" spans="16:17" x14ac:dyDescent="0.2">
      <c r="P312" s="407">
        <f>_xll.qlCalendarAdvance(Calendar,P311,"1D","f")</f>
        <v>42398</v>
      </c>
      <c r="Q312" s="262">
        <f>_xll.qlInterpolationInterpolate($M$1,P312,TRUE)</f>
        <v>2.7803922611026057E-3</v>
      </c>
    </row>
    <row r="313" spans="16:17" x14ac:dyDescent="0.2">
      <c r="P313" s="407">
        <f>_xll.qlCalendarAdvance(Calendar,P312,"1D","f")</f>
        <v>42401</v>
      </c>
      <c r="Q313" s="262">
        <f>_xll.qlInterpolationInterpolate($M$1,P313,TRUE)</f>
        <v>2.7839343410096975E-3</v>
      </c>
    </row>
    <row r="314" spans="16:17" x14ac:dyDescent="0.2">
      <c r="P314" s="407">
        <f>_xll.qlCalendarAdvance(Calendar,P313,"1D","f")</f>
        <v>42402</v>
      </c>
      <c r="Q314" s="262">
        <f>_xll.qlInterpolationInterpolate($M$1,P314,TRUE)</f>
        <v>2.7850923176028046E-3</v>
      </c>
    </row>
    <row r="315" spans="16:17" x14ac:dyDescent="0.2">
      <c r="P315" s="407">
        <f>_xll.qlCalendarAdvance(Calendar,P314,"1D","f")</f>
        <v>42403</v>
      </c>
      <c r="Q315" s="262">
        <f>_xll.qlInterpolationInterpolate($M$1,P315,TRUE)</f>
        <v>2.7862385892562574E-3</v>
      </c>
    </row>
    <row r="316" spans="16:17" x14ac:dyDescent="0.2">
      <c r="P316" s="407">
        <f>_xll.qlCalendarAdvance(Calendar,P315,"1D","f")</f>
        <v>42404</v>
      </c>
      <c r="Q316" s="262">
        <f>_xll.qlInterpolationInterpolate($M$1,P316,TRUE)</f>
        <v>2.7873729480190415E-3</v>
      </c>
    </row>
    <row r="317" spans="16:17" x14ac:dyDescent="0.2">
      <c r="P317" s="407">
        <f>_xll.qlCalendarAdvance(Calendar,P316,"1D","f")</f>
        <v>42405</v>
      </c>
      <c r="Q317" s="262">
        <f>_xll.qlInterpolationInterpolate($M$1,P317,TRUE)</f>
        <v>2.7884951859401411E-3</v>
      </c>
    </row>
    <row r="318" spans="16:17" x14ac:dyDescent="0.2">
      <c r="P318" s="407">
        <f>_xll.qlCalendarAdvance(Calendar,P317,"1D","f")</f>
        <v>42408</v>
      </c>
      <c r="Q318" s="262">
        <f>_xll.qlInterpolationInterpolate($M$1,P318,TRUE)</f>
        <v>2.7917870951431828E-3</v>
      </c>
    </row>
    <row r="319" spans="16:17" x14ac:dyDescent="0.2">
      <c r="P319" s="407">
        <f>_xll.qlCalendarAdvance(Calendar,P318,"1D","f")</f>
        <v>42409</v>
      </c>
      <c r="Q319" s="262">
        <f>_xll.qlInterpolationInterpolate($M$1,P319,TRUE)</f>
        <v>2.792858770187394E-3</v>
      </c>
    </row>
    <row r="320" spans="16:17" x14ac:dyDescent="0.2">
      <c r="P320" s="407">
        <f>_xll.qlCalendarAdvance(Calendar,P319,"1D","f")</f>
        <v>42410</v>
      </c>
      <c r="Q320" s="262">
        <f>_xll.qlInterpolationInterpolate($M$1,P320,TRUE)</f>
        <v>2.7939172846348451E-3</v>
      </c>
    </row>
    <row r="321" spans="16:17" x14ac:dyDescent="0.2">
      <c r="P321" s="407">
        <f>_xll.qlCalendarAdvance(Calendar,P320,"1D","f")</f>
        <v>42411</v>
      </c>
      <c r="Q321" s="262">
        <f>_xll.qlInterpolationInterpolate($M$1,P321,TRUE)</f>
        <v>2.7949624305345206E-3</v>
      </c>
    </row>
    <row r="322" spans="16:17" x14ac:dyDescent="0.2">
      <c r="P322" s="407">
        <f>_xll.qlCalendarAdvance(Calendar,P321,"1D","f")</f>
        <v>42412</v>
      </c>
      <c r="Q322" s="262">
        <f>_xll.qlInterpolationInterpolate($M$1,P322,TRUE)</f>
        <v>2.7959940597355728E-3</v>
      </c>
    </row>
    <row r="323" spans="16:17" x14ac:dyDescent="0.2">
      <c r="P323" s="407">
        <f>_xll.qlCalendarAdvance(Calendar,P322,"1D","f")</f>
        <v>42415</v>
      </c>
      <c r="Q323" s="262">
        <f>_xll.qlInterpolationInterpolate($M$1,P323,TRUE)</f>
        <v>2.7990089968458524E-3</v>
      </c>
    </row>
    <row r="324" spans="16:17" x14ac:dyDescent="0.2">
      <c r="P324" s="407">
        <f>_xll.qlCalendarAdvance(Calendar,P323,"1D","f")</f>
        <v>42416</v>
      </c>
      <c r="Q324" s="262">
        <f>_xll.qlInterpolationInterpolate($M$1,P324,TRUE)</f>
        <v>2.7999878285516083E-3</v>
      </c>
    </row>
    <row r="325" spans="16:17" x14ac:dyDescent="0.2">
      <c r="P325" s="407">
        <f>_xll.qlCalendarAdvance(Calendar,P324,"1D","f")</f>
        <v>42417</v>
      </c>
      <c r="Q325" s="262">
        <f>_xll.qlInterpolationInterpolate($M$1,P325,TRUE)</f>
        <v>2.8009538380085069E-3</v>
      </c>
    </row>
    <row r="326" spans="16:17" x14ac:dyDescent="0.2">
      <c r="P326" s="407">
        <f>_xll.qlCalendarAdvance(Calendar,P325,"1D","f")</f>
        <v>42418</v>
      </c>
      <c r="Q326" s="262">
        <f>_xll.qlInterpolationInterpolate($M$1,P326,TRUE)</f>
        <v>2.8019071760665339E-3</v>
      </c>
    </row>
    <row r="327" spans="16:17" x14ac:dyDescent="0.2">
      <c r="P327" s="407">
        <f>_xll.qlCalendarAdvance(Calendar,P326,"1D","f")</f>
        <v>42419</v>
      </c>
      <c r="Q327" s="262">
        <f>_xll.qlInterpolationInterpolate($M$1,P327,TRUE)</f>
        <v>2.8028479935756768E-3</v>
      </c>
    </row>
    <row r="328" spans="16:17" x14ac:dyDescent="0.2">
      <c r="P328" s="407">
        <f>_xll.qlCalendarAdvance(Calendar,P327,"1D","f")</f>
        <v>42422</v>
      </c>
      <c r="Q328" s="262">
        <f>_xll.qlInterpolationInterpolate($M$1,P328,TRUE)</f>
        <v>2.8055968313096639E-3</v>
      </c>
    </row>
    <row r="329" spans="16:17" x14ac:dyDescent="0.2">
      <c r="P329" s="407">
        <f>_xll.qlCalendarAdvance(Calendar,P328,"1D","f")</f>
        <v>42423</v>
      </c>
      <c r="Q329" s="262">
        <f>_xll.qlInterpolationInterpolate($M$1,P329,TRUE)</f>
        <v>2.8064890751231344E-3</v>
      </c>
    </row>
    <row r="330" spans="16:17" x14ac:dyDescent="0.2">
      <c r="P330" s="407">
        <f>_xll.qlCalendarAdvance(Calendar,P329,"1D","f")</f>
        <v>42424</v>
      </c>
      <c r="Q330" s="262">
        <f>_xll.qlInterpolationInterpolate($M$1,P330,TRUE)</f>
        <v>2.8073695526376532E-3</v>
      </c>
    </row>
    <row r="331" spans="16:17" x14ac:dyDescent="0.2">
      <c r="P331" s="407">
        <f>_xll.qlCalendarAdvance(Calendar,P330,"1D","f")</f>
        <v>42425</v>
      </c>
      <c r="Q331" s="262">
        <f>_xll.qlInterpolationInterpolate($M$1,P331,TRUE)</f>
        <v>2.8082384147032065E-3</v>
      </c>
    </row>
    <row r="332" spans="16:17" x14ac:dyDescent="0.2">
      <c r="P332" s="407">
        <f>_xll.qlCalendarAdvance(Calendar,P331,"1D","f")</f>
        <v>42426</v>
      </c>
      <c r="Q332" s="262">
        <f>_xll.qlInterpolationInterpolate($M$1,P332,TRUE)</f>
        <v>2.8090958121697812E-3</v>
      </c>
    </row>
    <row r="333" spans="16:17" x14ac:dyDescent="0.2">
      <c r="P333" s="407">
        <f>_xll.qlCalendarAdvance(Calendar,P332,"1D","f")</f>
        <v>42429</v>
      </c>
      <c r="Q333" s="262">
        <f>_xll.qlInterpolationInterpolate($M$1,P333,TRUE)</f>
        <v>2.8116007254755005E-3</v>
      </c>
    </row>
    <row r="334" spans="16:17" x14ac:dyDescent="0.2">
      <c r="P334" s="407">
        <f>_xll.qlCalendarAdvance(Calendar,P333,"1D","f")</f>
        <v>42430</v>
      </c>
      <c r="Q334" s="262">
        <f>_xll.qlInterpolationInterpolate($M$1,P334,TRUE)</f>
        <v>2.8124137730460267E-3</v>
      </c>
    </row>
    <row r="335" spans="16:17" x14ac:dyDescent="0.2">
      <c r="P335" s="407">
        <f>_xll.qlCalendarAdvance(Calendar,P334,"1D","f")</f>
        <v>42431</v>
      </c>
      <c r="Q335" s="262">
        <f>_xll.qlInterpolationInterpolate($M$1,P335,TRUE)</f>
        <v>2.8132161102675068E-3</v>
      </c>
    </row>
    <row r="336" spans="16:17" x14ac:dyDescent="0.2">
      <c r="P336" s="407">
        <f>_xll.qlCalendarAdvance(Calendar,P335,"1D","f")</f>
        <v>42432</v>
      </c>
      <c r="Q336" s="262">
        <f>_xll.qlInterpolationInterpolate($M$1,P336,TRUE)</f>
        <v>2.814007887989928E-3</v>
      </c>
    </row>
    <row r="337" spans="16:17" x14ac:dyDescent="0.2">
      <c r="P337" s="407">
        <f>_xll.qlCalendarAdvance(Calendar,P336,"1D","f")</f>
        <v>42433</v>
      </c>
      <c r="Q337" s="262">
        <f>_xll.qlInterpolationInterpolate($M$1,P337,TRUE)</f>
        <v>2.8147892570632767E-3</v>
      </c>
    </row>
    <row r="338" spans="16:17" x14ac:dyDescent="0.2">
      <c r="P338" s="407">
        <f>_xll.qlCalendarAdvance(Calendar,P337,"1D","f")</f>
        <v>42436</v>
      </c>
      <c r="Q338" s="262">
        <f>_xll.qlInterpolationInterpolate($M$1,P338,TRUE)</f>
        <v>2.8170724208887517E-3</v>
      </c>
    </row>
    <row r="339" spans="16:17" x14ac:dyDescent="0.2">
      <c r="P339" s="407">
        <f>_xll.qlCalendarAdvance(Calendar,P338,"1D","f")</f>
        <v>42437</v>
      </c>
      <c r="Q339" s="262">
        <f>_xll.qlInterpolationInterpolate($M$1,P339,TRUE)</f>
        <v>2.8178136638656753E-3</v>
      </c>
    </row>
    <row r="340" spans="16:17" x14ac:dyDescent="0.2">
      <c r="P340" s="407">
        <f>_xll.qlCalendarAdvance(Calendar,P339,"1D","f")</f>
        <v>42438</v>
      </c>
      <c r="Q340" s="262">
        <f>_xll.qlInterpolationInterpolate($M$1,P340,TRUE)</f>
        <v>2.8185452524434589E-3</v>
      </c>
    </row>
    <row r="341" spans="16:17" x14ac:dyDescent="0.2">
      <c r="P341" s="407">
        <f>_xll.qlCalendarAdvance(Calendar,P340,"1D","f")</f>
        <v>42439</v>
      </c>
      <c r="Q341" s="262">
        <f>_xll.qlInterpolationInterpolate($M$1,P341,TRUE)</f>
        <v>2.8192673374720888E-3</v>
      </c>
    </row>
    <row r="342" spans="16:17" x14ac:dyDescent="0.2">
      <c r="P342" s="407">
        <f>_xll.qlCalendarAdvance(Calendar,P341,"1D","f")</f>
        <v>42440</v>
      </c>
      <c r="Q342" s="262">
        <f>_xll.qlInterpolationInterpolate($M$1,P342,TRUE)</f>
        <v>2.8199800698015527E-3</v>
      </c>
    </row>
    <row r="343" spans="16:17" x14ac:dyDescent="0.2">
      <c r="P343" s="407">
        <f>_xll.qlCalendarAdvance(Calendar,P342,"1D","f")</f>
        <v>42443</v>
      </c>
      <c r="Q343" s="262">
        <f>_xll.qlInterpolationInterpolate($M$1,P343,TRUE)</f>
        <v>2.8220636590948083E-3</v>
      </c>
    </row>
    <row r="344" spans="16:17" x14ac:dyDescent="0.2">
      <c r="P344" s="407">
        <f>_xll.qlCalendarAdvance(Calendar,P343,"1D","f")</f>
        <v>42444</v>
      </c>
      <c r="Q344" s="262">
        <f>_xll.qlInterpolationInterpolate($M$1,P344,TRUE)</f>
        <v>2.8227404891274705E-3</v>
      </c>
    </row>
    <row r="345" spans="16:17" x14ac:dyDescent="0.2">
      <c r="P345" s="407">
        <f>_xll.qlCalendarAdvance(Calendar,P344,"1D","f")</f>
        <v>42445</v>
      </c>
      <c r="Q345" s="262">
        <f>_xll.qlInterpolationInterpolate($M$1,P345,TRUE)</f>
        <v>2.8234087207108984E-3</v>
      </c>
    </row>
    <row r="346" spans="16:17" x14ac:dyDescent="0.2">
      <c r="P346" s="407">
        <f>_xll.qlCalendarAdvance(Calendar,P345,"1D","f")</f>
        <v>42446</v>
      </c>
      <c r="Q346" s="262">
        <f>_xll.qlInterpolationInterpolate($M$1,P346,TRUE)</f>
        <v>2.8240685046950795E-3</v>
      </c>
    </row>
    <row r="347" spans="16:17" x14ac:dyDescent="0.2">
      <c r="P347" s="407">
        <f>_xll.qlCalendarAdvance(Calendar,P346,"1D","f")</f>
        <v>42447</v>
      </c>
      <c r="Q347" s="262">
        <f>_xll.qlInterpolationInterpolate($M$1,P347,TRUE)</f>
        <v>2.8247199919299994E-3</v>
      </c>
    </row>
    <row r="348" spans="16:17" x14ac:dyDescent="0.2">
      <c r="P348" s="407">
        <f>_xll.qlCalendarAdvance(Calendar,P347,"1D","f")</f>
        <v>42450</v>
      </c>
      <c r="Q348" s="262">
        <f>_xll.qlInterpolationInterpolate($M$1,P348,TRUE)</f>
        <v>2.8266261816390602E-3</v>
      </c>
    </row>
    <row r="349" spans="16:17" x14ac:dyDescent="0.2">
      <c r="P349" s="407">
        <f>_xll.qlCalendarAdvance(Calendar,P348,"1D","f")</f>
        <v>42451</v>
      </c>
      <c r="Q349" s="262">
        <f>_xll.qlInterpolationInterpolate($M$1,P349,TRUE)</f>
        <v>2.8272459903768026E-3</v>
      </c>
    </row>
    <row r="350" spans="16:17" x14ac:dyDescent="0.2">
      <c r="P350" s="407">
        <f>_xll.qlCalendarAdvance(Calendar,P349,"1D","f")</f>
        <v>42452</v>
      </c>
      <c r="Q350" s="262">
        <f>_xll.qlInterpolationInterpolate($M$1,P350,TRUE)</f>
        <v>2.8278582566152169E-3</v>
      </c>
    </row>
    <row r="351" spans="16:17" x14ac:dyDescent="0.2">
      <c r="P351" s="407">
        <f>_xll.qlCalendarAdvance(Calendar,P350,"1D","f")</f>
        <v>42453</v>
      </c>
      <c r="Q351" s="262">
        <f>_xll.qlInterpolationInterpolate($M$1,P351,TRUE)</f>
        <v>2.8284631312042899E-3</v>
      </c>
    </row>
    <row r="352" spans="16:17" x14ac:dyDescent="0.2">
      <c r="P352" s="407">
        <f>_xll.qlCalendarAdvance(Calendar,P351,"1D","f")</f>
        <v>42458</v>
      </c>
      <c r="Q352" s="262">
        <f>_xll.qlInterpolationInterpolate($M$1,P352,TRUE)</f>
        <v>2.8313819091590618E-3</v>
      </c>
    </row>
    <row r="353" spans="16:17" x14ac:dyDescent="0.2">
      <c r="P353" s="407">
        <f>_xll.qlCalendarAdvance(Calendar,P352,"1D","f")</f>
        <v>42459</v>
      </c>
      <c r="Q353" s="262">
        <f>_xll.qlInterpolationInterpolate($M$1,P353,TRUE)</f>
        <v>2.8319456017018036E-3</v>
      </c>
    </row>
    <row r="354" spans="16:17" x14ac:dyDescent="0.2">
      <c r="P354" s="407">
        <f>_xll.qlCalendarAdvance(Calendar,P353,"1D","f")</f>
        <v>42460</v>
      </c>
      <c r="Q354" s="262">
        <f>_xll.qlInterpolationInterpolate($M$1,P354,TRUE)</f>
        <v>2.8325029585451098E-3</v>
      </c>
    </row>
    <row r="355" spans="16:17" x14ac:dyDescent="0.2">
      <c r="P355" s="407">
        <f>_xll.qlCalendarAdvance(Calendar,P354,"1D","f")</f>
        <v>42461</v>
      </c>
      <c r="Q355" s="262">
        <f>_xll.qlInterpolationInterpolate($M$1,P355,TRUE)</f>
        <v>2.8330541305389674E-3</v>
      </c>
    </row>
    <row r="356" spans="16:17" x14ac:dyDescent="0.2">
      <c r="P356" s="407">
        <f>_xll.qlCalendarAdvance(Calendar,P355,"1D","f")</f>
        <v>42464</v>
      </c>
      <c r="Q356" s="262">
        <f>_xll.qlInterpolationInterpolate($M$1,P356,TRUE)</f>
        <v>2.8346720459237109E-3</v>
      </c>
    </row>
    <row r="357" spans="16:17" x14ac:dyDescent="0.2">
      <c r="P357" s="407">
        <f>_xll.qlCalendarAdvance(Calendar,P356,"1D","f")</f>
        <v>42465</v>
      </c>
      <c r="Q357" s="262">
        <f>_xll.qlInterpolationInterpolate($M$1,P357,TRUE)</f>
        <v>2.8351999870196379E-3</v>
      </c>
    </row>
    <row r="358" spans="16:17" x14ac:dyDescent="0.2">
      <c r="P358" s="407">
        <f>_xll.qlCalendarAdvance(Calendar,P357,"1D","f")</f>
        <v>42466</v>
      </c>
      <c r="Q358" s="262">
        <f>_xll.qlInterpolationInterpolate($M$1,P358,TRUE)</f>
        <v>2.8357224975160489E-3</v>
      </c>
    </row>
    <row r="359" spans="16:17" x14ac:dyDescent="0.2">
      <c r="P359" s="407">
        <f>_xll.qlCalendarAdvance(Calendar,P358,"1D","f")</f>
        <v>42467</v>
      </c>
      <c r="Q359" s="262">
        <f>_xll.qlInterpolationInterpolate($M$1,P359,TRUE)</f>
        <v>2.8362397282629304E-3</v>
      </c>
    </row>
    <row r="360" spans="16:17" x14ac:dyDescent="0.2">
      <c r="P360" s="407">
        <f>_xll.qlCalendarAdvance(Calendar,P359,"1D","f")</f>
        <v>42468</v>
      </c>
      <c r="Q360" s="262">
        <f>_xll.qlInterpolationInterpolate($M$1,P360,TRUE)</f>
        <v>2.8367518301102685E-3</v>
      </c>
    </row>
    <row r="361" spans="16:17" x14ac:dyDescent="0.2">
      <c r="P361" s="407">
        <f>_xll.qlCalendarAdvance(Calendar,P360,"1D","f")</f>
        <v>42471</v>
      </c>
      <c r="Q361" s="262">
        <f>_xll.qlInterpolationInterpolate($M$1,P361,TRUE)</f>
        <v>2.8382588707548907E-3</v>
      </c>
    </row>
    <row r="362" spans="16:17" x14ac:dyDescent="0.2">
      <c r="P362" s="407">
        <f>_xll.qlCalendarAdvance(Calendar,P361,"1D","f")</f>
        <v>42472</v>
      </c>
      <c r="Q362" s="262">
        <f>_xll.qlInterpolationInterpolate($M$1,P362,TRUE)</f>
        <v>2.8387519655039221E-3</v>
      </c>
    </row>
    <row r="363" spans="16:17" x14ac:dyDescent="0.2">
      <c r="P363" s="407">
        <f>_xll.qlCalendarAdvance(Calendar,P362,"1D","f")</f>
        <v>42473</v>
      </c>
      <c r="Q363" s="262">
        <f>_xll.qlInterpolationInterpolate($M$1,P363,TRUE)</f>
        <v>2.8392406856033434E-3</v>
      </c>
    </row>
    <row r="364" spans="16:17" x14ac:dyDescent="0.2">
      <c r="P364" s="407">
        <f>_xll.qlCalendarAdvance(Calendar,P363,"1D","f")</f>
        <v>42474</v>
      </c>
      <c r="Q364" s="262">
        <f>_xll.qlInterpolationInterpolate($M$1,P364,TRUE)</f>
        <v>2.839725181903141E-3</v>
      </c>
    </row>
    <row r="365" spans="16:17" x14ac:dyDescent="0.2">
      <c r="P365" s="407">
        <f>_xll.qlCalendarAdvance(Calendar,P364,"1D","f")</f>
        <v>42475</v>
      </c>
      <c r="Q365" s="262">
        <f>_xll.qlInterpolationInterpolate($M$1,P365,TRUE)</f>
        <v>2.8402056052533016E-3</v>
      </c>
    </row>
    <row r="366" spans="16:17" x14ac:dyDescent="0.2">
      <c r="P366" s="407">
        <f>_xll.qlCalendarAdvance(Calendar,P365,"1D","f")</f>
        <v>42478</v>
      </c>
      <c r="Q366" s="262">
        <f>_xll.qlInterpolationInterpolate($M$1,P366,TRUE)</f>
        <v>2.8416239461058262E-3</v>
      </c>
    </row>
    <row r="367" spans="16:17" x14ac:dyDescent="0.2">
      <c r="P367" s="407">
        <f>_xll.qlCalendarAdvance(Calendar,P366,"1D","f")</f>
        <v>42479</v>
      </c>
      <c r="Q367" s="262">
        <f>_xll.qlInterpolationInterpolate($M$1,P367,TRUE)</f>
        <v>2.8420895861573036E-3</v>
      </c>
    </row>
    <row r="368" spans="16:17" x14ac:dyDescent="0.2">
      <c r="P368" s="407">
        <f>_xll.qlCalendarAdvance(Calendar,P367,"1D","f")</f>
        <v>42480</v>
      </c>
      <c r="Q368" s="262">
        <f>_xll.qlInterpolationInterpolate($M$1,P368,TRUE)</f>
        <v>2.842551907509077E-3</v>
      </c>
    </row>
    <row r="369" spans="16:17" x14ac:dyDescent="0.2">
      <c r="P369" s="407">
        <f>_xll.qlCalendarAdvance(Calendar,P368,"1D","f")</f>
        <v>42481</v>
      </c>
      <c r="Q369" s="262">
        <f>_xll.qlInterpolationInterpolate($M$1,P369,TRUE)</f>
        <v>2.8430110610111327E-3</v>
      </c>
    </row>
    <row r="370" spans="16:17" x14ac:dyDescent="0.2">
      <c r="P370" s="407">
        <f>_xll.qlCalendarAdvance(Calendar,P369,"1D","f")</f>
        <v>42482</v>
      </c>
      <c r="Q370" s="262">
        <f>_xll.qlInterpolationInterpolate($M$1,P370,TRUE)</f>
        <v>2.8434671975134567E-3</v>
      </c>
    </row>
    <row r="371" spans="16:17" x14ac:dyDescent="0.2">
      <c r="P371" s="407">
        <f>_xll.qlCalendarAdvance(Calendar,P370,"1D","f")</f>
        <v>42485</v>
      </c>
      <c r="Q371" s="262">
        <f>_xll.qlInterpolationInterpolate($M$1,P371,TRUE)</f>
        <v>2.8448190135219082E-3</v>
      </c>
    </row>
    <row r="372" spans="16:17" x14ac:dyDescent="0.2">
      <c r="P372" s="407">
        <f>_xll.qlCalendarAdvance(Calendar,P371,"1D","f")</f>
        <v>42486</v>
      </c>
      <c r="Q372" s="262">
        <f>_xll.qlInterpolationInterpolate($M$1,P372,TRUE)</f>
        <v>2.8452645905251732E-3</v>
      </c>
    </row>
    <row r="373" spans="16:17" x14ac:dyDescent="0.2">
      <c r="P373" s="407">
        <f>_xll.qlCalendarAdvance(Calendar,P372,"1D","f")</f>
        <v>42487</v>
      </c>
      <c r="Q373" s="262">
        <f>_xll.qlInterpolationInterpolate($M$1,P373,TRUE)</f>
        <v>2.8457079047786399E-3</v>
      </c>
    </row>
    <row r="374" spans="16:17" x14ac:dyDescent="0.2">
      <c r="P374" s="407">
        <f>_xll.qlCalendarAdvance(Calendar,P373,"1D","f")</f>
        <v>42488</v>
      </c>
      <c r="Q374" s="262">
        <f>_xll.qlInterpolationInterpolate($M$1,P374,TRUE)</f>
        <v>2.8461491071322949E-3</v>
      </c>
    </row>
    <row r="375" spans="16:17" x14ac:dyDescent="0.2">
      <c r="P375" s="407">
        <f>_xll.qlCalendarAdvance(Calendar,P374,"1D","f")</f>
        <v>42489</v>
      </c>
      <c r="Q375" s="262">
        <f>_xll.qlInterpolationInterpolate($M$1,P375,TRUE)</f>
        <v>2.8465883484361243E-3</v>
      </c>
    </row>
    <row r="376" spans="16:17" x14ac:dyDescent="0.2">
      <c r="P376" s="407">
        <f>_xll.qlCalendarAdvance(Calendar,P375,"1D","f")</f>
        <v>42492</v>
      </c>
      <c r="Q376" s="262">
        <f>_xll.qlInterpolationInterpolate($M$1,P376,TRUE)</f>
        <v>2.8478958145485267E-3</v>
      </c>
    </row>
    <row r="377" spans="16:17" x14ac:dyDescent="0.2">
      <c r="P377" s="407">
        <f>_xll.qlCalendarAdvance(Calendar,P376,"1D","f")</f>
        <v>42493</v>
      </c>
      <c r="Q377" s="262">
        <f>_xll.qlInterpolationInterpolate($M$1,P377,TRUE)</f>
        <v>2.848328720152921E-3</v>
      </c>
    </row>
    <row r="378" spans="16:17" x14ac:dyDescent="0.2">
      <c r="P378" s="407">
        <f>_xll.qlCalendarAdvance(Calendar,P377,"1D","f")</f>
        <v>42494</v>
      </c>
      <c r="Q378" s="262">
        <f>_xll.qlInterpolationInterpolate($M$1,P378,TRUE)</f>
        <v>2.8487604189574227E-3</v>
      </c>
    </row>
    <row r="379" spans="16:17" x14ac:dyDescent="0.2">
      <c r="P379" s="407">
        <f>_xll.qlCalendarAdvance(Calendar,P378,"1D","f")</f>
        <v>42495</v>
      </c>
      <c r="Q379" s="262">
        <f>_xll.qlInterpolationInterpolate($M$1,P379,TRUE)</f>
        <v>2.8491910618120182E-3</v>
      </c>
    </row>
    <row r="380" spans="16:17" x14ac:dyDescent="0.2">
      <c r="P380" s="407">
        <f>_xll.qlCalendarAdvance(Calendar,P379,"1D","f")</f>
        <v>42496</v>
      </c>
      <c r="Q380" s="262">
        <f>_xll.qlInterpolationInterpolate($M$1,P380,TRUE)</f>
        <v>2.8496207995666943E-3</v>
      </c>
    </row>
    <row r="381" spans="16:17" x14ac:dyDescent="0.2">
      <c r="P381" s="407">
        <f>_xll.qlCalendarAdvance(Calendar,P380,"1D","f")</f>
        <v>42499</v>
      </c>
      <c r="Q381" s="262">
        <f>_xll.qlInterpolationInterpolate($M$1,P381,TRUE)</f>
        <v>2.8509060907310727E-3</v>
      </c>
    </row>
    <row r="382" spans="16:17" x14ac:dyDescent="0.2">
      <c r="P382" s="407">
        <f>_xll.qlCalendarAdvance(Calendar,P381,"1D","f")</f>
        <v>42500</v>
      </c>
      <c r="Q382" s="262">
        <f>_xll.qlInterpolationInterpolate($M$1,P382,TRUE)</f>
        <v>2.851333716585937E-3</v>
      </c>
    </row>
    <row r="383" spans="16:17" ht="12" thickBot="1" x14ac:dyDescent="0.25">
      <c r="P383" s="408">
        <f>_xll.qlCalendarAdvance(Calendar,P382,"1D","f")</f>
        <v>42501</v>
      </c>
      <c r="Q383" s="266">
        <f>_xll.qlInterpolationInterpolate($M$1,P383,TRUE)</f>
        <v>2.8517611915908148E-3</v>
      </c>
    </row>
  </sheetData>
  <conditionalFormatting sqref="D3">
    <cfRule type="expression" dxfId="27" priority="18">
      <formula>$L$3</formula>
    </cfRule>
  </conditionalFormatting>
  <conditionalFormatting sqref="D4">
    <cfRule type="expression" dxfId="26" priority="17">
      <formula>$L$4</formula>
    </cfRule>
  </conditionalFormatting>
  <conditionalFormatting sqref="D5">
    <cfRule type="expression" dxfId="25" priority="16">
      <formula>$L$5</formula>
    </cfRule>
  </conditionalFormatting>
  <conditionalFormatting sqref="D6">
    <cfRule type="expression" dxfId="24" priority="15">
      <formula>$L$6</formula>
    </cfRule>
  </conditionalFormatting>
  <conditionalFormatting sqref="D7">
    <cfRule type="expression" dxfId="23" priority="14">
      <formula>$L$7</formula>
    </cfRule>
  </conditionalFormatting>
  <conditionalFormatting sqref="D8">
    <cfRule type="expression" dxfId="22" priority="13">
      <formula>$L$8</formula>
    </cfRule>
  </conditionalFormatting>
  <conditionalFormatting sqref="D9">
    <cfRule type="expression" dxfId="21" priority="12">
      <formula>$L$9</formula>
    </cfRule>
  </conditionalFormatting>
  <conditionalFormatting sqref="D10">
    <cfRule type="expression" dxfId="20" priority="11">
      <formula>$L$10</formula>
    </cfRule>
  </conditionalFormatting>
  <conditionalFormatting sqref="D11">
    <cfRule type="expression" dxfId="19" priority="10">
      <formula>$L$11</formula>
    </cfRule>
  </conditionalFormatting>
  <conditionalFormatting sqref="D12">
    <cfRule type="expression" dxfId="18" priority="9">
      <formula>$L$12</formula>
    </cfRule>
  </conditionalFormatting>
  <conditionalFormatting sqref="D13">
    <cfRule type="expression" dxfId="17" priority="8">
      <formula>$L$13</formula>
    </cfRule>
  </conditionalFormatting>
  <conditionalFormatting sqref="D14">
    <cfRule type="expression" dxfId="16" priority="7">
      <formula>$L$14</formula>
    </cfRule>
  </conditionalFormatting>
  <conditionalFormatting sqref="D15">
    <cfRule type="expression" dxfId="15" priority="6">
      <formula>$L$15</formula>
    </cfRule>
  </conditionalFormatting>
  <conditionalFormatting sqref="D16">
    <cfRule type="expression" dxfId="14" priority="5">
      <formula>$L$16</formula>
    </cfRule>
  </conditionalFormatting>
  <conditionalFormatting sqref="D17">
    <cfRule type="expression" dxfId="13" priority="4">
      <formula>$L$17</formula>
    </cfRule>
  </conditionalFormatting>
  <conditionalFormatting sqref="D18">
    <cfRule type="expression" dxfId="12" priority="3">
      <formula>$L$18</formula>
    </cfRule>
  </conditionalFormatting>
  <conditionalFormatting sqref="D19">
    <cfRule type="expression" dxfId="11" priority="2">
      <formula>$L$19</formula>
    </cfRule>
  </conditionalFormatting>
  <conditionalFormatting sqref="D20">
    <cfRule type="expression" dxfId="10" priority="1">
      <formula>$L$20</formula>
    </cfRule>
  </conditionalFormatting>
  <dataValidations count="1">
    <dataValidation type="list" allowBlank="1" showInputMessage="1" showErrorMessage="1" sqref="L2:L20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4" hidden="1" customWidth="1" outlineLevel="1"/>
    <col min="2" max="2" width="7" style="44" hidden="1" customWidth="1" outlineLevel="1"/>
    <col min="3" max="3" width="3.5" style="44" hidden="1" customWidth="1" outlineLevel="1"/>
    <col min="4" max="4" width="2.33203125" style="298" hidden="1" customWidth="1" outlineLevel="1"/>
    <col min="5" max="5" width="4.6640625" style="298" hidden="1" customWidth="1" outlineLevel="1"/>
    <col min="6" max="6" width="8.1640625" style="44" hidden="1" customWidth="1" outlineLevel="1"/>
    <col min="7" max="7" width="22.5" style="44" hidden="1" customWidth="1" outlineLevel="1"/>
    <col min="8" max="8" width="12.83203125" style="44" hidden="1" customWidth="1" outlineLevel="1"/>
    <col min="9" max="9" width="9.33203125" style="44" hidden="1" customWidth="1" outlineLevel="1"/>
    <col min="10" max="10" width="31.1640625" style="44" hidden="1" customWidth="1" outlineLevel="1"/>
    <col min="11" max="11" width="17.83203125" style="300" hidden="1" customWidth="1" outlineLevel="1"/>
    <col min="12" max="12" width="26.33203125" style="44" hidden="1" customWidth="1" outlineLevel="1"/>
    <col min="13" max="13" width="2.83203125" style="44" customWidth="1" collapsed="1"/>
    <col min="14" max="14" width="31.1640625" style="44" bestFit="1" customWidth="1"/>
    <col min="15" max="15" width="17.83203125" style="44" bestFit="1" customWidth="1"/>
    <col min="16" max="20" width="20.1640625" style="44" bestFit="1" customWidth="1"/>
    <col min="21" max="21" width="6.1640625" style="44" customWidth="1"/>
    <col min="22" max="22" width="7" style="44" customWidth="1"/>
    <col min="23" max="23" width="9.33203125" style="44" customWidth="1"/>
    <col min="24" max="24" width="9.33203125" style="44" bestFit="1" customWidth="1"/>
    <col min="25" max="25" width="7" style="44" bestFit="1" customWidth="1"/>
    <col min="26" max="16384" width="9.33203125" style="44"/>
  </cols>
  <sheetData>
    <row r="1" spans="1:19" ht="11.25" customHeight="1" x14ac:dyDescent="0.2">
      <c r="D1" s="44"/>
      <c r="E1" s="44"/>
      <c r="J1" s="44" t="s">
        <v>43</v>
      </c>
      <c r="K1" s="44" t="str">
        <f>_xll.qlEuribor(,"1M",,,Trigger)</f>
        <v>obj_0050b#0001</v>
      </c>
      <c r="L1" s="44" t="str">
        <f>_xll.ohRangeRetrieveError(K1)</f>
        <v/>
      </c>
    </row>
    <row r="2" spans="1:19" ht="24" customHeight="1" x14ac:dyDescent="0.2">
      <c r="A2" s="269"/>
      <c r="B2" s="270" t="s">
        <v>159</v>
      </c>
      <c r="C2" s="270"/>
      <c r="D2" s="271"/>
      <c r="E2" s="271"/>
      <c r="F2" s="270" t="s">
        <v>160</v>
      </c>
      <c r="G2" s="270" t="s">
        <v>161</v>
      </c>
      <c r="H2" s="270" t="s">
        <v>162</v>
      </c>
      <c r="I2" s="270" t="s">
        <v>163</v>
      </c>
      <c r="J2" s="270" t="s">
        <v>80</v>
      </c>
      <c r="K2" s="270" t="s">
        <v>81</v>
      </c>
      <c r="L2" s="272" t="s">
        <v>39</v>
      </c>
      <c r="M2" s="273"/>
      <c r="N2" s="274" t="s">
        <v>164</v>
      </c>
      <c r="O2" s="274" t="s">
        <v>82</v>
      </c>
      <c r="P2" s="274" t="s">
        <v>163</v>
      </c>
      <c r="Q2" s="274" t="s">
        <v>83</v>
      </c>
      <c r="R2" s="270" t="s">
        <v>84</v>
      </c>
      <c r="S2" s="270" t="s">
        <v>85</v>
      </c>
    </row>
    <row r="3" spans="1:19" ht="11.25" customHeight="1" x14ac:dyDescent="0.2">
      <c r="A3" s="275"/>
      <c r="B3" s="276" t="s">
        <v>169</v>
      </c>
      <c r="C3" s="334"/>
      <c r="D3" s="335"/>
      <c r="E3" s="335"/>
      <c r="F3" s="332"/>
      <c r="G3" s="332"/>
      <c r="H3" s="332"/>
      <c r="I3" s="336"/>
      <c r="J3" s="306" t="str">
        <f>PROPER((Currency))&amp;IborType&amp;J1&amp;"LastFixing"&amp;QuoteSuffix</f>
        <v>Euribor1MLastFixing_Quote</v>
      </c>
      <c r="K3" s="333" t="str">
        <f>_xll.qlDepositRateHelper(,J3,K1,,Trigger)</f>
        <v>obj_00567#0001</v>
      </c>
      <c r="L3" s="344" t="str">
        <f>_xll.ohRangeRetrieveError(K3)</f>
        <v/>
      </c>
      <c r="M3" s="284"/>
      <c r="N3" s="283" t="str">
        <f>_xll.qlRateHelperQuoteName(K3,Trigger)</f>
        <v>Euribor1MLastFixing_Quote</v>
      </c>
      <c r="O3" s="285">
        <f>_xll.qlQuoteValue(J3,AllTriggers)</f>
        <v>8.9999999999999992E-5</v>
      </c>
      <c r="P3" s="354" t="str">
        <f>IF(ISBLANK(I3),"--",_xll.qlSwapRateHelperSpread(K3,AllTriggers))</f>
        <v>--</v>
      </c>
      <c r="Q3" s="283" t="b">
        <v>1</v>
      </c>
      <c r="R3" s="286">
        <f>_xll.qlRateHelperEarliestDate(K3,Trigger)</f>
        <v>41954</v>
      </c>
      <c r="S3" s="286">
        <f>_xll.qlRateHelperLatestDate(K3,Trigger)</f>
        <v>41984</v>
      </c>
    </row>
    <row r="4" spans="1:19" ht="11.25" customHeight="1" x14ac:dyDescent="0.2">
      <c r="A4" s="275"/>
      <c r="B4" s="337" t="s">
        <v>169</v>
      </c>
      <c r="C4" s="338" t="s">
        <v>50</v>
      </c>
      <c r="D4" s="339">
        <v>2</v>
      </c>
      <c r="E4" s="339" t="s">
        <v>170</v>
      </c>
      <c r="F4" s="337" t="s">
        <v>171</v>
      </c>
      <c r="G4" s="340" t="s">
        <v>165</v>
      </c>
      <c r="H4" s="340" t="s">
        <v>16</v>
      </c>
      <c r="I4" s="341">
        <v>0</v>
      </c>
      <c r="J4" s="342" t="str">
        <f t="shared" ref="J4:J9" si="0">Currency&amp;$D4&amp;$E4&amp;"_Quote"</f>
        <v>EUR2X1S_Quote</v>
      </c>
      <c r="K4" s="343" t="str">
        <f>_xll.qlSwapRateHelper2(,$J4,C4,Calendar,$F4,$G4,$H4,$K$1,$I4,B4,Discounting,Permanent,Trigger,ObjectOverwrite)</f>
        <v>obj_0050d#0001</v>
      </c>
      <c r="L4" s="344" t="str">
        <f>_xll.ohRangeRetrieveError(K4)</f>
        <v/>
      </c>
      <c r="M4" s="284"/>
      <c r="N4" s="283" t="str">
        <f>_xll.qlRateHelperQuoteName(K4,Trigger)</f>
        <v>EUR2X1S_Quote</v>
      </c>
      <c r="O4" s="285">
        <f>_xll.qlQuoteValue(J4,AllTriggers)</f>
        <v>6.0000000000000002E-5</v>
      </c>
      <c r="P4" s="405">
        <f>IF(ISBLANK(I4),"--",_xll.qlSwapRateHelperSpread(K4,AllTriggers))</f>
        <v>0</v>
      </c>
      <c r="Q4" s="283" t="b">
        <v>1</v>
      </c>
      <c r="R4" s="286">
        <f>_xll.qlRateHelperEarliestDate(K4,Trigger)</f>
        <v>41954</v>
      </c>
      <c r="S4" s="286">
        <f>_xll.qlRateHelperLatestDate(K4,Trigger)</f>
        <v>42016</v>
      </c>
    </row>
    <row r="5" spans="1:19" ht="11.25" customHeight="1" x14ac:dyDescent="0.2">
      <c r="A5" s="275"/>
      <c r="B5" s="276" t="s">
        <v>169</v>
      </c>
      <c r="C5" s="277" t="s">
        <v>44</v>
      </c>
      <c r="D5" s="278">
        <v>3</v>
      </c>
      <c r="E5" s="278" t="s">
        <v>170</v>
      </c>
      <c r="F5" s="276" t="s">
        <v>171</v>
      </c>
      <c r="G5" s="279" t="s">
        <v>165</v>
      </c>
      <c r="H5" s="279" t="s">
        <v>16</v>
      </c>
      <c r="I5" s="280">
        <v>0</v>
      </c>
      <c r="J5" s="281" t="str">
        <f t="shared" si="0"/>
        <v>EUR3X1S_Quote</v>
      </c>
      <c r="K5" s="282" t="str">
        <f>_xll.qlSwapRateHelper2(,$J5,C5,Calendar,$F5,$G5,$H5,$K$1,$I5,B5,Discounting,Permanent,Trigger,ObjectOverwrite)</f>
        <v>obj_00511#0001</v>
      </c>
      <c r="L5" s="283" t="str">
        <f>_xll.ohRangeRetrieveError(K5)</f>
        <v/>
      </c>
      <c r="M5" s="284"/>
      <c r="N5" s="283" t="str">
        <f>_xll.qlRateHelperQuoteName(K5,Trigger)</f>
        <v>EUR3X1S_Quote</v>
      </c>
      <c r="O5" s="285">
        <f>_xll.qlQuoteValue(J5,AllTriggers)</f>
        <v>6.0000000000000002E-5</v>
      </c>
      <c r="P5" s="405">
        <f>IF(ISBLANK(I5),"--",_xll.qlSwapRateHelperSpread(K5,AllTriggers))</f>
        <v>0</v>
      </c>
      <c r="Q5" s="283" t="b">
        <v>1</v>
      </c>
      <c r="R5" s="286">
        <f>_xll.qlRateHelperEarliestDate(K5,Trigger)</f>
        <v>41954</v>
      </c>
      <c r="S5" s="286">
        <f>_xll.qlRateHelperLatestDate(K5,Trigger)</f>
        <v>42046</v>
      </c>
    </row>
    <row r="6" spans="1:19" ht="11.25" customHeight="1" x14ac:dyDescent="0.2">
      <c r="A6" s="269"/>
      <c r="B6" s="276" t="s">
        <v>169</v>
      </c>
      <c r="C6" s="277" t="s">
        <v>51</v>
      </c>
      <c r="D6" s="278">
        <v>4</v>
      </c>
      <c r="E6" s="278" t="s">
        <v>170</v>
      </c>
      <c r="F6" s="276" t="s">
        <v>171</v>
      </c>
      <c r="G6" s="279" t="s">
        <v>165</v>
      </c>
      <c r="H6" s="279" t="s">
        <v>16</v>
      </c>
      <c r="I6" s="280">
        <v>0</v>
      </c>
      <c r="J6" s="281" t="str">
        <f t="shared" si="0"/>
        <v>EUR4X1S_Quote</v>
      </c>
      <c r="K6" s="282" t="str">
        <f>_xll.qlSwapRateHelper2(,$J6,C6,Calendar,$F6,$G6,$H6,$K$1,$I6,B6,Discounting,Permanent,Trigger,ObjectOverwrite)</f>
        <v>obj_00510#0001</v>
      </c>
      <c r="L6" s="283" t="str">
        <f>_xll.ohRangeRetrieveError(K6)</f>
        <v/>
      </c>
      <c r="M6" s="284"/>
      <c r="N6" s="283" t="str">
        <f>_xll.qlRateHelperQuoteName(K6,Trigger)</f>
        <v>EUR4X1S_Quote</v>
      </c>
      <c r="O6" s="285">
        <f>_xll.qlQuoteValue(J6,AllTriggers)</f>
        <v>7.0000000000000007E-5</v>
      </c>
      <c r="P6" s="405">
        <f>IF(ISBLANK(I6),"--",_xll.qlSwapRateHelperSpread(K6,AllTriggers))</f>
        <v>0</v>
      </c>
      <c r="Q6" s="283" t="b">
        <v>1</v>
      </c>
      <c r="R6" s="286">
        <f>_xll.qlRateHelperEarliestDate(K6,Trigger)</f>
        <v>41954</v>
      </c>
      <c r="S6" s="286">
        <f>_xll.qlRateHelperLatestDate(K6,Trigger)</f>
        <v>42074</v>
      </c>
    </row>
    <row r="7" spans="1:19" ht="11.25" customHeight="1" x14ac:dyDescent="0.2">
      <c r="A7" s="269"/>
      <c r="B7" s="276" t="s">
        <v>169</v>
      </c>
      <c r="C7" s="277" t="s">
        <v>52</v>
      </c>
      <c r="D7" s="278">
        <v>5</v>
      </c>
      <c r="E7" s="278" t="s">
        <v>170</v>
      </c>
      <c r="F7" s="276" t="s">
        <v>171</v>
      </c>
      <c r="G7" s="279" t="s">
        <v>165</v>
      </c>
      <c r="H7" s="279" t="s">
        <v>16</v>
      </c>
      <c r="I7" s="280">
        <v>0</v>
      </c>
      <c r="J7" s="281" t="str">
        <f t="shared" si="0"/>
        <v>EUR5X1S_Quote</v>
      </c>
      <c r="K7" s="282" t="str">
        <f>_xll.qlSwapRateHelper2(,$J7,C7,Calendar,$F7,$G7,$H7,$K$1,$I7,B7,Discounting,Permanent,Trigger,ObjectOverwrite)</f>
        <v>obj_0050f#0001</v>
      </c>
      <c r="L7" s="283" t="str">
        <f>_xll.ohRangeRetrieveError(K7)</f>
        <v/>
      </c>
      <c r="M7" s="284"/>
      <c r="N7" s="283" t="str">
        <f>_xll.qlRateHelperQuoteName(K7,Trigger)</f>
        <v>EUR5X1S_Quote</v>
      </c>
      <c r="O7" s="285">
        <f>_xll.qlQuoteValue(J7,AllTriggers)</f>
        <v>6.0000000000000002E-5</v>
      </c>
      <c r="P7" s="405">
        <f>IF(ISBLANK(I7),"--",_xll.qlSwapRateHelperSpread(K7,AllTriggers))</f>
        <v>0</v>
      </c>
      <c r="Q7" s="283" t="b">
        <v>1</v>
      </c>
      <c r="R7" s="286">
        <f>_xll.qlRateHelperEarliestDate(K7,Trigger)</f>
        <v>41954</v>
      </c>
      <c r="S7" s="286">
        <f>_xll.qlRateHelperLatestDate(K7,Trigger)</f>
        <v>42107</v>
      </c>
    </row>
    <row r="8" spans="1:19" ht="11.25" customHeight="1" x14ac:dyDescent="0.2">
      <c r="A8" s="269"/>
      <c r="B8" s="276" t="s">
        <v>169</v>
      </c>
      <c r="C8" s="277" t="s">
        <v>45</v>
      </c>
      <c r="D8" s="278">
        <v>6</v>
      </c>
      <c r="E8" s="278" t="s">
        <v>170</v>
      </c>
      <c r="F8" s="276" t="s">
        <v>171</v>
      </c>
      <c r="G8" s="279" t="s">
        <v>165</v>
      </c>
      <c r="H8" s="279" t="s">
        <v>16</v>
      </c>
      <c r="I8" s="280">
        <v>0</v>
      </c>
      <c r="J8" s="281" t="str">
        <f t="shared" si="0"/>
        <v>EUR6X1S_Quote</v>
      </c>
      <c r="K8" s="282" t="str">
        <f>_xll.qlSwapRateHelper2(,$J8,C8,Calendar,$F8,$G8,$H8,$K$1,$I8,B8,Discounting,Permanent,Trigger,ObjectOverwrite)</f>
        <v>obj_0050e#0001</v>
      </c>
      <c r="L8" s="283" t="str">
        <f>_xll.ohRangeRetrieveError(K8)</f>
        <v/>
      </c>
      <c r="M8" s="284"/>
      <c r="N8" s="283" t="str">
        <f>_xll.qlRateHelperQuoteName(K8,Trigger)</f>
        <v>EUR6X1S_Quote</v>
      </c>
      <c r="O8" s="285">
        <f>_xll.qlQuoteValue(J8,AllTriggers)</f>
        <v>3.9999999999999983E-5</v>
      </c>
      <c r="P8" s="405">
        <f>IF(ISBLANK(I8),"--",_xll.qlSwapRateHelperSpread(K8,AllTriggers))</f>
        <v>0</v>
      </c>
      <c r="Q8" s="283" t="b">
        <v>0</v>
      </c>
      <c r="R8" s="286">
        <f>_xll.qlRateHelperEarliestDate(K8,Trigger)</f>
        <v>41954</v>
      </c>
      <c r="S8" s="286">
        <f>_xll.qlRateHelperLatestDate(K8,Trigger)</f>
        <v>42135</v>
      </c>
    </row>
    <row r="9" spans="1:19" ht="11.25" customHeight="1" x14ac:dyDescent="0.2">
      <c r="B9" s="287" t="s">
        <v>169</v>
      </c>
      <c r="C9" s="288" t="s">
        <v>53</v>
      </c>
      <c r="D9" s="289">
        <v>7</v>
      </c>
      <c r="E9" s="289" t="s">
        <v>170</v>
      </c>
      <c r="F9" s="287" t="s">
        <v>171</v>
      </c>
      <c r="G9" s="290" t="s">
        <v>165</v>
      </c>
      <c r="H9" s="290" t="s">
        <v>16</v>
      </c>
      <c r="I9" s="291">
        <v>0</v>
      </c>
      <c r="J9" s="330" t="str">
        <f t="shared" si="0"/>
        <v>EUR7X1S_Quote</v>
      </c>
      <c r="K9" s="331" t="str">
        <f>_xll.qlSwapRateHelper2(,$J9,C9,Calendar,$F9,$G9,$H9,$K$1,$I9,B9,Discounting,Permanent,Trigger,ObjectOverwrite)</f>
        <v>obj_0050c#0001</v>
      </c>
      <c r="L9" s="292" t="str">
        <f>_xll.ohRangeRetrieveError(K9)</f>
        <v/>
      </c>
      <c r="N9" s="292" t="str">
        <f>_xll.qlRateHelperQuoteName(K9,Trigger)</f>
        <v>EUR7X1S_Quote</v>
      </c>
      <c r="O9" s="293">
        <f>_xll.qlQuoteValue(J9,AllTriggers)</f>
        <v>1.0000000000000009E-5</v>
      </c>
      <c r="P9" s="406">
        <f>IF(ISBLANK(I9),"--",_xll.qlSwapRateHelperSpread(K9,AllTriggers))</f>
        <v>0</v>
      </c>
      <c r="Q9" s="292" t="b">
        <v>0</v>
      </c>
      <c r="R9" s="294">
        <f>_xll.qlRateHelperEarliestDate(K9,Trigger)</f>
        <v>41954</v>
      </c>
      <c r="S9" s="294">
        <f>_xll.qlRateHelperLatestDate(K9,Trigger)</f>
        <v>42166</v>
      </c>
    </row>
    <row r="10" spans="1:19" x14ac:dyDescent="0.2">
      <c r="D10" s="44"/>
      <c r="E10" s="44"/>
      <c r="K10" s="44"/>
      <c r="L10" s="284"/>
    </row>
    <row r="11" spans="1:19" x14ac:dyDescent="0.2">
      <c r="I11" s="299"/>
      <c r="J11" s="299"/>
      <c r="N11" s="295" t="s">
        <v>172</v>
      </c>
      <c r="O11" s="296"/>
      <c r="P11" s="296"/>
      <c r="Q11" s="296"/>
      <c r="R11" s="296"/>
      <c r="S11" s="297"/>
    </row>
    <row r="12" spans="1:19" x14ac:dyDescent="0.2">
      <c r="L12" s="274" t="s">
        <v>166</v>
      </c>
      <c r="N12" s="274" t="s">
        <v>91</v>
      </c>
      <c r="O12" s="274" t="s">
        <v>92</v>
      </c>
      <c r="P12" s="274" t="s">
        <v>163</v>
      </c>
      <c r="Q12" s="274" t="s">
        <v>84</v>
      </c>
      <c r="R12" s="274" t="s">
        <v>85</v>
      </c>
      <c r="S12" s="301">
        <f t="array" ref="S12:S21">_xll.qlPiecewiseYieldCurveData('General Settings'!J35,InterestRatesTrigger)</f>
        <v>1</v>
      </c>
    </row>
    <row r="13" spans="1:19" x14ac:dyDescent="0.2">
      <c r="I13" s="299"/>
      <c r="J13" s="299"/>
      <c r="L13" s="306" t="str">
        <f t="array" ref="L13:L21">_xll.ohFilter(K3:K9,Q3:Q9)</f>
        <v>obj_00567#0001</v>
      </c>
      <c r="N13" s="304" t="str">
        <f t="array" ref="N13:N21">_xll.ohFilter(N3:N8,Q3:Q8)</f>
        <v>Euribor1MLastFixing_Quote</v>
      </c>
      <c r="O13" s="285">
        <f t="array" ref="O13:O21">_xll.ohFilter(O3:O8,Q3:Q8)</f>
        <v>8.9999999999999992E-5</v>
      </c>
      <c r="P13" s="354" t="str">
        <f t="array" ref="P13:P21">_xll.ohFilter(P3:P8,Q3:Q8)</f>
        <v>--</v>
      </c>
      <c r="Q13" s="286">
        <f t="array" ref="Q13:Q21">_xll.ohFilter(R3:R8,Q3:Q8)</f>
        <v>41954</v>
      </c>
      <c r="R13" s="286">
        <f t="array" ref="R13:R21">_xll.ohFilter(S3:S8,Q3:Q8)</f>
        <v>41984</v>
      </c>
      <c r="S13" s="302">
        <v>0.99999250005624962</v>
      </c>
    </row>
    <row r="14" spans="1:19" x14ac:dyDescent="0.2">
      <c r="L14" s="307" t="str">
        <v>obj_0050d#0001</v>
      </c>
      <c r="N14" s="304" t="str">
        <v>EUR2X1S_Quote</v>
      </c>
      <c r="O14" s="285">
        <v>6.0000000000000002E-5</v>
      </c>
      <c r="P14" s="354">
        <v>0</v>
      </c>
      <c r="Q14" s="286">
        <v>41954</v>
      </c>
      <c r="R14" s="286">
        <v>42016</v>
      </c>
      <c r="S14" s="302">
        <v>0.99998966655400479</v>
      </c>
    </row>
    <row r="15" spans="1:19" x14ac:dyDescent="0.2">
      <c r="I15" s="299"/>
      <c r="J15" s="299"/>
      <c r="L15" s="307" t="str">
        <v>obj_00511#0001</v>
      </c>
      <c r="N15" s="304" t="str">
        <v>EUR3X1S_Quote</v>
      </c>
      <c r="O15" s="285">
        <v>6.0000000000000002E-5</v>
      </c>
      <c r="P15" s="354">
        <v>0</v>
      </c>
      <c r="Q15" s="286">
        <v>41954</v>
      </c>
      <c r="R15" s="286">
        <v>42046</v>
      </c>
      <c r="S15" s="302">
        <v>0.99998466633938576</v>
      </c>
    </row>
    <row r="16" spans="1:19" x14ac:dyDescent="0.2">
      <c r="L16" s="307" t="str">
        <v>obj_00510#0001</v>
      </c>
      <c r="N16" s="304" t="str">
        <v>EUR4X1S_Quote</v>
      </c>
      <c r="O16" s="285">
        <v>7.0000000000000007E-5</v>
      </c>
      <c r="P16" s="354">
        <v>0</v>
      </c>
      <c r="Q16" s="286">
        <v>41954</v>
      </c>
      <c r="R16" s="286">
        <v>42074</v>
      </c>
      <c r="S16" s="302">
        <v>0.99997666623956383</v>
      </c>
    </row>
    <row r="17" spans="9:19" x14ac:dyDescent="0.2">
      <c r="I17" s="299"/>
      <c r="J17" s="299"/>
      <c r="L17" s="307" t="str">
        <v>obj_0050f#0001</v>
      </c>
      <c r="N17" s="304" t="str">
        <v>EUR5X1S_Quote</v>
      </c>
      <c r="O17" s="285">
        <v>6.0000000000000002E-5</v>
      </c>
      <c r="P17" s="354">
        <v>0</v>
      </c>
      <c r="Q17" s="286">
        <v>41954</v>
      </c>
      <c r="R17" s="286">
        <v>42107</v>
      </c>
      <c r="S17" s="302">
        <v>0.99997449891159584</v>
      </c>
    </row>
    <row r="18" spans="9:19" x14ac:dyDescent="0.2">
      <c r="L18" s="307" t="e">
        <v>#N/A</v>
      </c>
      <c r="N18" s="304" t="e">
        <v>#N/A</v>
      </c>
      <c r="O18" s="285" t="e">
        <v>#N/A</v>
      </c>
      <c r="P18" s="354" t="e">
        <v>#N/A</v>
      </c>
      <c r="Q18" s="286" t="e">
        <v>#N/A</v>
      </c>
      <c r="R18" s="286" t="e">
        <v>#N/A</v>
      </c>
      <c r="S18" s="302" t="e">
        <v>#N/A</v>
      </c>
    </row>
    <row r="19" spans="9:19" x14ac:dyDescent="0.2">
      <c r="I19" s="299"/>
      <c r="J19" s="299"/>
      <c r="L19" s="307" t="e">
        <v>#N/A</v>
      </c>
      <c r="N19" s="304" t="e">
        <v>#N/A</v>
      </c>
      <c r="O19" s="285" t="e">
        <v>#N/A</v>
      </c>
      <c r="P19" s="354" t="e">
        <v>#N/A</v>
      </c>
      <c r="Q19" s="286" t="e">
        <v>#N/A</v>
      </c>
      <c r="R19" s="286" t="e">
        <v>#N/A</v>
      </c>
      <c r="S19" s="302" t="e">
        <v>#N/A</v>
      </c>
    </row>
    <row r="20" spans="9:19" x14ac:dyDescent="0.2">
      <c r="L20" s="307" t="e">
        <v>#N/A</v>
      </c>
      <c r="N20" s="304" t="e">
        <v>#N/A</v>
      </c>
      <c r="O20" s="285" t="e">
        <v>#N/A</v>
      </c>
      <c r="P20" s="354" t="e">
        <v>#N/A</v>
      </c>
      <c r="Q20" s="286" t="e">
        <v>#N/A</v>
      </c>
      <c r="R20" s="286" t="e">
        <v>#N/A</v>
      </c>
      <c r="S20" s="302" t="e">
        <v>#N/A</v>
      </c>
    </row>
    <row r="21" spans="9:19" x14ac:dyDescent="0.2">
      <c r="I21" s="299"/>
      <c r="J21" s="299"/>
      <c r="L21" s="308" t="e">
        <v>#N/A</v>
      </c>
      <c r="N21" s="305" t="e">
        <v>#N/A</v>
      </c>
      <c r="O21" s="293" t="e">
        <v>#N/A</v>
      </c>
      <c r="P21" s="355" t="e">
        <v>#N/A</v>
      </c>
      <c r="Q21" s="294" t="e">
        <v>#N/A</v>
      </c>
      <c r="R21" s="294" t="e">
        <v>#N/A</v>
      </c>
      <c r="S21" s="303" t="e">
        <v>#N/A</v>
      </c>
    </row>
    <row r="22" spans="9:19" x14ac:dyDescent="0.2">
      <c r="L22" s="332"/>
    </row>
    <row r="23" spans="9:19" ht="12" thickBot="1" x14ac:dyDescent="0.25">
      <c r="I23" s="299"/>
      <c r="J23" s="299"/>
      <c r="N23" s="44" t="str">
        <f>_xll.qlEuribor(,"1M",'General Settings'!J35,,Trigger)</f>
        <v>obj_00596#0001</v>
      </c>
    </row>
    <row r="24" spans="9:19" ht="12" thickBot="1" x14ac:dyDescent="0.25">
      <c r="N24" s="309" t="s">
        <v>173</v>
      </c>
      <c r="O24" s="309"/>
      <c r="P24" s="310"/>
      <c r="Q24" s="310"/>
      <c r="R24" s="311"/>
    </row>
    <row r="25" spans="9:19" ht="12" thickBot="1" x14ac:dyDescent="0.25">
      <c r="I25" s="299"/>
      <c r="J25" s="299"/>
      <c r="N25" s="312" t="s">
        <v>174</v>
      </c>
      <c r="O25" s="313" t="s">
        <v>167</v>
      </c>
      <c r="P25" s="313" t="s">
        <v>93</v>
      </c>
      <c r="Q25" s="313" t="s">
        <v>94</v>
      </c>
      <c r="R25" s="313" t="s">
        <v>168</v>
      </c>
      <c r="S25" s="314" t="s">
        <v>96</v>
      </c>
    </row>
    <row r="26" spans="9:19" x14ac:dyDescent="0.2">
      <c r="N26" s="315" t="s">
        <v>43</v>
      </c>
      <c r="O26" s="317" t="str">
        <f>Currency&amp;"0X1"&amp;"F"</f>
        <v>EUR0X1F</v>
      </c>
      <c r="P26" s="320">
        <f>_xll.qlInterestRateIndexFixingDate($N$23,Q26,Trigger)</f>
        <v>41950</v>
      </c>
      <c r="Q26" s="316">
        <f>SettlementDate</f>
        <v>41954</v>
      </c>
      <c r="R26" s="316">
        <f>_xll.qlInterestRateIndexMaturity($N$23,Q26,Trigger)</f>
        <v>41984</v>
      </c>
      <c r="S26" s="318">
        <f>_xll.qlIndexFixing($N$23,P26,TRUE,AllTriggers)</f>
        <v>8.9999999999257341E-5</v>
      </c>
    </row>
    <row r="27" spans="9:19" x14ac:dyDescent="0.2">
      <c r="I27" s="299"/>
      <c r="J27" s="299"/>
      <c r="N27" s="319" t="s">
        <v>50</v>
      </c>
      <c r="O27" s="321" t="str">
        <f>Currency&amp;"1x2"&amp;"F"</f>
        <v>EUR1x2F</v>
      </c>
      <c r="P27" s="320">
        <f>_xll.qlInterestRateIndexFixingDate($N$23,Q27,Trigger)</f>
        <v>41982</v>
      </c>
      <c r="Q27" s="320">
        <f>R26</f>
        <v>41984</v>
      </c>
      <c r="R27" s="320">
        <f>_xll.qlInterestRateIndexMaturity($N$23,Q27,Trigger)</f>
        <v>42016</v>
      </c>
      <c r="S27" s="322">
        <f>_xll.qlIndexFixing($N$23,P27,TRUE,AllTriggers)</f>
        <v>3.1877229655918882E-5</v>
      </c>
    </row>
    <row r="28" spans="9:19" x14ac:dyDescent="0.2">
      <c r="N28" s="319" t="s">
        <v>44</v>
      </c>
      <c r="O28" s="321" t="str">
        <f>Currency&amp;"2x3"&amp;"F"</f>
        <v>EUR2x3F</v>
      </c>
      <c r="P28" s="320">
        <f>_xll.qlInterestRateIndexFixingDate($N$23,Q28,Trigger)</f>
        <v>42012</v>
      </c>
      <c r="Q28" s="320">
        <f>R27</f>
        <v>42016</v>
      </c>
      <c r="R28" s="320">
        <f>_xll.qlInterestRateIndexMaturity($N$23,Q28,Trigger)</f>
        <v>42047</v>
      </c>
      <c r="S28" s="322">
        <f>_xll.qlIndexFixing($N$23,P28,TRUE,AllTriggers)</f>
        <v>6.1385993839059263E-5</v>
      </c>
    </row>
    <row r="29" spans="9:19" ht="12" thickBot="1" x14ac:dyDescent="0.25">
      <c r="I29" s="299"/>
      <c r="J29" s="299"/>
      <c r="N29" s="323" t="s">
        <v>51</v>
      </c>
      <c r="O29" s="325" t="str">
        <f>Currency&amp;"3x4"&amp;"F"</f>
        <v>EUR3x4F</v>
      </c>
      <c r="P29" s="324">
        <f>_xll.qlInterestRateIndexFixingDate($N$23,Q29,Trigger)</f>
        <v>42045</v>
      </c>
      <c r="Q29" s="324">
        <f>R28</f>
        <v>42047</v>
      </c>
      <c r="R29" s="324">
        <f>_xll.qlInterestRateIndexMaturity($N$23,Q29,Trigger)</f>
        <v>42075</v>
      </c>
      <c r="S29" s="326">
        <f>_xll.qlIndexFixing($N$23,P29,TRUE,AllTriggers)</f>
        <v>1.0003165195314269E-4</v>
      </c>
    </row>
    <row r="31" spans="9:19" x14ac:dyDescent="0.2">
      <c r="I31" s="299"/>
      <c r="J31" s="299"/>
    </row>
    <row r="33" spans="9:10" x14ac:dyDescent="0.2">
      <c r="I33" s="299"/>
      <c r="J33" s="299"/>
    </row>
    <row r="35" spans="9:10" x14ac:dyDescent="0.2">
      <c r="I35" s="299"/>
      <c r="J35" s="299"/>
    </row>
    <row r="37" spans="9:10" x14ac:dyDescent="0.2">
      <c r="I37" s="299"/>
      <c r="J37" s="299"/>
    </row>
  </sheetData>
  <dataValidations count="4">
    <dataValidation type="list" allowBlank="1" showInputMessage="1" showErrorMessage="1" sqref="Q3:Q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4" hidden="1" customWidth="1" outlineLevel="1"/>
    <col min="2" max="3" width="7" style="44" hidden="1" customWidth="1" outlineLevel="1"/>
    <col min="4" max="4" width="7" style="298" hidden="1" customWidth="1" outlineLevel="1"/>
    <col min="5" max="5" width="3.5" style="298" hidden="1" customWidth="1" outlineLevel="1"/>
    <col min="6" max="6" width="8.1640625" style="44" hidden="1" customWidth="1" outlineLevel="1"/>
    <col min="7" max="7" width="22.6640625" style="44" hidden="1" customWidth="1" outlineLevel="1"/>
    <col min="8" max="8" width="23.83203125" style="44" hidden="1" customWidth="1" outlineLevel="1"/>
    <col min="9" max="9" width="9.33203125" style="44" hidden="1" customWidth="1" outlineLevel="1"/>
    <col min="10" max="10" width="31.1640625" style="44" hidden="1" customWidth="1" outlineLevel="1"/>
    <col min="11" max="11" width="17.83203125" style="300" hidden="1" customWidth="1" outlineLevel="1"/>
    <col min="12" max="12" width="26.33203125" style="44" hidden="1" customWidth="1" outlineLevel="1"/>
    <col min="13" max="13" width="2.83203125" style="44" customWidth="1" collapsed="1"/>
    <col min="14" max="14" width="31.1640625" style="44" bestFit="1" customWidth="1"/>
    <col min="15" max="15" width="14.1640625" style="44" bestFit="1" customWidth="1"/>
    <col min="16" max="19" width="20.1640625" style="44" bestFit="1" customWidth="1"/>
    <col min="20" max="20" width="17.83203125" style="44" hidden="1" customWidth="1" outlineLevel="1"/>
    <col min="21" max="21" width="10.5" style="44" bestFit="1" customWidth="1" collapsed="1"/>
    <col min="22" max="22" width="9.33203125" style="44" bestFit="1" customWidth="1"/>
    <col min="23" max="23" width="11.6640625" style="44" bestFit="1" customWidth="1"/>
    <col min="24" max="25" width="20.1640625" style="44" bestFit="1" customWidth="1"/>
    <col min="26" max="26" width="9.33203125" style="44" bestFit="1" customWidth="1"/>
    <col min="27" max="27" width="17.83203125" style="44" customWidth="1"/>
    <col min="28" max="29" width="10.5" style="44" bestFit="1" customWidth="1"/>
    <col min="30" max="30" width="11.6640625" style="44" bestFit="1" customWidth="1"/>
    <col min="31" max="31" width="17.83203125" style="44" bestFit="1" customWidth="1"/>
    <col min="32" max="32" width="10.5" style="44" bestFit="1" customWidth="1"/>
    <col min="33" max="16384" width="9.33203125" style="44"/>
  </cols>
  <sheetData>
    <row r="1" spans="1:19" ht="11.25" customHeight="1" x14ac:dyDescent="0.2">
      <c r="D1" s="44"/>
      <c r="E1" s="44"/>
      <c r="J1" s="44" t="s">
        <v>30</v>
      </c>
      <c r="K1" s="44" t="str">
        <f>_xll.qlEuribor(,J1,,,Trigger)</f>
        <v>obj_00503#0001</v>
      </c>
      <c r="L1" s="44" t="str">
        <f>_xll.ohRangeRetrieveError(K1)</f>
        <v/>
      </c>
    </row>
    <row r="2" spans="1:19" ht="24" customHeight="1" x14ac:dyDescent="0.2">
      <c r="A2" s="269"/>
      <c r="B2" s="270" t="s">
        <v>159</v>
      </c>
      <c r="C2" s="270"/>
      <c r="D2" s="271"/>
      <c r="E2" s="271"/>
      <c r="F2" s="270" t="s">
        <v>160</v>
      </c>
      <c r="G2" s="270" t="s">
        <v>161</v>
      </c>
      <c r="H2" s="270" t="s">
        <v>162</v>
      </c>
      <c r="I2" s="270" t="s">
        <v>163</v>
      </c>
      <c r="J2" s="270" t="s">
        <v>80</v>
      </c>
      <c r="K2" s="270" t="s">
        <v>81</v>
      </c>
      <c r="L2" s="272" t="s">
        <v>39</v>
      </c>
      <c r="M2" s="273"/>
      <c r="N2" s="274" t="s">
        <v>164</v>
      </c>
      <c r="O2" s="274" t="s">
        <v>82</v>
      </c>
      <c r="P2" s="274" t="s">
        <v>163</v>
      </c>
      <c r="Q2" s="274" t="s">
        <v>83</v>
      </c>
      <c r="R2" s="270" t="s">
        <v>84</v>
      </c>
      <c r="S2" s="270" t="s">
        <v>85</v>
      </c>
    </row>
    <row r="3" spans="1:19" ht="11.25" customHeight="1" x14ac:dyDescent="0.2">
      <c r="A3" s="275"/>
      <c r="B3" s="276" t="s">
        <v>169</v>
      </c>
      <c r="C3" s="334"/>
      <c r="D3" s="335"/>
      <c r="E3" s="335"/>
      <c r="F3" s="332"/>
      <c r="G3" s="332"/>
      <c r="H3" s="332"/>
      <c r="I3" s="336"/>
      <c r="J3" s="306" t="str">
        <f>PROPER((Currency))&amp;IborType&amp;J1&amp;"LastFixing"&amp;QuoteSuffix</f>
        <v>Euribor1YLastFixing_Quote</v>
      </c>
      <c r="K3" s="333" t="str">
        <f>_xll.qlDepositRateHelper(,J3,K1,,Trigger)</f>
        <v>obj_00580#0001</v>
      </c>
      <c r="L3" s="344" t="str">
        <f>_xll.ohRangeRetrieveError(K3)</f>
        <v/>
      </c>
      <c r="M3" s="284"/>
      <c r="N3" s="283" t="str">
        <f>_xll.qlRateHelperQuoteName(K3,Trigger)</f>
        <v>Euribor1YLastFixing_Quote</v>
      </c>
      <c r="O3" s="285">
        <f>_xll.qlQuoteValue(J3,AllTriggers)</f>
        <v>3.3700000000000002E-3</v>
      </c>
      <c r="P3" s="354" t="str">
        <f>IF(ISBLANK(I3),"--",_xll.qlSwapRateHelperSpread(K3,AllTriggers))</f>
        <v>--</v>
      </c>
      <c r="Q3" s="283" t="b">
        <v>1</v>
      </c>
      <c r="R3" s="286">
        <f>_xll.qlRateHelperEarliestDate(K3,Trigger)</f>
        <v>41954</v>
      </c>
      <c r="S3" s="286">
        <f>_xll.qlRateHelperLatestDate(K3,Trigger)</f>
        <v>42319</v>
      </c>
    </row>
    <row r="4" spans="1:19" ht="11.25" customHeight="1" x14ac:dyDescent="0.2">
      <c r="A4" s="275"/>
      <c r="B4" s="351" t="s">
        <v>58</v>
      </c>
      <c r="C4" s="353">
        <v>12</v>
      </c>
      <c r="D4" s="352" t="s">
        <v>40</v>
      </c>
      <c r="E4" s="352">
        <v>24</v>
      </c>
      <c r="F4" s="332"/>
      <c r="G4" s="332"/>
      <c r="H4" s="332"/>
      <c r="I4" s="336"/>
      <c r="J4" s="306" t="str">
        <f>Currency&amp;C4&amp;D4&amp;E4&amp;"F"&amp;QuoteSuffix</f>
        <v>EUR12x24F_Quote</v>
      </c>
      <c r="K4" s="333" t="str">
        <f>_xll.qlFraRateHelper(,J4,B4,K1)</f>
        <v>obj_0050a#0001</v>
      </c>
      <c r="L4" s="344" t="str">
        <f>_xll.ohRangeRetrieveError(K4)</f>
        <v/>
      </c>
      <c r="M4" s="284"/>
      <c r="N4" s="283" t="str">
        <f>_xll.qlRateHelperQuoteName(K4,Trigger)</f>
        <v>EUR12x24F_Quote</v>
      </c>
      <c r="O4" s="285">
        <f>_xll.qlQuoteValue(J4,AllTriggers)</f>
        <v>3.6800000000000001E-3</v>
      </c>
      <c r="P4" s="354" t="str">
        <f>IF(ISBLANK(I4),"--",_xll.qlSwapRateHelperSpread(K4,AllTriggers))</f>
        <v>--</v>
      </c>
      <c r="Q4" s="283" t="b">
        <v>1</v>
      </c>
      <c r="R4" s="286">
        <f>_xll.qlRateHelperEarliestDate(K4,Trigger)</f>
        <v>42319</v>
      </c>
      <c r="S4" s="286">
        <f>_xll.qlRateHelperLatestDate(K4,Trigger)</f>
        <v>42685</v>
      </c>
    </row>
    <row r="5" spans="1:19" ht="11.25" customHeight="1" x14ac:dyDescent="0.2">
      <c r="A5" s="275"/>
      <c r="B5" s="337" t="s">
        <v>169</v>
      </c>
      <c r="C5" s="338" t="s">
        <v>86</v>
      </c>
      <c r="D5" s="339" t="s">
        <v>87</v>
      </c>
      <c r="E5" s="339" t="s">
        <v>88</v>
      </c>
      <c r="F5" s="337" t="s">
        <v>171</v>
      </c>
      <c r="G5" s="340" t="s">
        <v>165</v>
      </c>
      <c r="H5" s="340" t="s">
        <v>181</v>
      </c>
      <c r="I5" s="341">
        <v>0</v>
      </c>
      <c r="J5" s="342" t="str">
        <f t="shared" ref="J5:J10" si="0">Currency&amp;C5&amp;$D5&amp;$E5&amp;"_Quote"</f>
        <v>EURAB12EBASIS3Y_Quote</v>
      </c>
      <c r="K5" s="343" t="str">
        <f>_xll.qlSwapRateHelper2(,J5,E5,Calendar,F5,G5,H5,$K$1,I5,B5,Discounting,,Trigger)</f>
        <v>obj_00508#0001</v>
      </c>
      <c r="L5" s="344" t="str">
        <f>_xll.ohRangeRetrieveError(K5)</f>
        <v/>
      </c>
      <c r="M5" s="284"/>
      <c r="N5" s="283" t="str">
        <f>_xll.qlRateHelperQuoteName(K5,Trigger)</f>
        <v>EURAB12EBASIS3Y_Quote</v>
      </c>
      <c r="O5" s="285">
        <f>_xll.qlQuoteValue(J5,AllTriggers)</f>
        <v>4.0699999999999998E-3</v>
      </c>
      <c r="P5" s="354">
        <f>IF(ISBLANK(I5),"--",_xll.qlSwapRateHelperSpread(K5,AllTriggers))</f>
        <v>0</v>
      </c>
      <c r="Q5" s="283" t="b">
        <v>1</v>
      </c>
      <c r="R5" s="286">
        <f>_xll.qlRateHelperEarliestDate(K5,Trigger)</f>
        <v>41954</v>
      </c>
      <c r="S5" s="286">
        <f>_xll.qlRateHelperLatestDate(K5,Trigger)</f>
        <v>43052</v>
      </c>
    </row>
    <row r="6" spans="1:19" ht="11.25" customHeight="1" x14ac:dyDescent="0.2">
      <c r="A6" s="275"/>
      <c r="B6" s="276" t="s">
        <v>169</v>
      </c>
      <c r="C6" s="277" t="s">
        <v>86</v>
      </c>
      <c r="D6" s="278" t="s">
        <v>87</v>
      </c>
      <c r="E6" s="278" t="s">
        <v>89</v>
      </c>
      <c r="F6" s="276" t="s">
        <v>171</v>
      </c>
      <c r="G6" s="279" t="s">
        <v>165</v>
      </c>
      <c r="H6" s="279" t="s">
        <v>181</v>
      </c>
      <c r="I6" s="280">
        <v>0</v>
      </c>
      <c r="J6" s="281" t="str">
        <f t="shared" si="0"/>
        <v>EURAB12EBASIS4Y_Quote</v>
      </c>
      <c r="K6" s="282" t="str">
        <f>_xll.qlSwapRateHelper2(,J6,E6,Calendar,F6,G6,H6,$K$1,I6,B6,Discounting,,Trigger)</f>
        <v>obj_00505#0001</v>
      </c>
      <c r="L6" s="283" t="str">
        <f>_xll.ohRangeRetrieveError(K6)</f>
        <v/>
      </c>
      <c r="M6" s="284"/>
      <c r="N6" s="283" t="str">
        <f>_xll.qlRateHelperQuoteName(K6,Trigger)</f>
        <v>EURAB12EBASIS4Y_Quote</v>
      </c>
      <c r="O6" s="285">
        <f>_xll.qlQuoteValue(J6,AllTriggers)</f>
        <v>4.81E-3</v>
      </c>
      <c r="P6" s="354">
        <f>IF(ISBLANK(I6),"--",_xll.qlSwapRateHelperSpread(K6,AllTriggers))</f>
        <v>0</v>
      </c>
      <c r="Q6" s="283" t="b">
        <v>1</v>
      </c>
      <c r="R6" s="286">
        <f>_xll.qlRateHelperEarliestDate(K6,Trigger)</f>
        <v>41954</v>
      </c>
      <c r="S6" s="286">
        <f>_xll.qlRateHelperLatestDate(K6,Trigger)</f>
        <v>43416</v>
      </c>
    </row>
    <row r="7" spans="1:19" ht="11.25" customHeight="1" x14ac:dyDescent="0.2">
      <c r="A7" s="269"/>
      <c r="B7" s="276" t="s">
        <v>169</v>
      </c>
      <c r="C7" s="277" t="s">
        <v>86</v>
      </c>
      <c r="D7" s="278" t="s">
        <v>87</v>
      </c>
      <c r="E7" s="278" t="s">
        <v>90</v>
      </c>
      <c r="F7" s="276" t="s">
        <v>171</v>
      </c>
      <c r="G7" s="279" t="s">
        <v>165</v>
      </c>
      <c r="H7" s="279" t="s">
        <v>181</v>
      </c>
      <c r="I7" s="280">
        <v>0</v>
      </c>
      <c r="J7" s="281" t="str">
        <f t="shared" si="0"/>
        <v>EURAB12EBASIS5Y_Quote</v>
      </c>
      <c r="K7" s="282" t="str">
        <f>_xll.qlSwapRateHelper2(,J7,E7,Calendar,F7,G7,H7,$K$1,I7,B7,Discounting,,Trigger)</f>
        <v>obj_00507#0001</v>
      </c>
      <c r="L7" s="283" t="str">
        <f>_xll.ohRangeRetrieveError(K7)</f>
        <v/>
      </c>
      <c r="M7" s="284"/>
      <c r="N7" s="283" t="str">
        <f>_xll.qlRateHelperQuoteName(K7,Trigger)</f>
        <v>EURAB12EBASIS5Y_Quote</v>
      </c>
      <c r="O7" s="285">
        <f>_xll.qlQuoteValue(J7,AllTriggers)</f>
        <v>5.7699999999999991E-3</v>
      </c>
      <c r="P7" s="354">
        <f>IF(ISBLANK(I7),"--",_xll.qlSwapRateHelperSpread(K7,AllTriggers))</f>
        <v>0</v>
      </c>
      <c r="Q7" s="283" t="b">
        <v>1</v>
      </c>
      <c r="R7" s="286">
        <f>_xll.qlRateHelperEarliestDate(K7,Trigger)</f>
        <v>41954</v>
      </c>
      <c r="S7" s="286">
        <f>_xll.qlRateHelperLatestDate(K7,Trigger)</f>
        <v>43780</v>
      </c>
    </row>
    <row r="8" spans="1:19" ht="11.25" customHeight="1" x14ac:dyDescent="0.2">
      <c r="A8" s="269"/>
      <c r="B8" s="276" t="s">
        <v>169</v>
      </c>
      <c r="C8" s="277" t="s">
        <v>86</v>
      </c>
      <c r="D8" s="278" t="s">
        <v>87</v>
      </c>
      <c r="E8" s="278" t="s">
        <v>178</v>
      </c>
      <c r="F8" s="276" t="s">
        <v>171</v>
      </c>
      <c r="G8" s="279" t="s">
        <v>165</v>
      </c>
      <c r="H8" s="279" t="s">
        <v>181</v>
      </c>
      <c r="I8" s="280">
        <v>0</v>
      </c>
      <c r="J8" s="281" t="str">
        <f t="shared" si="0"/>
        <v>EURAB12EBASIS6Y_Quote</v>
      </c>
      <c r="K8" s="282" t="str">
        <f>_xll.qlSwapRateHelper2(,J8,E8,Calendar,F8,G8,H8,$K$1,I8,B8,Discounting,,Trigger)</f>
        <v>obj_00509#0001</v>
      </c>
      <c r="L8" s="283" t="str">
        <f>_xll.ohRangeRetrieveError(K8)</f>
        <v/>
      </c>
      <c r="M8" s="284"/>
      <c r="N8" s="283" t="str">
        <f>_xll.qlRateHelperQuoteName(K8,Trigger)</f>
        <v>EURAB12EBASIS6Y_Quote</v>
      </c>
      <c r="O8" s="285">
        <f>_xll.qlQuoteValue(J8,AllTriggers)</f>
        <v>6.9300000000000004E-3</v>
      </c>
      <c r="P8" s="354">
        <f>IF(ISBLANK(I8),"--",_xll.qlSwapRateHelperSpread(K8,AllTriggers))</f>
        <v>0</v>
      </c>
      <c r="Q8" s="283" t="b">
        <v>1</v>
      </c>
      <c r="R8" s="286">
        <f>_xll.qlRateHelperEarliestDate(K8,Trigger)</f>
        <v>41954</v>
      </c>
      <c r="S8" s="286">
        <f>_xll.qlRateHelperLatestDate(K8,Trigger)</f>
        <v>44146</v>
      </c>
    </row>
    <row r="9" spans="1:19" ht="11.25" customHeight="1" x14ac:dyDescent="0.2">
      <c r="A9" s="269"/>
      <c r="B9" s="276" t="s">
        <v>169</v>
      </c>
      <c r="C9" s="277" t="s">
        <v>86</v>
      </c>
      <c r="D9" s="278" t="s">
        <v>87</v>
      </c>
      <c r="E9" s="278" t="s">
        <v>179</v>
      </c>
      <c r="F9" s="276" t="s">
        <v>171</v>
      </c>
      <c r="G9" s="279" t="s">
        <v>165</v>
      </c>
      <c r="H9" s="279" t="s">
        <v>181</v>
      </c>
      <c r="I9" s="280">
        <v>0</v>
      </c>
      <c r="J9" s="281" t="str">
        <f t="shared" si="0"/>
        <v>EURAB12EBASIS7Y_Quote</v>
      </c>
      <c r="K9" s="282" t="str">
        <f>_xll.qlSwapRateHelper2(,J9,E9,Calendar,F9,G9,H9,$K$1,I9,B9,Discounting,,Trigger)</f>
        <v>obj_00504#0001</v>
      </c>
      <c r="L9" s="283" t="str">
        <f>_xll.ohRangeRetrieveError(K9)</f>
        <v/>
      </c>
      <c r="N9" s="283" t="str">
        <f>_xll.qlRateHelperQuoteName(K9,Trigger)</f>
        <v>EURAB12EBASIS7Y_Quote</v>
      </c>
      <c r="O9" s="285">
        <f>_xll.qlQuoteValue(J9,AllTriggers)</f>
        <v>8.2100000000000003E-3</v>
      </c>
      <c r="P9" s="354">
        <f>IF(ISBLANK(I9),"--",_xll.qlSwapRateHelperSpread(K9,AllTriggers))</f>
        <v>0</v>
      </c>
      <c r="Q9" s="283" t="b">
        <v>1</v>
      </c>
      <c r="R9" s="286">
        <f>_xll.qlRateHelperEarliestDate(K9,Trigger)</f>
        <v>41954</v>
      </c>
      <c r="S9" s="286">
        <f>_xll.qlRateHelperLatestDate(K9,Trigger)</f>
        <v>44511</v>
      </c>
    </row>
    <row r="10" spans="1:19" x14ac:dyDescent="0.2">
      <c r="B10" s="287" t="s">
        <v>169</v>
      </c>
      <c r="C10" s="288" t="s">
        <v>86</v>
      </c>
      <c r="D10" s="289" t="s">
        <v>87</v>
      </c>
      <c r="E10" s="289" t="s">
        <v>180</v>
      </c>
      <c r="F10" s="287" t="s">
        <v>171</v>
      </c>
      <c r="G10" s="290" t="s">
        <v>165</v>
      </c>
      <c r="H10" s="290" t="s">
        <v>181</v>
      </c>
      <c r="I10" s="291">
        <v>0</v>
      </c>
      <c r="J10" s="330" t="str">
        <f t="shared" si="0"/>
        <v>EURAB12EBASIS8Y_Quote</v>
      </c>
      <c r="K10" s="331" t="str">
        <f>_xll.qlSwapRateHelper2(,J10,E10,Calendar,F10,G10,H10,$K$1,I10,B10,Discounting,,Trigger)</f>
        <v>obj_00506#0001</v>
      </c>
      <c r="L10" s="292" t="str">
        <f>_xll.ohRangeRetrieveError(K10)</f>
        <v/>
      </c>
      <c r="N10" s="292" t="str">
        <f>_xll.qlRateHelperQuoteName(K10,Trigger)</f>
        <v>EURAB12EBASIS8Y_Quote</v>
      </c>
      <c r="O10" s="293">
        <f>_xll.qlQuoteValue(J10,AllTriggers)</f>
        <v>9.5399999999999999E-3</v>
      </c>
      <c r="P10" s="355">
        <f>IF(ISBLANK(I10),"--",_xll.qlSwapRateHelperSpread(K10,AllTriggers))</f>
        <v>0</v>
      </c>
      <c r="Q10" s="292" t="b">
        <v>0</v>
      </c>
      <c r="R10" s="294">
        <f>_xll.qlRateHelperEarliestDate(K10,Trigger)</f>
        <v>41954</v>
      </c>
      <c r="S10" s="294">
        <f>_xll.qlRateHelperLatestDate(K10,Trigger)</f>
        <v>44876</v>
      </c>
    </row>
    <row r="11" spans="1:19" x14ac:dyDescent="0.2">
      <c r="D11" s="44"/>
      <c r="E11" s="44"/>
      <c r="K11" s="44"/>
      <c r="L11" s="284"/>
    </row>
    <row r="12" spans="1:19" x14ac:dyDescent="0.2">
      <c r="I12" s="299"/>
      <c r="J12" s="299"/>
      <c r="N12" s="295" t="s">
        <v>172</v>
      </c>
      <c r="O12" s="296"/>
      <c r="P12" s="296"/>
      <c r="Q12" s="296"/>
      <c r="R12" s="296"/>
      <c r="S12" s="297" t="s">
        <v>182</v>
      </c>
    </row>
    <row r="13" spans="1:19" x14ac:dyDescent="0.2">
      <c r="L13" s="274" t="s">
        <v>166</v>
      </c>
      <c r="N13" s="356" t="s">
        <v>91</v>
      </c>
      <c r="O13" s="356" t="s">
        <v>92</v>
      </c>
      <c r="P13" s="356" t="s">
        <v>163</v>
      </c>
      <c r="Q13" s="356" t="s">
        <v>84</v>
      </c>
      <c r="R13" s="356" t="s">
        <v>85</v>
      </c>
      <c r="S13" s="301">
        <f t="array" ref="S13:S27">_xll.qlPiecewiseYieldCurveData('General Settings'!D40,InterestRatesTrigger)</f>
        <v>1</v>
      </c>
    </row>
    <row r="14" spans="1:19" x14ac:dyDescent="0.2">
      <c r="I14" s="299"/>
      <c r="J14" s="299"/>
      <c r="L14" s="306" t="str">
        <f t="array" ref="L14:L27">_xll.ohFilter(K3:K10,Q3:Q10)</f>
        <v>obj_00580#0001</v>
      </c>
      <c r="N14" s="344" t="str">
        <f t="array" ref="N14:N27">_xll.ohFilter(N3:N10,Q3:Q10)</f>
        <v>Euribor1YLastFixing_Quote</v>
      </c>
      <c r="O14" s="357">
        <f t="array" ref="O14:O27">_xll.ohFilter(O3:O10,Q3:Q10)</f>
        <v>3.3700000000000002E-3</v>
      </c>
      <c r="P14" s="358" t="str">
        <f t="array" ref="P14:P27">_xll.ohFilter(P3:P10,Q3:Q10)</f>
        <v>--</v>
      </c>
      <c r="Q14" s="359">
        <f t="array" ref="Q14:Q27">_xll.ohFilter(R3:R10,Q3:Q10)</f>
        <v>41954</v>
      </c>
      <c r="R14" s="359">
        <f t="array" ref="R14:R27">_xll.ohFilter(S3:S10,Q3:Q10)</f>
        <v>42319</v>
      </c>
      <c r="S14" s="302">
        <v>0.99659482925077791</v>
      </c>
    </row>
    <row r="15" spans="1:19" x14ac:dyDescent="0.2">
      <c r="L15" s="307" t="str">
        <v>obj_0050a#0001</v>
      </c>
      <c r="N15" s="283" t="str">
        <v>EUR12x24F_Quote</v>
      </c>
      <c r="O15" s="285">
        <v>3.6800000000000001E-3</v>
      </c>
      <c r="P15" s="354" t="str">
        <v>--</v>
      </c>
      <c r="Q15" s="286">
        <v>42319</v>
      </c>
      <c r="R15" s="286">
        <v>42685</v>
      </c>
      <c r="S15" s="302">
        <v>0.99288013371052231</v>
      </c>
    </row>
    <row r="16" spans="1:19" x14ac:dyDescent="0.2">
      <c r="I16" s="299"/>
      <c r="J16" s="299"/>
      <c r="L16" s="307" t="str">
        <v>obj_00508#0001</v>
      </c>
      <c r="N16" s="283" t="str">
        <v>EURAB12EBASIS3Y_Quote</v>
      </c>
      <c r="O16" s="285">
        <v>4.0699999999999998E-3</v>
      </c>
      <c r="P16" s="354">
        <v>0</v>
      </c>
      <c r="Q16" s="286">
        <v>41954</v>
      </c>
      <c r="R16" s="286">
        <v>43052</v>
      </c>
      <c r="S16" s="302">
        <v>0.9878670624445044</v>
      </c>
    </row>
    <row r="17" spans="9:33" x14ac:dyDescent="0.2">
      <c r="L17" s="307" t="str">
        <v>obj_00505#0001</v>
      </c>
      <c r="N17" s="283" t="str">
        <v>EURAB12EBASIS4Y_Quote</v>
      </c>
      <c r="O17" s="285">
        <v>4.81E-3</v>
      </c>
      <c r="P17" s="354">
        <v>0</v>
      </c>
      <c r="Q17" s="286">
        <v>41954</v>
      </c>
      <c r="R17" s="286">
        <v>43416</v>
      </c>
      <c r="S17" s="302">
        <v>0.98097490821715572</v>
      </c>
    </row>
    <row r="18" spans="9:33" x14ac:dyDescent="0.2">
      <c r="I18" s="299"/>
      <c r="J18" s="299"/>
      <c r="L18" s="307" t="str">
        <v>obj_00507#0001</v>
      </c>
      <c r="N18" s="283" t="str">
        <v>EURAB12EBASIS5Y_Quote</v>
      </c>
      <c r="O18" s="285">
        <v>5.7699999999999991E-3</v>
      </c>
      <c r="P18" s="354">
        <v>0</v>
      </c>
      <c r="Q18" s="286">
        <v>41954</v>
      </c>
      <c r="R18" s="286">
        <v>43780</v>
      </c>
      <c r="S18" s="302">
        <v>0.97162758409682093</v>
      </c>
    </row>
    <row r="19" spans="9:33" x14ac:dyDescent="0.2">
      <c r="L19" s="307" t="str">
        <v>obj_00509#0001</v>
      </c>
      <c r="N19" s="283" t="str">
        <v>EURAB12EBASIS6Y_Quote</v>
      </c>
      <c r="O19" s="285">
        <v>6.9300000000000004E-3</v>
      </c>
      <c r="P19" s="354">
        <v>0</v>
      </c>
      <c r="Q19" s="286">
        <v>41954</v>
      </c>
      <c r="R19" s="286">
        <v>44146</v>
      </c>
      <c r="S19" s="302">
        <v>0.959344494059302</v>
      </c>
    </row>
    <row r="20" spans="9:33" x14ac:dyDescent="0.2">
      <c r="I20" s="299"/>
      <c r="J20" s="299"/>
      <c r="L20" s="307" t="str">
        <v>obj_00504#0001</v>
      </c>
      <c r="N20" s="283" t="str">
        <v>EURAB12EBASIS7Y_Quote</v>
      </c>
      <c r="O20" s="285">
        <v>8.2100000000000003E-3</v>
      </c>
      <c r="P20" s="354">
        <v>0</v>
      </c>
      <c r="Q20" s="286">
        <v>41954</v>
      </c>
      <c r="R20" s="286">
        <v>44511</v>
      </c>
      <c r="S20" s="302">
        <v>0.94418172956768909</v>
      </c>
      <c r="AG20" s="376"/>
    </row>
    <row r="21" spans="9:33" x14ac:dyDescent="0.2">
      <c r="L21" s="307" t="e">
        <v>#N/A</v>
      </c>
      <c r="N21" s="283" t="e">
        <v>#N/A</v>
      </c>
      <c r="O21" s="285" t="e">
        <v>#N/A</v>
      </c>
      <c r="P21" s="354" t="e">
        <v>#N/A</v>
      </c>
      <c r="Q21" s="286" t="e">
        <v>#N/A</v>
      </c>
      <c r="R21" s="286" t="e">
        <v>#N/A</v>
      </c>
      <c r="S21" s="302" t="e">
        <v>#N/A</v>
      </c>
      <c r="AG21" s="376"/>
    </row>
    <row r="22" spans="9:33" x14ac:dyDescent="0.2">
      <c r="I22" s="299"/>
      <c r="J22" s="299"/>
      <c r="L22" s="307" t="e">
        <v>#N/A</v>
      </c>
      <c r="N22" s="283" t="e">
        <v>#N/A</v>
      </c>
      <c r="O22" s="285" t="e">
        <v>#N/A</v>
      </c>
      <c r="P22" s="354" t="e">
        <v>#N/A</v>
      </c>
      <c r="Q22" s="286" t="e">
        <v>#N/A</v>
      </c>
      <c r="R22" s="286" t="e">
        <v>#N/A</v>
      </c>
      <c r="S22" s="302" t="e">
        <v>#N/A</v>
      </c>
    </row>
    <row r="23" spans="9:33" x14ac:dyDescent="0.2">
      <c r="L23" s="307" t="e">
        <v>#N/A</v>
      </c>
      <c r="N23" s="283" t="e">
        <v>#N/A</v>
      </c>
      <c r="O23" s="285" t="e">
        <v>#N/A</v>
      </c>
      <c r="P23" s="354" t="e">
        <v>#N/A</v>
      </c>
      <c r="Q23" s="286" t="e">
        <v>#N/A</v>
      </c>
      <c r="R23" s="286" t="e">
        <v>#N/A</v>
      </c>
      <c r="S23" s="302" t="e">
        <v>#N/A</v>
      </c>
    </row>
    <row r="24" spans="9:33" x14ac:dyDescent="0.2">
      <c r="I24" s="299"/>
      <c r="J24" s="299"/>
      <c r="L24" s="307" t="e">
        <v>#N/A</v>
      </c>
      <c r="N24" s="283" t="e">
        <v>#N/A</v>
      </c>
      <c r="O24" s="285" t="e">
        <v>#N/A</v>
      </c>
      <c r="P24" s="354" t="e">
        <v>#N/A</v>
      </c>
      <c r="Q24" s="286" t="e">
        <v>#N/A</v>
      </c>
      <c r="R24" s="286" t="e">
        <v>#N/A</v>
      </c>
      <c r="S24" s="302" t="e">
        <v>#N/A</v>
      </c>
    </row>
    <row r="25" spans="9:33" x14ac:dyDescent="0.2">
      <c r="L25" s="307" t="e">
        <v>#N/A</v>
      </c>
      <c r="N25" s="283" t="e">
        <v>#N/A</v>
      </c>
      <c r="O25" s="285" t="e">
        <v>#N/A</v>
      </c>
      <c r="P25" s="354" t="e">
        <v>#N/A</v>
      </c>
      <c r="Q25" s="286" t="e">
        <v>#N/A</v>
      </c>
      <c r="R25" s="286" t="e">
        <v>#N/A</v>
      </c>
      <c r="S25" s="302" t="e">
        <v>#N/A</v>
      </c>
    </row>
    <row r="26" spans="9:33" x14ac:dyDescent="0.2">
      <c r="I26" s="299"/>
      <c r="J26" s="299"/>
      <c r="L26" s="307" t="e">
        <v>#N/A</v>
      </c>
      <c r="N26" s="283" t="e">
        <v>#N/A</v>
      </c>
      <c r="O26" s="285" t="e">
        <v>#N/A</v>
      </c>
      <c r="P26" s="354" t="e">
        <v>#N/A</v>
      </c>
      <c r="Q26" s="286" t="e">
        <v>#N/A</v>
      </c>
      <c r="R26" s="286" t="e">
        <v>#N/A</v>
      </c>
      <c r="S26" s="302" t="e">
        <v>#N/A</v>
      </c>
    </row>
    <row r="27" spans="9:33" x14ac:dyDescent="0.2">
      <c r="L27" s="308" t="e">
        <v>#N/A</v>
      </c>
      <c r="N27" s="292" t="e">
        <v>#N/A</v>
      </c>
      <c r="O27" s="293" t="e">
        <v>#N/A</v>
      </c>
      <c r="P27" s="355" t="e">
        <v>#N/A</v>
      </c>
      <c r="Q27" s="294" t="e">
        <v>#N/A</v>
      </c>
      <c r="R27" s="294" t="e">
        <v>#N/A</v>
      </c>
      <c r="S27" s="303" t="e">
        <v>#N/A</v>
      </c>
    </row>
    <row r="28" spans="9:33" x14ac:dyDescent="0.2">
      <c r="I28" s="299"/>
      <c r="J28" s="299"/>
    </row>
    <row r="29" spans="9:33" x14ac:dyDescent="0.2">
      <c r="N29" s="295" t="s">
        <v>183</v>
      </c>
      <c r="O29" s="296"/>
      <c r="P29" s="296"/>
      <c r="Q29" s="296"/>
      <c r="R29" s="296"/>
      <c r="S29" s="296"/>
      <c r="T29" s="296"/>
      <c r="U29" s="296"/>
      <c r="V29" s="296"/>
    </row>
    <row r="30" spans="9:33" x14ac:dyDescent="0.2">
      <c r="I30" s="299"/>
      <c r="J30" s="299"/>
      <c r="N30" s="274"/>
      <c r="O30" s="274"/>
      <c r="P30" s="274" t="s">
        <v>93</v>
      </c>
      <c r="Q30" s="274" t="s">
        <v>94</v>
      </c>
      <c r="R30" s="274" t="s">
        <v>95</v>
      </c>
      <c r="S30" s="274" t="s">
        <v>96</v>
      </c>
      <c r="T30" s="274"/>
      <c r="U30" s="274" t="s">
        <v>37</v>
      </c>
      <c r="V30" s="274" t="s">
        <v>97</v>
      </c>
    </row>
    <row r="31" spans="9:33" x14ac:dyDescent="0.2">
      <c r="N31" s="364">
        <v>0</v>
      </c>
      <c r="O31" s="364" t="s">
        <v>184</v>
      </c>
      <c r="P31" s="365">
        <f>_xll.qlInterestRateIndexFixingDate(IborIndex,Q31)</f>
        <v>41950</v>
      </c>
      <c r="Q31" s="365">
        <f>_xll.qlCalendarAdvance(Calendar,SettlementDate,N31&amp;"M","mf")</f>
        <v>41954</v>
      </c>
      <c r="R31" s="365">
        <f>_xll.qlInterestRateIndexMaturity(IborIndex,Q31)</f>
        <v>42319</v>
      </c>
      <c r="S31" s="366">
        <f>_xll.qlIndexFixing(IborIndex,P31,TRUE,InterestRatesTrigger)</f>
        <v>3.3700000000001229E-3</v>
      </c>
      <c r="T31" s="364" t="str">
        <f>_xll.qlMakeDatedOIS(,Q31,R31,OvernightIndex,0,"Act/360",0)</f>
        <v>obj_005f1#0001</v>
      </c>
      <c r="U31" s="366">
        <f>_xll.qlOvernightIndexedSwapFairRate(T31,InterestRatesTrigger)</f>
        <v>-5.0557854652706537E-4</v>
      </c>
      <c r="V31" s="367">
        <f t="shared" ref="V31:V36" si="1">ROUND(S31-U31,6)</f>
        <v>3.8760000000000001E-3</v>
      </c>
    </row>
    <row r="32" spans="9:33" x14ac:dyDescent="0.2">
      <c r="I32" s="299"/>
      <c r="J32" s="299"/>
      <c r="N32" s="368">
        <f>N31+12</f>
        <v>12</v>
      </c>
      <c r="O32" s="368" t="s">
        <v>185</v>
      </c>
      <c r="P32" s="369">
        <f>_xll.qlInterestRateIndexFixingDate(IborIndex,Q32)</f>
        <v>42317</v>
      </c>
      <c r="Q32" s="369">
        <f>_xll.qlCalendarAdvance(Calendar,SettlementDate,N32&amp;"M","mf")</f>
        <v>42319</v>
      </c>
      <c r="R32" s="369">
        <f>_xll.qlInterestRateIndexMaturity(IborIndex,Q32)</f>
        <v>42685</v>
      </c>
      <c r="S32" s="370">
        <f>_xll.qlIndexFixing(IborIndex,P32,TRUE,InterestRatesTrigger)</f>
        <v>3.6800000000000404E-3</v>
      </c>
      <c r="T32" s="368" t="str">
        <f>_xll.qlMakeDatedOIS(,Q32,R32,OvernightIndex,0,"Act/360",0)</f>
        <v>obj_005e7#0001</v>
      </c>
      <c r="U32" s="370">
        <f>_xll.qlOvernightIndexedSwapFairRate(T32,InterestRatesTrigger)</f>
        <v>-4.3453433743835247E-4</v>
      </c>
      <c r="V32" s="371">
        <f t="shared" si="1"/>
        <v>4.1149999999999997E-3</v>
      </c>
    </row>
    <row r="33" spans="9:23" x14ac:dyDescent="0.2">
      <c r="N33" s="368">
        <f t="shared" ref="N33:N36" si="2">N32+12</f>
        <v>24</v>
      </c>
      <c r="O33" s="368" t="s">
        <v>186</v>
      </c>
      <c r="P33" s="369">
        <f>_xll.qlInterestRateIndexFixingDate(IborIndex,Q33)</f>
        <v>42683</v>
      </c>
      <c r="Q33" s="369">
        <f>_xll.qlCalendarAdvance(Calendar,SettlementDate,N33&amp;"M","mf")</f>
        <v>42685</v>
      </c>
      <c r="R33" s="369">
        <f>_xll.qlInterestRateIndexMaturity(IborIndex,Q33)</f>
        <v>43052</v>
      </c>
      <c r="S33" s="370">
        <f>_xll.qlIndexFixing(IborIndex,P33,TRUE,InterestRatesTrigger)</f>
        <v>4.97785004668291E-3</v>
      </c>
      <c r="T33" s="368" t="str">
        <f>_xll.qlMakeDatedOIS(,Q33,R33,OvernightIndex,0,"Act/360",0)</f>
        <v>obj_005c2#0001</v>
      </c>
      <c r="U33" s="370">
        <f>_xll.qlOvernightIndexedSwapFairRate(T33,InterestRatesTrigger)</f>
        <v>4.5761772974787932E-4</v>
      </c>
      <c r="V33" s="371">
        <f t="shared" si="1"/>
        <v>4.5199999999999997E-3</v>
      </c>
    </row>
    <row r="34" spans="9:23" x14ac:dyDescent="0.2">
      <c r="I34" s="299"/>
      <c r="J34" s="299"/>
      <c r="N34" s="368">
        <f t="shared" si="2"/>
        <v>36</v>
      </c>
      <c r="O34" s="368" t="s">
        <v>187</v>
      </c>
      <c r="P34" s="369">
        <f>_xll.qlInterestRateIndexFixingDate(IborIndex,Q34)</f>
        <v>43048</v>
      </c>
      <c r="Q34" s="369">
        <f>_xll.qlCalendarAdvance(Calendar,SettlementDate,N34&amp;"M","mf")</f>
        <v>43052</v>
      </c>
      <c r="R34" s="369">
        <f>_xll.qlInterestRateIndexMaturity(IborIndex,Q34)</f>
        <v>43417</v>
      </c>
      <c r="S34" s="370">
        <f>_xll.qlIndexFixing(IborIndex,P34,TRUE,InterestRatesTrigger)</f>
        <v>6.9557022977150352E-3</v>
      </c>
      <c r="T34" s="368" t="str">
        <f>_xll.qlMakeDatedOIS(,Q34,R34,OvernightIndex,0,"Act/360",0)</f>
        <v>obj_005cc#0001</v>
      </c>
      <c r="U34" s="370">
        <f>_xll.qlOvernightIndexedSwapFairRate(T34,InterestRatesTrigger)</f>
        <v>2.095851063703082E-3</v>
      </c>
      <c r="V34" s="371">
        <f t="shared" si="1"/>
        <v>4.8599999999999997E-3</v>
      </c>
    </row>
    <row r="35" spans="9:23" x14ac:dyDescent="0.2">
      <c r="N35" s="368">
        <f t="shared" si="2"/>
        <v>48</v>
      </c>
      <c r="O35" s="368" t="s">
        <v>188</v>
      </c>
      <c r="P35" s="369">
        <f>_xll.qlInterestRateIndexFixingDate(IborIndex,Q35)</f>
        <v>43412</v>
      </c>
      <c r="Q35" s="369">
        <f>_xll.qlCalendarAdvance(Calendar,SettlementDate,N35&amp;"M","mf")</f>
        <v>43416</v>
      </c>
      <c r="R35" s="369">
        <f>_xll.qlInterestRateIndexMaturity(IborIndex,Q35)</f>
        <v>43781</v>
      </c>
      <c r="S35" s="370">
        <f>_xll.qlIndexFixing(IborIndex,P35,TRUE,InterestRatesTrigger)</f>
        <v>9.5231047545984628E-3</v>
      </c>
      <c r="T35" s="368" t="str">
        <f>_xll.qlMakeDatedOIS(,Q35,R35,OvernightIndex,0,"Act/360",0)</f>
        <v>obj_005c3#0001</v>
      </c>
      <c r="U35" s="370">
        <f>_xll.qlOvernightIndexedSwapFairRate(T35,InterestRatesTrigger)</f>
        <v>4.38665213108521E-3</v>
      </c>
      <c r="V35" s="371">
        <f t="shared" si="1"/>
        <v>5.1359999999999999E-3</v>
      </c>
    </row>
    <row r="36" spans="9:23" x14ac:dyDescent="0.2">
      <c r="I36" s="299"/>
      <c r="J36" s="299"/>
      <c r="N36" s="372">
        <f t="shared" si="2"/>
        <v>60</v>
      </c>
      <c r="O36" s="372" t="s">
        <v>189</v>
      </c>
      <c r="P36" s="373">
        <f>_xll.qlInterestRateIndexFixingDate(IborIndex,Q36)</f>
        <v>43776</v>
      </c>
      <c r="Q36" s="373">
        <f>_xll.qlCalendarAdvance(Calendar,SettlementDate,N36&amp;"M","mf")</f>
        <v>43780</v>
      </c>
      <c r="R36" s="373">
        <f>_xll.qlInterestRateIndexMaturity(IborIndex,Q36)</f>
        <v>44146</v>
      </c>
      <c r="S36" s="374">
        <f>_xll.qlIndexFixing(IborIndex,P36,TRUE,InterestRatesTrigger)</f>
        <v>1.2593732471048639E-2</v>
      </c>
      <c r="T36" s="372" t="str">
        <f>_xll.qlMakeDatedOIS(,Q36,R36,OvernightIndex,0,"Act/360",0)</f>
        <v>obj_005dd#0001</v>
      </c>
      <c r="U36" s="374">
        <f>_xll.qlOvernightIndexedSwapFairRate(T36,InterestRatesTrigger)</f>
        <v>7.6055547929316314E-3</v>
      </c>
      <c r="V36" s="375">
        <f t="shared" si="1"/>
        <v>4.9880000000000002E-3</v>
      </c>
    </row>
    <row r="37" spans="9:23" x14ac:dyDescent="0.2">
      <c r="N37" s="362"/>
      <c r="O37" s="362"/>
      <c r="P37" s="360"/>
      <c r="Q37" s="360"/>
      <c r="R37" s="360"/>
      <c r="S37" s="361"/>
      <c r="T37" s="362"/>
      <c r="U37" s="361"/>
      <c r="V37" s="363"/>
      <c r="W37" s="361"/>
    </row>
    <row r="38" spans="9:23" x14ac:dyDescent="0.2">
      <c r="I38" s="299"/>
      <c r="J38" s="299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Q3:Q10">
      <formula1>"TRUE,FALSE"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66</vt:i4>
      </vt:variant>
    </vt:vector>
  </HeadingPairs>
  <TitlesOfParts>
    <vt:vector size="77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basis 3M</vt:lpstr>
      <vt:lpstr>basis 6M </vt:lpstr>
      <vt:lpstr>1M Curve</vt:lpstr>
      <vt:lpstr>1Y Curve</vt:lpstr>
      <vt:lpstr>Accuracy</vt:lpstr>
      <vt:lpstr>AllTriggers</vt:lpstr>
      <vt:lpstr>BasisInterpolation</vt:lpstr>
      <vt:lpstr>BasisInterpolator</vt:lpstr>
      <vt:lpstr>Calendar</vt:lpstr>
      <vt:lpstr>'1M Curve'!Conventions</vt:lpstr>
      <vt:lpstr>'1Y Curve'!Conventions</vt:lpstr>
      <vt:lpstr>Currency</vt:lpstr>
      <vt:lpstr>DayCounter</vt:lpstr>
      <vt:lpstr>'1MSynthDepo'!DayCounter1M</vt:lpstr>
      <vt:lpstr>'1YSynthDepo'!DayCounter1M</vt:lpstr>
      <vt:lpstr>'3MSynthDepo'!DayCounter3M</vt:lpstr>
      <vt:lpstr>'6MSynthDepo'!DayCounter6M</vt:lpstr>
      <vt:lpstr>'1MSynthDepo'!DayCounterOIS</vt:lpstr>
      <vt:lpstr>'1YSynthDepo'!DayCounterOIS</vt:lpstr>
      <vt:lpstr>'3MSynthDepo'!DayCounterOIS</vt:lpstr>
      <vt:lpstr>'6MSynthDepo'!DayCounterOIS</vt:lpstr>
      <vt:lpstr>'1MSynthDepo'!DayCounterON</vt:lpstr>
      <vt:lpstr>'1YSynthDepo'!DayCounterON</vt:lpstr>
      <vt:lpstr>'3MSynthDepo'!DayCounterON</vt:lpstr>
      <vt:lpstr>'6MSynthDepo'!DayCounterON</vt:lpstr>
      <vt:lpstr>Discounting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interpolatedbasis3M</vt:lpstr>
      <vt:lpstr>interpolatedbasis6M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2014-11-07T09:26:10Z</dcterms:modified>
</cp:coreProperties>
</file>