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90" windowWidth="22995" windowHeight="10290"/>
  </bookViews>
  <sheets>
    <sheet name="General Settings" sheetId="6" r:id="rId1"/>
    <sheet name="RateHelpers" sheetId="4" r:id="rId2"/>
    <sheet name="Selected" sheetId="5" r:id="rId3"/>
    <sheet name="STD_Deposits" sheetId="7" r:id="rId4"/>
    <sheet name="STD_Futures" sheetId="9" r:id="rId5"/>
    <sheet name="STD_Swaps" sheetId="11" r:id="rId6"/>
  </sheets>
  <definedNames>
    <definedName name="Accuracy">'General Settings'!$D$19</definedName>
    <definedName name="BondBasisDayCounter">'General Settings'!$M$13</definedName>
    <definedName name="Calendar">'General Settings'!$D$18</definedName>
    <definedName name="Conventions" localSheetId="5">STD_Swaps!$P$6:$R$10</definedName>
    <definedName name="Currency">'General Settings'!$D$4</definedName>
    <definedName name="DepoInclusionCriteria">Selected!$B$5</definedName>
    <definedName name="Discounting">'General Settings'!$M$15</definedName>
    <definedName name="Discounting2">'General Settings'!$M$16</definedName>
    <definedName name="DiscountingCurve" localSheetId="5">STD_Swaps!$L$2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RateHelpers!$J$2:$J$171</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RateHelpers!$E$2:$E$171</definedName>
    <definedName name="RateHelpersIncluded">RateHelpers!$H$2:$H$171</definedName>
    <definedName name="RateHelpersPriority">RateHelpers!$I$2:$I$171</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S3" i="9"/>
  <c r="D3" i="9" a="1"/>
  <c r="D3" i="9" l="1"/>
  <c r="D11" i="9"/>
  <c r="D19" i="9"/>
  <c r="D27" i="9"/>
  <c r="D35" i="9"/>
  <c r="D43" i="9"/>
  <c r="D4" i="9"/>
  <c r="D12" i="9"/>
  <c r="D20" i="9"/>
  <c r="D28" i="9"/>
  <c r="D36" i="9"/>
  <c r="D44" i="9"/>
  <c r="D5" i="9"/>
  <c r="D13" i="9"/>
  <c r="D21" i="9"/>
  <c r="D29" i="9"/>
  <c r="D37" i="9"/>
  <c r="D6" i="9"/>
  <c r="D14" i="9"/>
  <c r="D22" i="9"/>
  <c r="D30" i="9"/>
  <c r="D38" i="9"/>
  <c r="D7" i="9"/>
  <c r="D15" i="9"/>
  <c r="D23" i="9"/>
  <c r="D31" i="9"/>
  <c r="D39" i="9"/>
  <c r="D8" i="9"/>
  <c r="D16" i="9"/>
  <c r="D24" i="9"/>
  <c r="D32" i="9"/>
  <c r="D40" i="9"/>
  <c r="D17" i="9"/>
  <c r="D25" i="9"/>
  <c r="D33" i="9"/>
  <c r="D41" i="9"/>
  <c r="D9" i="9"/>
  <c r="D10" i="9"/>
  <c r="D18" i="9"/>
  <c r="D26" i="9"/>
  <c r="D34" i="9"/>
  <c r="D42" i="9"/>
  <c r="M15" i="6"/>
  <c r="M16" i="6"/>
  <c r="K2" i="11"/>
  <c r="K3" i="11" s="1"/>
  <c r="L2" i="11"/>
  <c r="D6" i="11" a="1"/>
  <c r="D6" i="11" s="1"/>
  <c r="E6" i="11" a="1"/>
  <c r="E10" i="11" s="1"/>
  <c r="H1" i="9"/>
  <c r="H2"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1" i="7"/>
  <c r="E2" i="7" s="1"/>
  <c r="D3" i="7"/>
  <c r="C4" i="7"/>
  <c r="D4" i="7"/>
  <c r="C5" i="7"/>
  <c r="D5" i="7"/>
  <c r="C6" i="7"/>
  <c r="D6" i="7"/>
  <c r="C7" i="7"/>
  <c r="D7" i="7"/>
  <c r="C8" i="7"/>
  <c r="D8" i="7"/>
  <c r="C9" i="7"/>
  <c r="D9" i="7"/>
  <c r="C10" i="7"/>
  <c r="D10" i="7"/>
  <c r="C11" i="7"/>
  <c r="D11" i="7"/>
  <c r="C12" i="7"/>
  <c r="D12" i="7"/>
  <c r="C13" i="7"/>
  <c r="D13" i="7"/>
  <c r="C14" i="7"/>
  <c r="D14" i="7"/>
  <c r="C15" i="7"/>
  <c r="D15" i="7"/>
  <c r="C16" i="7"/>
  <c r="D16" i="7"/>
  <c r="C17" i="7"/>
  <c r="D17" i="7"/>
  <c r="C18" i="7"/>
  <c r="D18" i="7"/>
  <c r="E17" i="7" l="1"/>
  <c r="E14" i="7"/>
  <c r="E9" i="7"/>
  <c r="E6" i="7"/>
  <c r="E15" i="7"/>
  <c r="E12" i="7"/>
  <c r="E28" i="11"/>
  <c r="E33" i="11"/>
  <c r="E20" i="11"/>
  <c r="E9" i="11"/>
  <c r="E6" i="11"/>
  <c r="J6" i="11" s="1"/>
  <c r="D17" i="11"/>
  <c r="D28" i="11"/>
  <c r="H28" i="11" s="1"/>
  <c r="D12" i="11"/>
  <c r="H12" i="11" s="1"/>
  <c r="D25" i="11"/>
  <c r="D36" i="11"/>
  <c r="H36" i="11" s="1"/>
  <c r="D9" i="11"/>
  <c r="D23" i="11"/>
  <c r="H23" i="11" s="1"/>
  <c r="D33" i="11"/>
  <c r="H33" i="11" s="1"/>
  <c r="D20" i="11"/>
  <c r="H20" i="11" s="1"/>
  <c r="D7" i="11"/>
  <c r="H7" i="11" s="1"/>
  <c r="D15" i="11"/>
  <c r="H15" i="11" s="1"/>
  <c r="D31" i="11"/>
  <c r="H31" i="11" s="1"/>
  <c r="E36" i="11"/>
  <c r="E25" i="11"/>
  <c r="E12" i="11"/>
  <c r="E42" i="11"/>
  <c r="E17" i="11"/>
  <c r="E41" i="11"/>
  <c r="E40" i="11"/>
  <c r="E35" i="11"/>
  <c r="E19" i="11"/>
  <c r="E11" i="11"/>
  <c r="D34" i="11"/>
  <c r="E31" i="11"/>
  <c r="D26" i="11"/>
  <c r="E23" i="11"/>
  <c r="D18" i="11"/>
  <c r="E15" i="11"/>
  <c r="D10" i="11"/>
  <c r="J10" i="11" s="1"/>
  <c r="E7" i="11"/>
  <c r="E39" i="11"/>
  <c r="D35" i="11"/>
  <c r="E32" i="11"/>
  <c r="D27" i="11"/>
  <c r="E24" i="11"/>
  <c r="D19" i="11"/>
  <c r="E16" i="11"/>
  <c r="D11" i="11"/>
  <c r="E8" i="11"/>
  <c r="D30" i="11"/>
  <c r="E27" i="11"/>
  <c r="D22" i="11"/>
  <c r="D14" i="11"/>
  <c r="E38" i="11"/>
  <c r="D32" i="11"/>
  <c r="E29" i="11"/>
  <c r="D24" i="11"/>
  <c r="E21" i="11"/>
  <c r="D16" i="11"/>
  <c r="E13" i="11"/>
  <c r="D8" i="11"/>
  <c r="E30" i="11"/>
  <c r="E22" i="11"/>
  <c r="E14" i="11"/>
  <c r="E37" i="11"/>
  <c r="E34" i="11"/>
  <c r="D29" i="11"/>
  <c r="E26" i="11"/>
  <c r="D21" i="11"/>
  <c r="E18" i="11"/>
  <c r="D13" i="11"/>
  <c r="H6" i="11"/>
  <c r="F6" i="11"/>
  <c r="D42" i="11"/>
  <c r="D41" i="11"/>
  <c r="D40" i="11"/>
  <c r="D39" i="11"/>
  <c r="D38" i="11"/>
  <c r="D37" i="11"/>
  <c r="E18" i="7"/>
  <c r="E7" i="7"/>
  <c r="E4" i="7"/>
  <c r="E11" i="7"/>
  <c r="E8" i="7"/>
  <c r="E16" i="7"/>
  <c r="E13" i="7"/>
  <c r="E10" i="7"/>
  <c r="E3" i="7"/>
  <c r="E5" i="7"/>
  <c r="F18" i="7"/>
  <c r="F4" i="7"/>
  <c r="F16" i="7"/>
  <c r="G16" i="7" s="1"/>
  <c r="F13" i="7"/>
  <c r="F9" i="7"/>
  <c r="F17" i="7"/>
  <c r="F8" i="7"/>
  <c r="F3" i="7"/>
  <c r="F10" i="7"/>
  <c r="F5" i="7"/>
  <c r="F11" i="7"/>
  <c r="F15" i="7"/>
  <c r="F12" i="7"/>
  <c r="J13" i="7"/>
  <c r="F14" i="7"/>
  <c r="F6" i="7"/>
  <c r="F7" i="7"/>
  <c r="G7" i="7" s="1"/>
  <c r="J3" i="7"/>
  <c r="J12" i="7"/>
  <c r="G12" i="7"/>
  <c r="G6" i="7"/>
  <c r="J6" i="7"/>
  <c r="E7" i="4" l="1"/>
  <c r="E13" i="4"/>
  <c r="E2" i="4"/>
  <c r="E3" i="4"/>
  <c r="E11" i="4"/>
  <c r="E17" i="4"/>
  <c r="E16" i="4"/>
  <c r="E15" i="4"/>
  <c r="E14" i="4"/>
  <c r="E4" i="4"/>
  <c r="E8" i="4"/>
  <c r="E10" i="4"/>
  <c r="E9" i="4"/>
  <c r="E6" i="4"/>
  <c r="E12" i="4"/>
  <c r="E5" i="4"/>
  <c r="J28" i="11"/>
  <c r="K28" i="11"/>
  <c r="F7" i="11"/>
  <c r="F15" i="11"/>
  <c r="K4" i="11"/>
  <c r="F28" i="11"/>
  <c r="K25" i="11"/>
  <c r="J33" i="11"/>
  <c r="K20" i="11"/>
  <c r="J9" i="11"/>
  <c r="K21" i="11"/>
  <c r="K33" i="11"/>
  <c r="K6" i="11"/>
  <c r="J13" i="11"/>
  <c r="F20" i="11"/>
  <c r="F33" i="11"/>
  <c r="K22" i="11"/>
  <c r="J27" i="11"/>
  <c r="K10" i="11"/>
  <c r="J17" i="11"/>
  <c r="K12" i="11"/>
  <c r="K9" i="11"/>
  <c r="J23" i="11"/>
  <c r="J35" i="11"/>
  <c r="K13" i="11"/>
  <c r="J7" i="11"/>
  <c r="J20" i="11"/>
  <c r="K32" i="11"/>
  <c r="J19" i="11"/>
  <c r="H25" i="11"/>
  <c r="F25" i="11"/>
  <c r="J11" i="11"/>
  <c r="K26" i="11"/>
  <c r="J8" i="11"/>
  <c r="K14" i="11"/>
  <c r="K24" i="11"/>
  <c r="J15" i="11"/>
  <c r="F36" i="11"/>
  <c r="J12" i="11"/>
  <c r="J36" i="11"/>
  <c r="K23" i="11"/>
  <c r="F31" i="11"/>
  <c r="J25" i="11"/>
  <c r="H9" i="11"/>
  <c r="F9" i="11"/>
  <c r="K29" i="11"/>
  <c r="K36" i="11"/>
  <c r="J21" i="11"/>
  <c r="K16" i="11"/>
  <c r="J31" i="11"/>
  <c r="F23" i="11"/>
  <c r="J30" i="11"/>
  <c r="F12" i="11"/>
  <c r="J34" i="11"/>
  <c r="H17" i="11"/>
  <c r="F17" i="11"/>
  <c r="J29" i="11"/>
  <c r="K17" i="11"/>
  <c r="K31" i="11"/>
  <c r="K7" i="11"/>
  <c r="J26" i="11"/>
  <c r="J18" i="11"/>
  <c r="K11" i="11"/>
  <c r="J32" i="11"/>
  <c r="H29" i="11"/>
  <c r="F29" i="11"/>
  <c r="H16" i="11"/>
  <c r="F16" i="11"/>
  <c r="H13" i="11"/>
  <c r="F13" i="11"/>
  <c r="H30" i="11"/>
  <c r="F30" i="11"/>
  <c r="H35" i="11"/>
  <c r="F35" i="11"/>
  <c r="J24" i="11"/>
  <c r="K18" i="11"/>
  <c r="K34" i="11"/>
  <c r="H21" i="11"/>
  <c r="F21" i="11"/>
  <c r="H32" i="11"/>
  <c r="F32" i="11"/>
  <c r="H10" i="11"/>
  <c r="F10" i="11"/>
  <c r="H19" i="11"/>
  <c r="F19" i="11"/>
  <c r="K30" i="11"/>
  <c r="H18" i="11"/>
  <c r="F18" i="11"/>
  <c r="K15" i="11"/>
  <c r="H22" i="11"/>
  <c r="F22" i="11"/>
  <c r="H34" i="11"/>
  <c r="F34" i="11"/>
  <c r="H8" i="11"/>
  <c r="F8" i="11"/>
  <c r="H14" i="11"/>
  <c r="F14" i="11"/>
  <c r="H27" i="11"/>
  <c r="F27" i="11"/>
  <c r="J14" i="11"/>
  <c r="J22" i="11"/>
  <c r="K8" i="11"/>
  <c r="J16" i="11"/>
  <c r="H24" i="11"/>
  <c r="F24" i="11"/>
  <c r="H26" i="11"/>
  <c r="F26" i="11"/>
  <c r="K19" i="11"/>
  <c r="K27" i="11"/>
  <c r="K35" i="11"/>
  <c r="H11" i="11"/>
  <c r="F11" i="11"/>
  <c r="H40" i="11"/>
  <c r="F40" i="11"/>
  <c r="J40" i="11"/>
  <c r="K40" i="11"/>
  <c r="H41" i="11"/>
  <c r="J41" i="11"/>
  <c r="F41" i="11"/>
  <c r="K41" i="11"/>
  <c r="H42" i="11"/>
  <c r="F42" i="11"/>
  <c r="J42" i="11"/>
  <c r="K42" i="11"/>
  <c r="H37" i="11"/>
  <c r="F37" i="11"/>
  <c r="J37" i="11"/>
  <c r="K37" i="11"/>
  <c r="H38" i="11"/>
  <c r="J38" i="11"/>
  <c r="F38" i="11"/>
  <c r="K38" i="11"/>
  <c r="H39" i="11"/>
  <c r="J39" i="11"/>
  <c r="F39" i="11"/>
  <c r="K39" i="11"/>
  <c r="F38" i="9"/>
  <c r="G38" i="9"/>
  <c r="H38" i="9"/>
  <c r="F6" i="9"/>
  <c r="G6" i="9"/>
  <c r="H6" i="9"/>
  <c r="H40" i="9"/>
  <c r="G40" i="9"/>
  <c r="F40" i="9"/>
  <c r="G39" i="9"/>
  <c r="H39" i="9"/>
  <c r="F39" i="9"/>
  <c r="H41" i="9"/>
  <c r="G41" i="9"/>
  <c r="F41" i="9"/>
  <c r="F37" i="9"/>
  <c r="G37" i="9"/>
  <c r="H37" i="9"/>
  <c r="F42" i="9"/>
  <c r="G42" i="9"/>
  <c r="H42" i="9"/>
  <c r="F43" i="9"/>
  <c r="G43" i="9"/>
  <c r="H43" i="9"/>
  <c r="F44" i="9"/>
  <c r="G44" i="9"/>
  <c r="H44" i="9"/>
  <c r="H32" i="9"/>
  <c r="G32" i="9"/>
  <c r="F32" i="9"/>
  <c r="G31" i="9"/>
  <c r="H31" i="9"/>
  <c r="F31" i="9"/>
  <c r="H33" i="9"/>
  <c r="G33" i="9"/>
  <c r="F33" i="9"/>
  <c r="F29" i="9"/>
  <c r="G29" i="9"/>
  <c r="H29" i="9"/>
  <c r="F34" i="9"/>
  <c r="H34" i="9"/>
  <c r="G34" i="9"/>
  <c r="F35" i="9"/>
  <c r="H35" i="9"/>
  <c r="G35" i="9"/>
  <c r="F36" i="9"/>
  <c r="G36" i="9"/>
  <c r="H36" i="9"/>
  <c r="F30" i="9"/>
  <c r="G30" i="9"/>
  <c r="H30" i="9"/>
  <c r="F22" i="9"/>
  <c r="G22" i="9"/>
  <c r="H22" i="9"/>
  <c r="H24" i="9"/>
  <c r="G24" i="9"/>
  <c r="F24" i="9"/>
  <c r="G23" i="9"/>
  <c r="H23" i="9"/>
  <c r="F23" i="9"/>
  <c r="H25" i="9"/>
  <c r="G25" i="9"/>
  <c r="F25" i="9"/>
  <c r="F21" i="9"/>
  <c r="G21" i="9"/>
  <c r="H21" i="9"/>
  <c r="F26" i="9"/>
  <c r="H26" i="9"/>
  <c r="G26" i="9"/>
  <c r="F27" i="9"/>
  <c r="H27" i="9"/>
  <c r="G27" i="9"/>
  <c r="F28" i="9"/>
  <c r="G28" i="9"/>
  <c r="H28" i="9"/>
  <c r="H16" i="9"/>
  <c r="G16" i="9"/>
  <c r="F16" i="9"/>
  <c r="G15" i="9"/>
  <c r="H15" i="9"/>
  <c r="F15" i="9"/>
  <c r="H17" i="9"/>
  <c r="G17" i="9"/>
  <c r="F17" i="9"/>
  <c r="F13" i="9"/>
  <c r="G13" i="9"/>
  <c r="H13" i="9"/>
  <c r="F18" i="9"/>
  <c r="G18" i="9"/>
  <c r="H18" i="9"/>
  <c r="F19" i="9"/>
  <c r="H19" i="9"/>
  <c r="G19" i="9"/>
  <c r="F20" i="9"/>
  <c r="H20" i="9"/>
  <c r="G20" i="9"/>
  <c r="F14" i="9"/>
  <c r="G14" i="9"/>
  <c r="H14" i="9"/>
  <c r="H8" i="9"/>
  <c r="G8" i="9"/>
  <c r="F8" i="9"/>
  <c r="G7" i="9"/>
  <c r="H7" i="9"/>
  <c r="F7" i="9"/>
  <c r="H9" i="9"/>
  <c r="G9" i="9"/>
  <c r="F9" i="9"/>
  <c r="F5" i="9"/>
  <c r="G5" i="9"/>
  <c r="H5" i="9"/>
  <c r="F10" i="9"/>
  <c r="H10" i="9"/>
  <c r="G10" i="9"/>
  <c r="F11" i="9"/>
  <c r="H11" i="9"/>
  <c r="G11" i="9"/>
  <c r="F12" i="9"/>
  <c r="H12" i="9"/>
  <c r="G12" i="9"/>
  <c r="F3" i="9"/>
  <c r="H3" i="9"/>
  <c r="G3" i="9"/>
  <c r="F4" i="9"/>
  <c r="G4" i="9"/>
  <c r="H4" i="9"/>
  <c r="J14" i="7"/>
  <c r="I21" i="9"/>
  <c r="I38" i="9"/>
  <c r="I12" i="9"/>
  <c r="I43" i="9"/>
  <c r="I25" i="9"/>
  <c r="G4" i="7"/>
  <c r="G8" i="7"/>
  <c r="O12" i="9"/>
  <c r="I26" i="9"/>
  <c r="I32" i="9"/>
  <c r="O26" i="9"/>
  <c r="I36" i="9"/>
  <c r="G5" i="7"/>
  <c r="G10" i="7"/>
  <c r="I18" i="9"/>
  <c r="G15" i="7"/>
  <c r="P4" i="9"/>
  <c r="I4" i="9"/>
  <c r="O4" i="9" s="1"/>
  <c r="I7" i="9"/>
  <c r="J4" i="7"/>
  <c r="I19" i="9"/>
  <c r="I24" i="9"/>
  <c r="O24" i="9" s="1"/>
  <c r="J10" i="7"/>
  <c r="O7" i="9"/>
  <c r="O25" i="9"/>
  <c r="I8" i="9"/>
  <c r="I40" i="9"/>
  <c r="O32" i="9"/>
  <c r="G9" i="7"/>
  <c r="J12" i="9"/>
  <c r="G3" i="7"/>
  <c r="Q4" i="9"/>
  <c r="G17" i="7"/>
  <c r="I14" i="9"/>
  <c r="O14" i="9" s="1"/>
  <c r="G11" i="7"/>
  <c r="I20" i="9"/>
  <c r="O20" i="9" s="1"/>
  <c r="I34" i="9"/>
  <c r="G14" i="7"/>
  <c r="I35" i="9"/>
  <c r="L4" i="11"/>
  <c r="O19" i="9"/>
  <c r="L24" i="11"/>
  <c r="L16" i="11"/>
  <c r="L18" i="11"/>
  <c r="I13" i="9"/>
  <c r="O13" i="9" s="1"/>
  <c r="O35" i="9"/>
  <c r="L34" i="11"/>
  <c r="I29" i="9"/>
  <c r="L25" i="11"/>
  <c r="J7" i="7"/>
  <c r="G13" i="7"/>
  <c r="I6" i="9"/>
  <c r="O6" i="9" s="1"/>
  <c r="L23" i="11"/>
  <c r="J18" i="7"/>
  <c r="J11" i="7"/>
  <c r="J8" i="7"/>
  <c r="I31" i="9"/>
  <c r="O31" i="9" s="1"/>
  <c r="I11" i="9"/>
  <c r="O11" i="9" s="1"/>
  <c r="I41" i="9"/>
  <c r="O41" i="9" s="1"/>
  <c r="I17" i="9"/>
  <c r="I44" i="9"/>
  <c r="O44" i="9" s="1"/>
  <c r="I5" i="9"/>
  <c r="G18" i="7"/>
  <c r="O21" i="9"/>
  <c r="O34" i="9"/>
  <c r="L17" i="11"/>
  <c r="J9" i="7"/>
  <c r="O40" i="9"/>
  <c r="L37" i="11"/>
  <c r="I23" i="9"/>
  <c r="I10" i="9"/>
  <c r="O5" i="9"/>
  <c r="I15" i="9"/>
  <c r="O15" i="9" s="1"/>
  <c r="I9" i="9"/>
  <c r="I42" i="9"/>
  <c r="I30" i="9"/>
  <c r="O30" i="9" s="1"/>
  <c r="J5" i="7"/>
  <c r="I3" i="9"/>
  <c r="O3" i="9" s="1"/>
  <c r="I33" i="9"/>
  <c r="O33" i="9" s="1"/>
  <c r="I22" i="9"/>
  <c r="O22" i="9" s="1"/>
  <c r="I39" i="9"/>
  <c r="O39" i="9" s="1"/>
  <c r="O9" i="9"/>
  <c r="O8" i="9"/>
  <c r="O36" i="9"/>
  <c r="O17" i="9"/>
  <c r="O29" i="9"/>
  <c r="L10" i="11"/>
  <c r="L30" i="11"/>
  <c r="L21" i="11"/>
  <c r="L11" i="11"/>
  <c r="L28" i="11"/>
  <c r="I28" i="9"/>
  <c r="O28" i="9" s="1"/>
  <c r="J16" i="7"/>
  <c r="I16" i="9"/>
  <c r="O16" i="9" s="1"/>
  <c r="O43" i="9"/>
  <c r="L33" i="11"/>
  <c r="J15" i="7"/>
  <c r="I27" i="9"/>
  <c r="O27" i="9" s="1"/>
  <c r="J10" i="9"/>
  <c r="I37" i="9"/>
  <c r="O37" i="9" s="1"/>
  <c r="O18" i="9"/>
  <c r="J5" i="9"/>
  <c r="L22" i="11"/>
  <c r="J17" i="7"/>
  <c r="O38" i="9"/>
  <c r="J41" i="9"/>
  <c r="L20" i="11"/>
  <c r="O23" i="9"/>
  <c r="I2" i="9"/>
  <c r="F2" i="7"/>
  <c r="L13" i="11"/>
  <c r="L36" i="11"/>
  <c r="L8" i="11"/>
  <c r="L38" i="11"/>
  <c r="L31" i="11"/>
  <c r="L32" i="11"/>
  <c r="L26" i="11"/>
  <c r="L15" i="11"/>
  <c r="L9" i="11"/>
  <c r="L35" i="11"/>
  <c r="L7" i="11"/>
  <c r="L40" i="11"/>
  <c r="L39" i="11"/>
  <c r="L42" i="11"/>
  <c r="L14" i="11"/>
  <c r="L41" i="11"/>
  <c r="L29" i="11"/>
  <c r="L6" i="11"/>
  <c r="M4" i="11"/>
  <c r="L19" i="11"/>
  <c r="L12" i="11"/>
  <c r="L27" i="11"/>
  <c r="L3" i="11" s="1"/>
  <c r="M10" i="9"/>
  <c r="O42" i="9"/>
  <c r="J42" i="9"/>
  <c r="E65" i="4" l="1"/>
  <c r="E78" i="4"/>
  <c r="E53" i="4"/>
  <c r="E63" i="4"/>
  <c r="E71" i="4"/>
  <c r="E52" i="4"/>
  <c r="E56" i="4"/>
  <c r="E40" i="4"/>
  <c r="E70" i="4"/>
  <c r="E72" i="4"/>
  <c r="E60" i="4"/>
  <c r="E59" i="4"/>
  <c r="E76" i="4"/>
  <c r="E50" i="4"/>
  <c r="E73" i="4"/>
  <c r="E57" i="4"/>
  <c r="E49" i="4"/>
  <c r="E75" i="4"/>
  <c r="E39" i="4"/>
  <c r="E69" i="4"/>
  <c r="E64" i="4"/>
  <c r="E68" i="4"/>
  <c r="E47" i="4"/>
  <c r="E62" i="4"/>
  <c r="E45" i="4"/>
  <c r="E43" i="4"/>
  <c r="E67" i="4"/>
  <c r="E46" i="4"/>
  <c r="E61" i="4"/>
  <c r="E79" i="4"/>
  <c r="E54" i="4"/>
  <c r="E66" i="4"/>
  <c r="E48" i="4"/>
  <c r="E41" i="4"/>
  <c r="E74" i="4"/>
  <c r="E51" i="4"/>
  <c r="E38" i="4"/>
  <c r="E77" i="4"/>
  <c r="E58" i="4"/>
  <c r="E55" i="4"/>
  <c r="E42" i="4"/>
  <c r="E44" i="4"/>
  <c r="E98" i="4"/>
  <c r="E117" i="4"/>
  <c r="E103" i="4"/>
  <c r="E110" i="4"/>
  <c r="E101" i="4"/>
  <c r="E121" i="4"/>
  <c r="E128" i="4"/>
  <c r="E131" i="4"/>
  <c r="E119" i="4"/>
  <c r="E134" i="4"/>
  <c r="E100" i="4"/>
  <c r="E116" i="4"/>
  <c r="E102" i="4"/>
  <c r="E113" i="4"/>
  <c r="E99" i="4"/>
  <c r="E104" i="4"/>
  <c r="E132" i="4"/>
  <c r="E125" i="4"/>
  <c r="E111" i="4"/>
  <c r="E106" i="4"/>
  <c r="E124" i="4"/>
  <c r="E120" i="4"/>
  <c r="E130" i="4"/>
  <c r="E118" i="4"/>
  <c r="E123" i="4"/>
  <c r="E122" i="4"/>
  <c r="E114" i="4"/>
  <c r="E129" i="4"/>
  <c r="E107" i="4"/>
  <c r="E126" i="4"/>
  <c r="E127" i="4"/>
  <c r="E105" i="4"/>
  <c r="E112" i="4"/>
  <c r="E133" i="4"/>
  <c r="E115" i="4"/>
  <c r="E108" i="4"/>
  <c r="E109" i="4"/>
  <c r="D8" i="6"/>
  <c r="D9" i="6"/>
  <c r="D6" i="6"/>
  <c r="O10" i="9"/>
  <c r="M15" i="9"/>
  <c r="M24" i="11"/>
  <c r="O61" i="4"/>
  <c r="M37" i="11"/>
  <c r="M6" i="11"/>
  <c r="J29" i="9"/>
  <c r="O74" i="4"/>
  <c r="M26" i="11"/>
  <c r="J6" i="9"/>
  <c r="J16" i="9"/>
  <c r="O72" i="4"/>
  <c r="M27" i="11"/>
  <c r="M9" i="11"/>
  <c r="M22" i="11"/>
  <c r="M31" i="9"/>
  <c r="M19" i="11"/>
  <c r="J19" i="9"/>
  <c r="M22" i="9"/>
  <c r="M21" i="11"/>
  <c r="J34" i="9"/>
  <c r="M24" i="9"/>
  <c r="M20" i="11"/>
  <c r="J38" i="9"/>
  <c r="M23" i="9"/>
  <c r="O67" i="4"/>
  <c r="M5" i="9"/>
  <c r="M35" i="9"/>
  <c r="M18" i="11"/>
  <c r="M8" i="11"/>
  <c r="O47" i="4"/>
  <c r="O49" i="4"/>
  <c r="M41" i="11"/>
  <c r="B1" i="6"/>
  <c r="M39" i="11"/>
  <c r="M33" i="11"/>
  <c r="O73" i="4"/>
  <c r="O44" i="4"/>
  <c r="O43" i="4"/>
  <c r="M7" i="11"/>
  <c r="O69" i="4"/>
  <c r="J36" i="9"/>
  <c r="O63" i="4"/>
  <c r="M25" i="11"/>
  <c r="O53" i="4"/>
  <c r="M36" i="11"/>
  <c r="J11" i="9"/>
  <c r="M39" i="9"/>
  <c r="O40" i="4"/>
  <c r="J18" i="9"/>
  <c r="J21" i="9"/>
  <c r="M6" i="9"/>
  <c r="O59" i="4"/>
  <c r="M12" i="11"/>
  <c r="J20" i="9"/>
  <c r="J43" i="9"/>
  <c r="M28" i="9"/>
  <c r="M14" i="11"/>
  <c r="O71" i="4"/>
  <c r="M38" i="11"/>
  <c r="J24" i="9"/>
  <c r="J33" i="9"/>
  <c r="O57" i="4"/>
  <c r="M3" i="9"/>
  <c r="O38" i="4"/>
  <c r="M10" i="11"/>
  <c r="M41" i="9"/>
  <c r="J13" i="9"/>
  <c r="J4" i="9"/>
  <c r="M16" i="11"/>
  <c r="O46" i="4"/>
  <c r="O55" i="4"/>
  <c r="M28" i="11"/>
  <c r="M31" i="11"/>
  <c r="J22" i="9"/>
  <c r="J15" i="9"/>
  <c r="M33" i="9"/>
  <c r="O79" i="4"/>
  <c r="J23" i="9"/>
  <c r="M32" i="9"/>
  <c r="M44" i="9"/>
  <c r="O66" i="4"/>
  <c r="J35" i="9"/>
  <c r="M40" i="9"/>
  <c r="M36" i="9"/>
  <c r="O42" i="4"/>
  <c r="J9" i="9"/>
  <c r="M27" i="9"/>
  <c r="M29" i="11"/>
  <c r="J26" i="9"/>
  <c r="M23" i="11"/>
  <c r="M19" i="9"/>
  <c r="M25" i="9"/>
  <c r="O64" i="4"/>
  <c r="O75" i="4"/>
  <c r="M20" i="9"/>
  <c r="M42" i="9"/>
  <c r="M29" i="9"/>
  <c r="O45" i="4"/>
  <c r="O78" i="4"/>
  <c r="M43" i="9"/>
  <c r="M17" i="11"/>
  <c r="M13" i="9"/>
  <c r="O58" i="4"/>
  <c r="J44" i="9"/>
  <c r="J30" i="9"/>
  <c r="M9" i="9"/>
  <c r="M21" i="9"/>
  <c r="M7" i="9"/>
  <c r="M40" i="11"/>
  <c r="M18" i="9"/>
  <c r="J28" i="9"/>
  <c r="M12" i="9"/>
  <c r="M30" i="11"/>
  <c r="J25" i="9"/>
  <c r="O39" i="4"/>
  <c r="M42" i="11"/>
  <c r="O60" i="4"/>
  <c r="M11" i="11"/>
  <c r="O62" i="4"/>
  <c r="M8" i="9"/>
  <c r="O48" i="4"/>
  <c r="M34" i="9"/>
  <c r="O50" i="4"/>
  <c r="J32" i="9"/>
  <c r="O54" i="4"/>
  <c r="M4" i="9"/>
  <c r="M38" i="9"/>
  <c r="J37" i="9"/>
  <c r="J31" i="9"/>
  <c r="O52" i="4"/>
  <c r="O77" i="4"/>
  <c r="O76" i="4"/>
  <c r="J8" i="9"/>
  <c r="J17" i="9"/>
  <c r="M11" i="9"/>
  <c r="J14" i="9"/>
  <c r="J39" i="9"/>
  <c r="M26" i="9"/>
  <c r="O56" i="4"/>
  <c r="M34" i="11"/>
  <c r="O51" i="4"/>
  <c r="M35" i="11"/>
  <c r="M37" i="9"/>
  <c r="O68" i="4"/>
  <c r="O65" i="4"/>
  <c r="M15" i="11"/>
  <c r="O70" i="4"/>
  <c r="J40" i="9"/>
  <c r="M17" i="9"/>
  <c r="F50" i="4"/>
  <c r="J27" i="9"/>
  <c r="M32" i="11"/>
  <c r="O41" i="4"/>
  <c r="M13" i="11"/>
  <c r="M14" i="9"/>
  <c r="J7" i="9"/>
  <c r="M16" i="9"/>
  <c r="J3" i="9"/>
  <c r="M30" i="9"/>
  <c r="J2" i="9"/>
  <c r="M3" i="11"/>
  <c r="G2" i="7"/>
  <c r="D16" i="6" l="1"/>
  <c r="C18" i="4"/>
  <c r="E18" i="4" s="1"/>
  <c r="C19" i="4"/>
  <c r="E19" i="4" s="1"/>
  <c r="D20" i="4"/>
  <c r="E20" i="4" s="1"/>
  <c r="D21" i="4"/>
  <c r="E21" i="4" s="1"/>
  <c r="D22" i="4"/>
  <c r="E22" i="4" s="1"/>
  <c r="D23" i="4"/>
  <c r="E23" i="4" s="1"/>
  <c r="D24" i="4"/>
  <c r="E24" i="4" s="1"/>
  <c r="D25" i="4"/>
  <c r="E25" i="4" s="1"/>
  <c r="D26" i="4"/>
  <c r="E26" i="4" s="1"/>
  <c r="D27" i="4"/>
  <c r="E27" i="4" s="1"/>
  <c r="D28" i="4"/>
  <c r="E28" i="4" s="1"/>
  <c r="D29" i="4"/>
  <c r="E29" i="4" s="1"/>
  <c r="D30" i="4"/>
  <c r="E30" i="4" s="1"/>
  <c r="D31" i="4"/>
  <c r="E31" i="4" s="1"/>
  <c r="D32" i="4"/>
  <c r="E32" i="4" s="1"/>
  <c r="D33" i="4"/>
  <c r="E33" i="4" s="1"/>
  <c r="D34" i="4"/>
  <c r="E34" i="4" s="1"/>
  <c r="D35" i="4"/>
  <c r="E35" i="4" s="1"/>
  <c r="D36" i="4"/>
  <c r="E36" i="4" s="1"/>
  <c r="D37" i="4"/>
  <c r="E37" i="4" s="1"/>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E80" i="4"/>
  <c r="E81" i="4"/>
  <c r="E82" i="4"/>
  <c r="E83" i="4"/>
  <c r="E84" i="4"/>
  <c r="E85" i="4"/>
  <c r="E86" i="4"/>
  <c r="E87" i="4"/>
  <c r="E88" i="4"/>
  <c r="E89" i="4"/>
  <c r="E90" i="4"/>
  <c r="E91" i="4"/>
  <c r="E92" i="4"/>
  <c r="E93" i="4"/>
  <c r="E94" i="4"/>
  <c r="E95" i="4"/>
  <c r="E96" i="4"/>
  <c r="E97" i="4"/>
  <c r="B98" i="4"/>
  <c r="C98" i="4"/>
  <c r="B99" i="4"/>
  <c r="C99" i="4"/>
  <c r="B100" i="4"/>
  <c r="C100" i="4"/>
  <c r="B101" i="4"/>
  <c r="C101" i="4"/>
  <c r="B102" i="4"/>
  <c r="C102" i="4"/>
  <c r="B103" i="4"/>
  <c r="C103" i="4"/>
  <c r="B104" i="4"/>
  <c r="C104" i="4"/>
  <c r="B105" i="4"/>
  <c r="C105" i="4"/>
  <c r="B106" i="4"/>
  <c r="C106" i="4"/>
  <c r="B107" i="4"/>
  <c r="C107" i="4"/>
  <c r="B108" i="4"/>
  <c r="C108" i="4"/>
  <c r="B109" i="4"/>
  <c r="C109" i="4"/>
  <c r="B110" i="4"/>
  <c r="C110" i="4"/>
  <c r="B111" i="4"/>
  <c r="C111" i="4"/>
  <c r="B112" i="4"/>
  <c r="C112" i="4"/>
  <c r="B113" i="4"/>
  <c r="C113" i="4"/>
  <c r="B114" i="4"/>
  <c r="C114" i="4"/>
  <c r="B115" i="4"/>
  <c r="C115" i="4"/>
  <c r="B116" i="4"/>
  <c r="C116" i="4"/>
  <c r="B117" i="4"/>
  <c r="C117" i="4"/>
  <c r="B118" i="4"/>
  <c r="C118" i="4"/>
  <c r="B119" i="4"/>
  <c r="C119" i="4"/>
  <c r="B120" i="4"/>
  <c r="C120" i="4"/>
  <c r="B121" i="4"/>
  <c r="C121" i="4"/>
  <c r="B122" i="4"/>
  <c r="C122" i="4"/>
  <c r="B123" i="4"/>
  <c r="C123" i="4"/>
  <c r="B124" i="4"/>
  <c r="C124" i="4"/>
  <c r="B125" i="4"/>
  <c r="C125" i="4"/>
  <c r="B126" i="4"/>
  <c r="C126" i="4"/>
  <c r="B127" i="4"/>
  <c r="C127" i="4"/>
  <c r="B128" i="4"/>
  <c r="C128" i="4"/>
  <c r="B129" i="4"/>
  <c r="C129" i="4"/>
  <c r="B130" i="4"/>
  <c r="C130" i="4"/>
  <c r="B131" i="4"/>
  <c r="C131" i="4"/>
  <c r="B132" i="4"/>
  <c r="C132" i="4"/>
  <c r="B133" i="4"/>
  <c r="C133" i="4"/>
  <c r="B134" i="4"/>
  <c r="C134" i="4"/>
  <c r="B135" i="4"/>
  <c r="C135" i="4"/>
  <c r="B136" i="4"/>
  <c r="C136" i="4"/>
  <c r="B137" i="4"/>
  <c r="C137" i="4"/>
  <c r="B138" i="4"/>
  <c r="C138" i="4"/>
  <c r="B139" i="4"/>
  <c r="C139" i="4"/>
  <c r="B140" i="4"/>
  <c r="C140" i="4"/>
  <c r="B141" i="4"/>
  <c r="C141" i="4"/>
  <c r="B142" i="4"/>
  <c r="C142" i="4"/>
  <c r="B143" i="4"/>
  <c r="C143" i="4"/>
  <c r="B144" i="4"/>
  <c r="C144" i="4"/>
  <c r="B145" i="4"/>
  <c r="C145" i="4"/>
  <c r="B146" i="4"/>
  <c r="C146" i="4"/>
  <c r="B147" i="4"/>
  <c r="C147" i="4"/>
  <c r="B148" i="4"/>
  <c r="C148" i="4"/>
  <c r="B149" i="4"/>
  <c r="C149" i="4"/>
  <c r="B150" i="4"/>
  <c r="C150" i="4"/>
  <c r="B151" i="4"/>
  <c r="C151" i="4"/>
  <c r="B152" i="4"/>
  <c r="C152" i="4"/>
  <c r="B153" i="4"/>
  <c r="C153" i="4"/>
  <c r="B154" i="4"/>
  <c r="C154" i="4"/>
  <c r="B155" i="4"/>
  <c r="C155" i="4"/>
  <c r="B156" i="4"/>
  <c r="C156" i="4"/>
  <c r="B157" i="4"/>
  <c r="C157" i="4"/>
  <c r="B158" i="4"/>
  <c r="C158" i="4"/>
  <c r="B159" i="4"/>
  <c r="C159" i="4"/>
  <c r="B160" i="4"/>
  <c r="C160" i="4"/>
  <c r="B161" i="4"/>
  <c r="C161" i="4"/>
  <c r="B162" i="4"/>
  <c r="C162" i="4"/>
  <c r="B163" i="4"/>
  <c r="C163" i="4"/>
  <c r="B164" i="4"/>
  <c r="C164" i="4"/>
  <c r="B165" i="4"/>
  <c r="C165" i="4"/>
  <c r="B166" i="4"/>
  <c r="C166" i="4"/>
  <c r="B167" i="4"/>
  <c r="C167" i="4"/>
  <c r="B168" i="4"/>
  <c r="C168" i="4"/>
  <c r="B169" i="4"/>
  <c r="C169" i="4"/>
  <c r="B170" i="4"/>
  <c r="C170" i="4"/>
  <c r="B171" i="4"/>
  <c r="C171" i="4"/>
  <c r="O19" i="4"/>
  <c r="K92" i="4"/>
  <c r="D38" i="4" a="1"/>
  <c r="K80" i="4"/>
  <c r="L7" i="4"/>
  <c r="L29" i="4"/>
  <c r="F90" i="4"/>
  <c r="F27" i="4"/>
  <c r="K30" i="4"/>
  <c r="F97" i="4"/>
  <c r="F26" i="4"/>
  <c r="K29" i="4"/>
  <c r="F12" i="4"/>
  <c r="F7" i="4"/>
  <c r="F83" i="4"/>
  <c r="F11" i="4"/>
  <c r="K87" i="4"/>
  <c r="K88" i="4"/>
  <c r="F34" i="4"/>
  <c r="K32" i="4"/>
  <c r="L83" i="4"/>
  <c r="L28" i="4"/>
  <c r="L16" i="4"/>
  <c r="K25" i="4"/>
  <c r="K28" i="4"/>
  <c r="F16" i="4"/>
  <c r="G82" i="4"/>
  <c r="K9" i="4"/>
  <c r="F19" i="4"/>
  <c r="K93" i="4"/>
  <c r="F15" i="4"/>
  <c r="K83" i="4"/>
  <c r="K5" i="4"/>
  <c r="L95" i="4"/>
  <c r="L89" i="4"/>
  <c r="L21" i="4"/>
  <c r="G88" i="4"/>
  <c r="L80" i="4"/>
  <c r="G84" i="4"/>
  <c r="K89" i="4"/>
  <c r="L20" i="4"/>
  <c r="G80" i="4"/>
  <c r="F31" i="4"/>
  <c r="G83" i="4"/>
  <c r="L86" i="4"/>
  <c r="F8" i="4"/>
  <c r="K84" i="4"/>
  <c r="F6" i="4"/>
  <c r="F36" i="4"/>
  <c r="F25" i="4"/>
  <c r="K12" i="4"/>
  <c r="K97" i="4"/>
  <c r="L81" i="4"/>
  <c r="F5" i="4"/>
  <c r="K17" i="4"/>
  <c r="L25" i="4"/>
  <c r="L5" i="4"/>
  <c r="F93" i="4"/>
  <c r="G91" i="4"/>
  <c r="L4" i="4"/>
  <c r="G97" i="4"/>
  <c r="G93" i="4"/>
  <c r="F13" i="4"/>
  <c r="K15" i="4"/>
  <c r="F2" i="4"/>
  <c r="K20" i="4"/>
  <c r="L18" i="4"/>
  <c r="L27" i="4"/>
  <c r="K91" i="4"/>
  <c r="F96" i="4"/>
  <c r="K33" i="4"/>
  <c r="L8" i="4"/>
  <c r="F28" i="4"/>
  <c r="L94" i="4"/>
  <c r="G92" i="4"/>
  <c r="L9" i="4"/>
  <c r="L24" i="4"/>
  <c r="K2" i="4"/>
  <c r="F23" i="4"/>
  <c r="K13" i="4"/>
  <c r="K94" i="4"/>
  <c r="L34" i="4"/>
  <c r="K95" i="4"/>
  <c r="K36" i="4"/>
  <c r="F14" i="4"/>
  <c r="F92" i="4"/>
  <c r="L6" i="4"/>
  <c r="F9" i="4"/>
  <c r="F30" i="4"/>
  <c r="L3" i="4"/>
  <c r="L88" i="4"/>
  <c r="L37" i="4"/>
  <c r="G94" i="4"/>
  <c r="L23" i="4"/>
  <c r="K26" i="4"/>
  <c r="F82" i="4"/>
  <c r="K19" i="4"/>
  <c r="K21" i="4"/>
  <c r="K27" i="4"/>
  <c r="F81" i="4"/>
  <c r="L85" i="4"/>
  <c r="K8" i="4"/>
  <c r="L15" i="4"/>
  <c r="L90" i="4"/>
  <c r="F33" i="4"/>
  <c r="L91" i="4"/>
  <c r="L97" i="4"/>
  <c r="K34" i="4"/>
  <c r="L96" i="4"/>
  <c r="L32" i="4"/>
  <c r="F87" i="4"/>
  <c r="K10" i="4"/>
  <c r="F17" i="4"/>
  <c r="K37" i="4"/>
  <c r="F84" i="4"/>
  <c r="G96" i="4"/>
  <c r="K16" i="4"/>
  <c r="L33" i="4"/>
  <c r="L10" i="4"/>
  <c r="K90" i="4"/>
  <c r="L36" i="4"/>
  <c r="F85" i="4"/>
  <c r="L26" i="4"/>
  <c r="G89" i="4"/>
  <c r="K3" i="4"/>
  <c r="K14" i="4"/>
  <c r="F35" i="4"/>
  <c r="K35" i="4"/>
  <c r="L12" i="4"/>
  <c r="K96" i="4"/>
  <c r="G81" i="4"/>
  <c r="K23" i="4"/>
  <c r="F80" i="4"/>
  <c r="F86" i="4"/>
  <c r="L35" i="4"/>
  <c r="L19" i="4"/>
  <c r="L84" i="4"/>
  <c r="K22" i="4"/>
  <c r="L22" i="4"/>
  <c r="K31" i="4"/>
  <c r="G86" i="4"/>
  <c r="L87" i="4"/>
  <c r="F89" i="4"/>
  <c r="L13" i="4"/>
  <c r="G90" i="4"/>
  <c r="F29" i="4"/>
  <c r="F32" i="4"/>
  <c r="L31" i="4"/>
  <c r="F21" i="4"/>
  <c r="F37" i="4"/>
  <c r="G95" i="4"/>
  <c r="L14" i="4"/>
  <c r="L17" i="4"/>
  <c r="L92" i="4"/>
  <c r="F24" i="4"/>
  <c r="K86" i="4"/>
  <c r="G87" i="4"/>
  <c r="F95" i="4"/>
  <c r="L30" i="4"/>
  <c r="L11" i="4"/>
  <c r="G85" i="4"/>
  <c r="K7" i="4"/>
  <c r="K24" i="4"/>
  <c r="F94" i="4"/>
  <c r="F91" i="4"/>
  <c r="K11" i="4"/>
  <c r="F88" i="4"/>
  <c r="F3" i="4"/>
  <c r="F20" i="4"/>
  <c r="K4" i="4"/>
  <c r="F18" i="4"/>
  <c r="K6" i="4"/>
  <c r="K18" i="4"/>
  <c r="F10" i="4"/>
  <c r="K85" i="4"/>
  <c r="L93" i="4"/>
  <c r="F4" i="4"/>
  <c r="L2" i="4"/>
  <c r="F22" i="4"/>
  <c r="K81" i="4"/>
  <c r="K82" i="4"/>
  <c r="L82" i="4"/>
  <c r="E160" i="4" l="1"/>
  <c r="E141" i="4"/>
  <c r="E137" i="4"/>
  <c r="E170" i="4"/>
  <c r="E167" i="4"/>
  <c r="E163" i="4"/>
  <c r="E156" i="4"/>
  <c r="E159" i="4"/>
  <c r="E155" i="4"/>
  <c r="E151" i="4"/>
  <c r="E147" i="4"/>
  <c r="E136" i="4"/>
  <c r="E157" i="4"/>
  <c r="E164" i="4"/>
  <c r="E152" i="4"/>
  <c r="E144" i="4"/>
  <c r="E154" i="4"/>
  <c r="E146" i="4"/>
  <c r="E169" i="4"/>
  <c r="E149" i="4"/>
  <c r="E165" i="4"/>
  <c r="E140" i="4"/>
  <c r="E171" i="4"/>
  <c r="E162" i="4"/>
  <c r="E145" i="4"/>
  <c r="E142" i="4"/>
  <c r="E161" i="4"/>
  <c r="E158" i="4"/>
  <c r="E148" i="4"/>
  <c r="E138" i="4"/>
  <c r="D44" i="4"/>
  <c r="D52" i="4"/>
  <c r="D60" i="4"/>
  <c r="D68" i="4"/>
  <c r="D76" i="4"/>
  <c r="D43" i="4"/>
  <c r="D51" i="4"/>
  <c r="D59" i="4"/>
  <c r="D67" i="4"/>
  <c r="D75" i="4"/>
  <c r="D42" i="4"/>
  <c r="D50" i="4"/>
  <c r="D58" i="4"/>
  <c r="D66" i="4"/>
  <c r="D74" i="4"/>
  <c r="D45" i="4"/>
  <c r="D53" i="4"/>
  <c r="D61" i="4"/>
  <c r="D69" i="4"/>
  <c r="D77" i="4"/>
  <c r="D40" i="4"/>
  <c r="D48" i="4"/>
  <c r="D56" i="4"/>
  <c r="D64" i="4"/>
  <c r="D72" i="4"/>
  <c r="D39" i="4"/>
  <c r="D55" i="4"/>
  <c r="D71" i="4"/>
  <c r="D49" i="4"/>
  <c r="D65" i="4"/>
  <c r="D38" i="4"/>
  <c r="D54" i="4"/>
  <c r="D70" i="4"/>
  <c r="D73" i="4"/>
  <c r="D63" i="4"/>
  <c r="D78" i="4"/>
  <c r="D57" i="4"/>
  <c r="D62" i="4"/>
  <c r="D41" i="4"/>
  <c r="D46" i="4"/>
  <c r="D79" i="4"/>
  <c r="D47" i="4"/>
  <c r="E139" i="4"/>
  <c r="E153" i="4"/>
  <c r="E168" i="4"/>
  <c r="E150" i="4"/>
  <c r="E143" i="4"/>
  <c r="E135" i="4"/>
  <c r="E166" i="4"/>
  <c r="L117" i="4"/>
  <c r="F107" i="4"/>
  <c r="K104" i="4"/>
  <c r="F103" i="4"/>
  <c r="K78" i="4"/>
  <c r="L170" i="4"/>
  <c r="F150" i="4"/>
  <c r="G127" i="4"/>
  <c r="G156" i="4"/>
  <c r="F41" i="4"/>
  <c r="G55" i="4"/>
  <c r="F119" i="4"/>
  <c r="K68" i="4"/>
  <c r="G124" i="4"/>
  <c r="F53" i="4"/>
  <c r="L153" i="4"/>
  <c r="G135" i="4"/>
  <c r="G64" i="4"/>
  <c r="G161" i="4"/>
  <c r="K112" i="4"/>
  <c r="G165" i="4"/>
  <c r="K127" i="4"/>
  <c r="L155" i="4"/>
  <c r="D2" i="5" a="1"/>
  <c r="L104" i="4"/>
  <c r="G145" i="4"/>
  <c r="F143" i="4"/>
  <c r="L130" i="4"/>
  <c r="L62" i="4"/>
  <c r="F148" i="4"/>
  <c r="L54" i="4"/>
  <c r="L161" i="4"/>
  <c r="L162" i="4"/>
  <c r="G69" i="4"/>
  <c r="L109" i="4"/>
  <c r="K51" i="4"/>
  <c r="L40" i="4"/>
  <c r="F161" i="4"/>
  <c r="G52" i="4"/>
  <c r="L136" i="4"/>
  <c r="G109" i="4"/>
  <c r="G133" i="4"/>
  <c r="K154" i="4"/>
  <c r="L120" i="4"/>
  <c r="L99" i="4"/>
  <c r="K48" i="4"/>
  <c r="K132" i="4"/>
  <c r="K118" i="4"/>
  <c r="L129" i="4"/>
  <c r="L74" i="4"/>
  <c r="K169" i="4"/>
  <c r="G152" i="4"/>
  <c r="L73" i="4"/>
  <c r="K55" i="4"/>
  <c r="G73" i="4"/>
  <c r="F151" i="4"/>
  <c r="G134" i="4"/>
  <c r="K142" i="4"/>
  <c r="L169" i="4"/>
  <c r="G79" i="4"/>
  <c r="L60" i="4"/>
  <c r="G51" i="4"/>
  <c r="L126" i="4"/>
  <c r="L41" i="4"/>
  <c r="L45" i="4"/>
  <c r="G72" i="4"/>
  <c r="F122" i="4"/>
  <c r="F121" i="4"/>
  <c r="G169" i="4"/>
  <c r="L59" i="4"/>
  <c r="G140" i="4"/>
  <c r="F47" i="4"/>
  <c r="L116" i="4"/>
  <c r="K58" i="4"/>
  <c r="G163" i="4"/>
  <c r="L166" i="4"/>
  <c r="K135" i="4"/>
  <c r="K99" i="4"/>
  <c r="G159" i="4"/>
  <c r="F139" i="4"/>
  <c r="K103" i="4"/>
  <c r="K162" i="4"/>
  <c r="F40" i="4"/>
  <c r="L140" i="4"/>
  <c r="K57" i="4"/>
  <c r="G54" i="4"/>
  <c r="L128" i="4"/>
  <c r="L143" i="4"/>
  <c r="G77" i="4"/>
  <c r="F125" i="4"/>
  <c r="K138" i="4"/>
  <c r="F68" i="4"/>
  <c r="F104" i="4"/>
  <c r="L77" i="4"/>
  <c r="L66" i="4"/>
  <c r="K66" i="4"/>
  <c r="F137" i="4"/>
  <c r="G112" i="4"/>
  <c r="F108" i="4"/>
  <c r="G119" i="4"/>
  <c r="F155" i="4"/>
  <c r="K137" i="4"/>
  <c r="G45" i="4"/>
  <c r="K114" i="4"/>
  <c r="F167" i="4"/>
  <c r="G139" i="4"/>
  <c r="F69" i="4"/>
  <c r="G104" i="4"/>
  <c r="K52" i="4"/>
  <c r="L105" i="4"/>
  <c r="L50" i="4"/>
  <c r="K150" i="4"/>
  <c r="G118" i="4"/>
  <c r="F159" i="4"/>
  <c r="F110" i="4"/>
  <c r="K119" i="4"/>
  <c r="G56" i="4"/>
  <c r="G43" i="4"/>
  <c r="G153" i="4"/>
  <c r="F106" i="4"/>
  <c r="G40" i="4"/>
  <c r="K54" i="4"/>
  <c r="G123" i="4"/>
  <c r="G105" i="4"/>
  <c r="L53" i="4"/>
  <c r="G154" i="4"/>
  <c r="L157" i="4"/>
  <c r="K64" i="4"/>
  <c r="L144" i="4"/>
  <c r="F134" i="4"/>
  <c r="K98" i="4"/>
  <c r="G117" i="4"/>
  <c r="K63" i="4"/>
  <c r="F78" i="4"/>
  <c r="F61" i="4"/>
  <c r="G67" i="4"/>
  <c r="F147" i="4"/>
  <c r="F98" i="4"/>
  <c r="F169" i="4"/>
  <c r="G125" i="4"/>
  <c r="L171" i="4"/>
  <c r="F149" i="4"/>
  <c r="L58" i="4"/>
  <c r="L148" i="4"/>
  <c r="L63" i="4"/>
  <c r="K143" i="4"/>
  <c r="L44" i="4"/>
  <c r="G129" i="4"/>
  <c r="F157" i="4"/>
  <c r="K149" i="4"/>
  <c r="K100" i="4"/>
  <c r="K106" i="4"/>
  <c r="L137" i="4"/>
  <c r="K107" i="4"/>
  <c r="K129" i="4"/>
  <c r="F124" i="4"/>
  <c r="G57" i="4"/>
  <c r="G99" i="4"/>
  <c r="K121" i="4"/>
  <c r="G68" i="4"/>
  <c r="F142" i="4"/>
  <c r="F102" i="4"/>
  <c r="F64" i="4"/>
  <c r="K56" i="4"/>
  <c r="F42" i="4"/>
  <c r="L100" i="4"/>
  <c r="G106" i="4"/>
  <c r="K62" i="4"/>
  <c r="L125" i="4"/>
  <c r="L141" i="4"/>
  <c r="G157" i="4"/>
  <c r="F112" i="4"/>
  <c r="G44" i="4"/>
  <c r="G38" i="4"/>
  <c r="K75" i="4"/>
  <c r="G63" i="4"/>
  <c r="L115" i="4"/>
  <c r="L113" i="4"/>
  <c r="F43" i="4"/>
  <c r="K111" i="4"/>
  <c r="F79" i="4"/>
  <c r="F46" i="4"/>
  <c r="K164" i="4"/>
  <c r="K139" i="4"/>
  <c r="L163" i="4"/>
  <c r="F105" i="4"/>
  <c r="F65" i="4"/>
  <c r="L107" i="4"/>
  <c r="G110" i="4"/>
  <c r="G108" i="4"/>
  <c r="G59" i="4"/>
  <c r="F144" i="4"/>
  <c r="G136" i="4"/>
  <c r="K158" i="4"/>
  <c r="G102" i="4"/>
  <c r="L64" i="4"/>
  <c r="G60" i="4"/>
  <c r="L114" i="4"/>
  <c r="F49" i="4"/>
  <c r="G74" i="4"/>
  <c r="L76" i="4"/>
  <c r="L131" i="4"/>
  <c r="L164" i="4"/>
  <c r="F63" i="4"/>
  <c r="F58" i="4"/>
  <c r="L111" i="4"/>
  <c r="F160" i="4"/>
  <c r="G49" i="4"/>
  <c r="L147" i="4"/>
  <c r="L134" i="4"/>
  <c r="F38" i="4"/>
  <c r="K102" i="4"/>
  <c r="G100" i="4"/>
  <c r="G120" i="4"/>
  <c r="L38" i="4"/>
  <c r="F100" i="4"/>
  <c r="K69" i="4"/>
  <c r="K115" i="4"/>
  <c r="K67" i="4"/>
  <c r="K79" i="4"/>
  <c r="G162" i="4"/>
  <c r="K105" i="4"/>
  <c r="K152" i="4"/>
  <c r="G75" i="4"/>
  <c r="F126" i="4"/>
  <c r="G167" i="4"/>
  <c r="K159" i="4"/>
  <c r="L106" i="4"/>
  <c r="K144" i="4"/>
  <c r="K153" i="4"/>
  <c r="G114" i="4"/>
  <c r="K61" i="4"/>
  <c r="F39" i="4"/>
  <c r="L71" i="4"/>
  <c r="L108" i="4"/>
  <c r="G138" i="4"/>
  <c r="K128" i="4"/>
  <c r="L42" i="4"/>
  <c r="F145" i="4"/>
  <c r="K170" i="4"/>
  <c r="F170" i="4"/>
  <c r="F128" i="4"/>
  <c r="L119" i="4"/>
  <c r="K123" i="4"/>
  <c r="K109" i="4"/>
  <c r="F75" i="4"/>
  <c r="K39" i="4"/>
  <c r="F132" i="4"/>
  <c r="L167" i="4"/>
  <c r="G111" i="4"/>
  <c r="F154" i="4"/>
  <c r="K50" i="4"/>
  <c r="L65" i="4"/>
  <c r="K134" i="4"/>
  <c r="F73" i="4"/>
  <c r="L159" i="4"/>
  <c r="L139" i="4"/>
  <c r="G142" i="4"/>
  <c r="F171" i="4"/>
  <c r="G141" i="4"/>
  <c r="K110" i="4"/>
  <c r="F135" i="4"/>
  <c r="K70" i="4"/>
  <c r="K151" i="4"/>
  <c r="K101" i="4"/>
  <c r="F72" i="4"/>
  <c r="G98" i="4"/>
  <c r="F138" i="4"/>
  <c r="F48" i="4"/>
  <c r="K116" i="4"/>
  <c r="K74" i="4"/>
  <c r="K155" i="4"/>
  <c r="G137" i="4"/>
  <c r="F117" i="4"/>
  <c r="L146" i="4"/>
  <c r="G62" i="4"/>
  <c r="F165" i="4"/>
  <c r="F133" i="4"/>
  <c r="K113" i="4"/>
  <c r="K140" i="4"/>
  <c r="K42" i="4"/>
  <c r="G158" i="4"/>
  <c r="K171" i="4"/>
  <c r="G168" i="4"/>
  <c r="F56" i="4"/>
  <c r="G66" i="4"/>
  <c r="K148" i="4"/>
  <c r="G116" i="4"/>
  <c r="F123" i="4"/>
  <c r="G48" i="4"/>
  <c r="L150" i="4"/>
  <c r="K47" i="4"/>
  <c r="F115" i="4"/>
  <c r="F44" i="4"/>
  <c r="L152" i="4"/>
  <c r="L39" i="4"/>
  <c r="G155" i="4"/>
  <c r="G50" i="4"/>
  <c r="F156" i="4"/>
  <c r="F67" i="4"/>
  <c r="L124" i="4"/>
  <c r="F127" i="4"/>
  <c r="G128" i="4"/>
  <c r="F120" i="4"/>
  <c r="F168" i="4"/>
  <c r="G122" i="4"/>
  <c r="F54" i="4"/>
  <c r="K72" i="4"/>
  <c r="F74" i="4"/>
  <c r="K145" i="4"/>
  <c r="L121" i="4"/>
  <c r="L67" i="4"/>
  <c r="L51" i="4"/>
  <c r="L118" i="4"/>
  <c r="G149" i="4"/>
  <c r="K53" i="4"/>
  <c r="L68" i="4"/>
  <c r="L98" i="4"/>
  <c r="K161" i="4"/>
  <c r="L165" i="4"/>
  <c r="F55" i="4"/>
  <c r="K146" i="4"/>
  <c r="F99" i="4"/>
  <c r="L135" i="4"/>
  <c r="L48" i="4"/>
  <c r="F131" i="4"/>
  <c r="L112" i="4"/>
  <c r="F141" i="4"/>
  <c r="K73" i="4"/>
  <c r="G65" i="4"/>
  <c r="F101" i="4"/>
  <c r="F130" i="4"/>
  <c r="G103" i="4"/>
  <c r="L168" i="4"/>
  <c r="L123" i="4"/>
  <c r="K122" i="4"/>
  <c r="F118" i="4"/>
  <c r="K126" i="4"/>
  <c r="F71" i="4"/>
  <c r="G171" i="4"/>
  <c r="K133" i="4"/>
  <c r="F66" i="4"/>
  <c r="K71" i="4"/>
  <c r="G144" i="4"/>
  <c r="F114" i="4"/>
  <c r="G70" i="4"/>
  <c r="G107" i="4"/>
  <c r="K124" i="4"/>
  <c r="K120" i="4"/>
  <c r="K108" i="4"/>
  <c r="L52" i="4"/>
  <c r="G126" i="4"/>
  <c r="K136" i="4"/>
  <c r="L154" i="4"/>
  <c r="F52" i="4"/>
  <c r="G113" i="4"/>
  <c r="G41" i="4"/>
  <c r="K43" i="4"/>
  <c r="L151" i="4"/>
  <c r="K77" i="4"/>
  <c r="F166" i="4"/>
  <c r="G47" i="4"/>
  <c r="L72" i="4"/>
  <c r="G58" i="4"/>
  <c r="G164" i="4"/>
  <c r="L160" i="4"/>
  <c r="G131" i="4"/>
  <c r="F153" i="4"/>
  <c r="F76" i="4"/>
  <c r="K130" i="4"/>
  <c r="F77" i="4"/>
  <c r="K76" i="4"/>
  <c r="F152" i="4"/>
  <c r="F116" i="4"/>
  <c r="F136" i="4"/>
  <c r="G146" i="4"/>
  <c r="G53" i="4"/>
  <c r="K147" i="4"/>
  <c r="G170" i="4"/>
  <c r="L127" i="4"/>
  <c r="L149" i="4"/>
  <c r="G150" i="4"/>
  <c r="K38" i="4"/>
  <c r="G143" i="4"/>
  <c r="L142" i="4"/>
  <c r="G148" i="4"/>
  <c r="L138" i="4"/>
  <c r="K166" i="4"/>
  <c r="L57" i="4"/>
  <c r="F163" i="4"/>
  <c r="L103" i="4"/>
  <c r="L132" i="4"/>
  <c r="L158" i="4"/>
  <c r="F164" i="4"/>
  <c r="K65" i="4"/>
  <c r="G76" i="4"/>
  <c r="K45" i="4"/>
  <c r="L122" i="4"/>
  <c r="G166" i="4"/>
  <c r="F146" i="4"/>
  <c r="K163" i="4"/>
  <c r="L46" i="4"/>
  <c r="F162" i="4"/>
  <c r="G160" i="4"/>
  <c r="L101" i="4"/>
  <c r="K60" i="4"/>
  <c r="L61" i="4"/>
  <c r="F51" i="4"/>
  <c r="G115" i="4"/>
  <c r="L69" i="4"/>
  <c r="K167" i="4"/>
  <c r="K131" i="4"/>
  <c r="K168" i="4"/>
  <c r="L47" i="4"/>
  <c r="K59" i="4"/>
  <c r="K125" i="4"/>
  <c r="K46" i="4"/>
  <c r="G78" i="4"/>
  <c r="F60" i="4"/>
  <c r="L156" i="4"/>
  <c r="L49" i="4"/>
  <c r="G42" i="4"/>
  <c r="K160" i="4"/>
  <c r="G61" i="4"/>
  <c r="L79" i="4"/>
  <c r="F140" i="4"/>
  <c r="G46" i="4"/>
  <c r="K157" i="4"/>
  <c r="G39" i="4"/>
  <c r="K156" i="4"/>
  <c r="K40" i="4"/>
  <c r="G151" i="4"/>
  <c r="L70" i="4"/>
  <c r="F70" i="4"/>
  <c r="K49" i="4"/>
  <c r="K141" i="4"/>
  <c r="F45" i="4"/>
  <c r="L75" i="4"/>
  <c r="K117" i="4"/>
  <c r="K41" i="4"/>
  <c r="L56" i="4"/>
  <c r="L145" i="4"/>
  <c r="F59" i="4"/>
  <c r="K44" i="4"/>
  <c r="L110" i="4"/>
  <c r="L102" i="4"/>
  <c r="G132" i="4"/>
  <c r="F109" i="4"/>
  <c r="L133" i="4"/>
  <c r="G101" i="4"/>
  <c r="L55" i="4"/>
  <c r="G71" i="4"/>
  <c r="F62" i="4"/>
  <c r="F129" i="4"/>
  <c r="G121" i="4"/>
  <c r="F158" i="4"/>
  <c r="F57" i="4"/>
  <c r="L78" i="4"/>
  <c r="G147" i="4"/>
  <c r="F111" i="4"/>
  <c r="G130" i="4"/>
  <c r="L43" i="4"/>
  <c r="F113" i="4"/>
  <c r="K165" i="4"/>
  <c r="D6" i="5" l="1"/>
  <c r="D43" i="5"/>
  <c r="D107" i="5"/>
  <c r="D64" i="5"/>
  <c r="D9" i="5"/>
  <c r="D45" i="5"/>
  <c r="D109" i="5"/>
  <c r="D23" i="5"/>
  <c r="D73" i="5"/>
  <c r="D126" i="5"/>
  <c r="D94" i="5"/>
  <c r="D68" i="5"/>
  <c r="D60" i="5"/>
  <c r="D50" i="5"/>
  <c r="D16" i="5"/>
  <c r="D8" i="5"/>
  <c r="D83" i="5"/>
  <c r="D108" i="5"/>
  <c r="D10" i="5"/>
  <c r="D51" i="5"/>
  <c r="D115" i="5"/>
  <c r="D72" i="5"/>
  <c r="D13" i="5"/>
  <c r="D53" i="5"/>
  <c r="D117" i="5"/>
  <c r="D27" i="5"/>
  <c r="D81" i="5"/>
  <c r="D38" i="5"/>
  <c r="D102" i="5"/>
  <c r="D90" i="5"/>
  <c r="D82" i="5"/>
  <c r="D71" i="5"/>
  <c r="D42" i="5"/>
  <c r="D79" i="5"/>
  <c r="D26" i="5"/>
  <c r="D76" i="5"/>
  <c r="D14" i="5"/>
  <c r="D59" i="5"/>
  <c r="D123" i="5"/>
  <c r="D80" i="5"/>
  <c r="D17" i="5"/>
  <c r="D61" i="5"/>
  <c r="D125" i="5"/>
  <c r="D31" i="5"/>
  <c r="D89" i="5"/>
  <c r="D46" i="5"/>
  <c r="D118" i="5"/>
  <c r="D111" i="5"/>
  <c r="D103" i="5"/>
  <c r="D92" i="5"/>
  <c r="D63" i="5"/>
  <c r="D122" i="5"/>
  <c r="D104" i="5"/>
  <c r="D49" i="5"/>
  <c r="D116" i="5"/>
  <c r="D18" i="5"/>
  <c r="D67" i="5"/>
  <c r="D120" i="5"/>
  <c r="D88" i="5"/>
  <c r="D21" i="5"/>
  <c r="D69" i="5"/>
  <c r="D3" i="5"/>
  <c r="D35" i="5"/>
  <c r="D97" i="5"/>
  <c r="D54" i="5"/>
  <c r="D119" i="5"/>
  <c r="D52" i="5"/>
  <c r="D124" i="5"/>
  <c r="D114" i="5"/>
  <c r="D84" i="5"/>
  <c r="D58" i="5"/>
  <c r="D22" i="5"/>
  <c r="D75" i="5"/>
  <c r="D2" i="5"/>
  <c r="D96" i="5"/>
  <c r="D25" i="5"/>
  <c r="D77" i="5"/>
  <c r="D7" i="5"/>
  <c r="D41" i="5"/>
  <c r="D105" i="5"/>
  <c r="D62" i="5"/>
  <c r="D87" i="5"/>
  <c r="D74" i="5"/>
  <c r="D32" i="5"/>
  <c r="D55" i="5"/>
  <c r="D106" i="5"/>
  <c r="D100" i="5"/>
  <c r="D40" i="5"/>
  <c r="D29" i="5"/>
  <c r="D85" i="5"/>
  <c r="D11" i="5"/>
  <c r="D113" i="5"/>
  <c r="D70" i="5"/>
  <c r="D95" i="5"/>
  <c r="D20" i="5"/>
  <c r="D30" i="5"/>
  <c r="D34" i="5"/>
  <c r="D37" i="5"/>
  <c r="D110" i="5"/>
  <c r="D12" i="5"/>
  <c r="D91" i="5"/>
  <c r="D93" i="5"/>
  <c r="D78" i="5"/>
  <c r="D98" i="5"/>
  <c r="D57" i="5"/>
  <c r="D65" i="5"/>
  <c r="D121" i="5"/>
  <c r="D99" i="5"/>
  <c r="D101" i="5"/>
  <c r="D86" i="5"/>
  <c r="D36" i="5"/>
  <c r="D48" i="5"/>
  <c r="D15" i="5"/>
  <c r="D24" i="5"/>
  <c r="D4" i="5"/>
  <c r="D56" i="5"/>
  <c r="D19" i="5"/>
  <c r="D47" i="5"/>
  <c r="D44" i="5"/>
  <c r="D112" i="5"/>
  <c r="D28" i="5"/>
  <c r="D5" i="5"/>
  <c r="D39" i="5"/>
  <c r="D33" i="5"/>
  <c r="D66" i="5"/>
  <c r="N102" i="4"/>
  <c r="N114" i="4"/>
  <c r="N122" i="4"/>
  <c r="N127" i="4"/>
  <c r="N112" i="4"/>
  <c r="N129" i="4"/>
  <c r="N116" i="4"/>
  <c r="N105" i="4"/>
  <c r="N133" i="4"/>
  <c r="N128" i="4"/>
  <c r="N100" i="4"/>
  <c r="N107" i="4"/>
  <c r="N118" i="4"/>
  <c r="N119" i="4"/>
  <c r="N120" i="4"/>
  <c r="N124" i="4"/>
  <c r="N111" i="4"/>
  <c r="N117" i="4"/>
  <c r="N109" i="4"/>
  <c r="N98" i="4"/>
  <c r="N125" i="4"/>
  <c r="N113" i="4"/>
  <c r="N123" i="4"/>
  <c r="N104" i="4"/>
  <c r="N126" i="4"/>
  <c r="N106" i="4"/>
  <c r="N101" i="4"/>
  <c r="N130" i="4"/>
  <c r="N121" i="4"/>
  <c r="N134" i="4"/>
  <c r="N131" i="4"/>
  <c r="N103" i="4"/>
  <c r="N110" i="4"/>
  <c r="N99" i="4"/>
  <c r="N108" i="4"/>
  <c r="N115" i="4"/>
  <c r="N132" i="4"/>
  <c r="Q19" i="4"/>
  <c r="E104" i="5"/>
  <c r="E26" i="5"/>
  <c r="G115" i="5"/>
  <c r="E55" i="5"/>
  <c r="F57" i="5"/>
  <c r="E123" i="5"/>
  <c r="H65" i="5"/>
  <c r="E119" i="5"/>
  <c r="F33" i="5"/>
  <c r="F61" i="5"/>
  <c r="H19" i="5"/>
  <c r="H85" i="5"/>
  <c r="F29" i="5"/>
  <c r="F15" i="5"/>
  <c r="G34" i="5"/>
  <c r="E28" i="5"/>
  <c r="G93" i="5"/>
  <c r="G72" i="5"/>
  <c r="H91" i="5"/>
  <c r="F91" i="5"/>
  <c r="F110" i="5"/>
  <c r="H54" i="5"/>
  <c r="E115" i="5"/>
  <c r="H111" i="5"/>
  <c r="G120" i="5"/>
  <c r="G45" i="5"/>
  <c r="H5" i="5"/>
  <c r="G57" i="5"/>
  <c r="H8" i="5"/>
  <c r="E15" i="5"/>
  <c r="E121" i="5"/>
  <c r="G70" i="5"/>
  <c r="G126" i="5"/>
  <c r="E68" i="5"/>
  <c r="G121" i="5"/>
  <c r="F71" i="5"/>
  <c r="F78" i="5"/>
  <c r="F88" i="5"/>
  <c r="E61" i="5"/>
  <c r="H119" i="5"/>
  <c r="H92" i="5"/>
  <c r="F2" i="5"/>
  <c r="F37" i="5"/>
  <c r="F24" i="5"/>
  <c r="H97" i="5"/>
  <c r="E64" i="5"/>
  <c r="H20" i="5"/>
  <c r="E10" i="5"/>
  <c r="G73" i="5"/>
  <c r="G17" i="5"/>
  <c r="G81" i="5"/>
  <c r="G49" i="5"/>
  <c r="F44" i="5"/>
  <c r="G35" i="5"/>
  <c r="G67" i="5"/>
  <c r="E76" i="5"/>
  <c r="F69" i="5"/>
  <c r="H118" i="5"/>
  <c r="F54" i="5"/>
  <c r="F5" i="5"/>
  <c r="H120" i="5"/>
  <c r="E63" i="5"/>
  <c r="E103" i="5"/>
  <c r="E109" i="5"/>
  <c r="G108" i="5"/>
  <c r="E107" i="5"/>
  <c r="H10" i="5"/>
  <c r="F53" i="5"/>
  <c r="H13" i="5"/>
  <c r="E81" i="5"/>
  <c r="G119" i="5"/>
  <c r="F38" i="5"/>
  <c r="G91" i="5"/>
  <c r="E45" i="5"/>
  <c r="F96" i="5"/>
  <c r="H23" i="5"/>
  <c r="G2" i="5"/>
  <c r="F41" i="5"/>
  <c r="E106" i="5"/>
  <c r="G90" i="5"/>
  <c r="E83" i="5"/>
  <c r="F36" i="5"/>
  <c r="H3" i="5"/>
  <c r="E7" i="5"/>
  <c r="F124" i="5"/>
  <c r="H35" i="5"/>
  <c r="H44" i="5"/>
  <c r="E42" i="5"/>
  <c r="F83" i="5"/>
  <c r="G112" i="5"/>
  <c r="E16" i="5"/>
  <c r="G113" i="5"/>
  <c r="G117" i="5"/>
  <c r="E52" i="5"/>
  <c r="H69" i="5"/>
  <c r="G82" i="5"/>
  <c r="G47" i="5"/>
  <c r="G61" i="5"/>
  <c r="H36" i="5"/>
  <c r="E93" i="5"/>
  <c r="F67" i="5"/>
  <c r="H57" i="5"/>
  <c r="G74" i="5"/>
  <c r="G8" i="5"/>
  <c r="E75" i="5"/>
  <c r="G102" i="5"/>
  <c r="G64" i="5"/>
  <c r="E120" i="5"/>
  <c r="H29" i="5"/>
  <c r="H70" i="5"/>
  <c r="H90" i="5"/>
  <c r="E23" i="5"/>
  <c r="H17" i="5"/>
  <c r="F3" i="5"/>
  <c r="H106" i="5"/>
  <c r="F122" i="5"/>
  <c r="F80" i="5"/>
  <c r="H96" i="5"/>
  <c r="F10" i="5"/>
  <c r="E50" i="5"/>
  <c r="H4" i="5"/>
  <c r="E79" i="5"/>
  <c r="F81" i="5"/>
  <c r="F87" i="5"/>
  <c r="F11" i="5"/>
  <c r="H2" i="5"/>
  <c r="F82" i="5"/>
  <c r="E87" i="5"/>
  <c r="E65" i="5"/>
  <c r="E100" i="5"/>
  <c r="F35" i="5"/>
  <c r="G86" i="5"/>
  <c r="F46" i="5"/>
  <c r="H116" i="5"/>
  <c r="G53" i="5"/>
  <c r="F27" i="5"/>
  <c r="F92" i="5"/>
  <c r="H125" i="5"/>
  <c r="G52" i="5"/>
  <c r="F39" i="5"/>
  <c r="E85" i="5"/>
  <c r="F107" i="5"/>
  <c r="E37" i="5"/>
  <c r="G60" i="5"/>
  <c r="E73" i="5"/>
  <c r="F14" i="5"/>
  <c r="F108" i="5"/>
  <c r="E84" i="5"/>
  <c r="E39" i="5"/>
  <c r="E51" i="5"/>
  <c r="H31" i="5"/>
  <c r="H81" i="5"/>
  <c r="F4" i="5"/>
  <c r="G26" i="5"/>
  <c r="E88" i="5"/>
  <c r="G122" i="5"/>
  <c r="E90" i="5"/>
  <c r="F85" i="5"/>
  <c r="H71" i="5"/>
  <c r="F6" i="5"/>
  <c r="H105" i="5"/>
  <c r="E5" i="5"/>
  <c r="F31" i="5"/>
  <c r="F100" i="5"/>
  <c r="E74" i="5"/>
  <c r="H72" i="5"/>
  <c r="H102" i="5"/>
  <c r="E78" i="5"/>
  <c r="E31" i="5"/>
  <c r="H104" i="5"/>
  <c r="H62" i="5"/>
  <c r="G4" i="5"/>
  <c r="E35" i="5"/>
  <c r="G55" i="5"/>
  <c r="E13" i="5"/>
  <c r="H83" i="5"/>
  <c r="F103" i="5"/>
  <c r="G79" i="5"/>
  <c r="E69" i="5"/>
  <c r="E82" i="5"/>
  <c r="H89" i="5"/>
  <c r="H46" i="5"/>
  <c r="E70" i="5"/>
  <c r="G7" i="5"/>
  <c r="F101" i="5"/>
  <c r="G13" i="5"/>
  <c r="H122" i="5"/>
  <c r="H14" i="5"/>
  <c r="G19" i="5"/>
  <c r="F43" i="5"/>
  <c r="H63" i="5"/>
  <c r="H86" i="5"/>
  <c r="E112" i="5"/>
  <c r="H68" i="5"/>
  <c r="E89" i="5"/>
  <c r="F114" i="5"/>
  <c r="E49" i="5"/>
  <c r="F113" i="5"/>
  <c r="H12" i="5"/>
  <c r="H28" i="5"/>
  <c r="E86" i="5"/>
  <c r="H123" i="5"/>
  <c r="H66" i="5"/>
  <c r="H79" i="5"/>
  <c r="E34" i="5"/>
  <c r="E101" i="5"/>
  <c r="G44" i="5"/>
  <c r="H40" i="5"/>
  <c r="E124" i="5"/>
  <c r="F86" i="5"/>
  <c r="E60" i="5"/>
  <c r="H15" i="5"/>
  <c r="G31" i="5"/>
  <c r="G85" i="5"/>
  <c r="E38" i="5"/>
  <c r="E40" i="5"/>
  <c r="G68" i="5"/>
  <c r="H7" i="5"/>
  <c r="G28" i="5"/>
  <c r="F40" i="5"/>
  <c r="E126" i="5"/>
  <c r="H67" i="5"/>
  <c r="F70" i="5"/>
  <c r="F115" i="5"/>
  <c r="E20" i="5"/>
  <c r="E12" i="5"/>
  <c r="F98" i="5"/>
  <c r="G78" i="5"/>
  <c r="E4" i="5"/>
  <c r="G87" i="5"/>
  <c r="F109" i="5"/>
  <c r="F99" i="5"/>
  <c r="G24" i="5"/>
  <c r="E117" i="5"/>
  <c r="E58" i="5"/>
  <c r="E17" i="5"/>
  <c r="E118" i="5"/>
  <c r="F56" i="5"/>
  <c r="H60" i="5"/>
  <c r="H88" i="5"/>
  <c r="G22" i="5"/>
  <c r="H52" i="5"/>
  <c r="H11" i="5"/>
  <c r="H84" i="5"/>
  <c r="F58" i="5"/>
  <c r="H25" i="5"/>
  <c r="F65" i="5"/>
  <c r="G71" i="5"/>
  <c r="F93" i="5"/>
  <c r="G104" i="5"/>
  <c r="F105" i="5"/>
  <c r="E53" i="5"/>
  <c r="F89" i="5"/>
  <c r="F104" i="5"/>
  <c r="G96" i="5"/>
  <c r="F64" i="5"/>
  <c r="H74" i="5"/>
  <c r="G109" i="5"/>
  <c r="F49" i="5"/>
  <c r="F76" i="5"/>
  <c r="F84" i="5"/>
  <c r="G27" i="5"/>
  <c r="H38" i="5"/>
  <c r="H58" i="5"/>
  <c r="H16" i="5"/>
  <c r="F118" i="5"/>
  <c r="H101" i="5"/>
  <c r="H100" i="5"/>
  <c r="E18" i="5"/>
  <c r="E32" i="5"/>
  <c r="H32" i="5"/>
  <c r="G105" i="5"/>
  <c r="G40" i="5"/>
  <c r="G9" i="5"/>
  <c r="E99" i="5"/>
  <c r="F60" i="5"/>
  <c r="H76" i="5"/>
  <c r="F20" i="5"/>
  <c r="E36" i="5"/>
  <c r="F23" i="5"/>
  <c r="H9" i="5"/>
  <c r="G125" i="5"/>
  <c r="F42" i="5"/>
  <c r="F75" i="5"/>
  <c r="H121" i="5"/>
  <c r="F94" i="5"/>
  <c r="E96" i="5"/>
  <c r="F121" i="5"/>
  <c r="G15" i="5"/>
  <c r="E29" i="5"/>
  <c r="E8" i="5"/>
  <c r="F66" i="5"/>
  <c r="G103" i="5"/>
  <c r="F7" i="5"/>
  <c r="G63" i="5"/>
  <c r="F45" i="5"/>
  <c r="G20" i="5"/>
  <c r="E30" i="5"/>
  <c r="F111" i="5"/>
  <c r="H115" i="5"/>
  <c r="G5" i="5"/>
  <c r="F52" i="5"/>
  <c r="G101" i="5"/>
  <c r="E43" i="5"/>
  <c r="H75" i="5"/>
  <c r="G23" i="5"/>
  <c r="H45" i="5"/>
  <c r="E47" i="5"/>
  <c r="G118" i="5"/>
  <c r="F68" i="5"/>
  <c r="G123" i="5"/>
  <c r="E33" i="5"/>
  <c r="F26" i="5"/>
  <c r="H18" i="5"/>
  <c r="F123" i="5"/>
  <c r="H30" i="5"/>
  <c r="H82" i="5"/>
  <c r="G62" i="5"/>
  <c r="E66" i="5"/>
  <c r="E95" i="5"/>
  <c r="G106" i="5"/>
  <c r="G69" i="5"/>
  <c r="F17" i="5"/>
  <c r="H112" i="5"/>
  <c r="G29" i="5"/>
  <c r="G75" i="5"/>
  <c r="G43" i="5"/>
  <c r="E24" i="5"/>
  <c r="F50" i="5"/>
  <c r="E72" i="5"/>
  <c r="H49" i="5"/>
  <c r="E3" i="5"/>
  <c r="F21" i="5"/>
  <c r="E98" i="5"/>
  <c r="E41" i="5"/>
  <c r="G18" i="5"/>
  <c r="F106" i="5"/>
  <c r="H22" i="5"/>
  <c r="F112" i="5"/>
  <c r="H93" i="5"/>
  <c r="H64" i="5"/>
  <c r="E59" i="5"/>
  <c r="H33" i="5"/>
  <c r="F59" i="5"/>
  <c r="F48" i="5"/>
  <c r="H103" i="5"/>
  <c r="F116" i="5"/>
  <c r="E25" i="5"/>
  <c r="G42" i="5"/>
  <c r="E44" i="5"/>
  <c r="E105" i="5"/>
  <c r="F13" i="5"/>
  <c r="G30" i="5"/>
  <c r="G36" i="5"/>
  <c r="E22" i="5"/>
  <c r="E57" i="5"/>
  <c r="H51" i="5"/>
  <c r="F63" i="5"/>
  <c r="G14" i="5"/>
  <c r="H107" i="5"/>
  <c r="F12" i="5"/>
  <c r="H21" i="5"/>
  <c r="F34" i="5"/>
  <c r="G124" i="5"/>
  <c r="H113" i="5"/>
  <c r="H56" i="5"/>
  <c r="G6" i="5"/>
  <c r="E19" i="5"/>
  <c r="F119" i="5"/>
  <c r="H117" i="5"/>
  <c r="G99" i="5"/>
  <c r="H42" i="5"/>
  <c r="F77" i="5"/>
  <c r="E71" i="5"/>
  <c r="E122" i="5"/>
  <c r="H27" i="5"/>
  <c r="G41" i="5"/>
  <c r="F9" i="5"/>
  <c r="H26" i="5"/>
  <c r="E108" i="5"/>
  <c r="F8" i="5"/>
  <c r="G98" i="5"/>
  <c r="F30" i="5"/>
  <c r="F125" i="5"/>
  <c r="E14" i="5"/>
  <c r="E9" i="5"/>
  <c r="E111" i="5"/>
  <c r="G88" i="5"/>
  <c r="E80" i="5"/>
  <c r="H73" i="5"/>
  <c r="F18" i="5"/>
  <c r="F32" i="5"/>
  <c r="F95" i="5"/>
  <c r="F79" i="5"/>
  <c r="G46" i="5"/>
  <c r="H98" i="5"/>
  <c r="H43" i="5"/>
  <c r="H6" i="5"/>
  <c r="E114" i="5"/>
  <c r="H34" i="5"/>
  <c r="G37" i="5"/>
  <c r="F73" i="5"/>
  <c r="G58" i="5"/>
  <c r="E27" i="5"/>
  <c r="H55" i="5"/>
  <c r="E2" i="5"/>
  <c r="F120" i="5"/>
  <c r="H110" i="5"/>
  <c r="F74" i="5"/>
  <c r="G39" i="5"/>
  <c r="F47" i="5"/>
  <c r="H78" i="5"/>
  <c r="F117" i="5"/>
  <c r="G114" i="5"/>
  <c r="E110" i="5"/>
  <c r="G77" i="5"/>
  <c r="E113" i="5"/>
  <c r="G92" i="5"/>
  <c r="G12" i="5"/>
  <c r="G33" i="5"/>
  <c r="G50" i="5"/>
  <c r="E97" i="5"/>
  <c r="G110" i="5"/>
  <c r="G83" i="5"/>
  <c r="F97" i="5"/>
  <c r="F72" i="5"/>
  <c r="F90" i="5"/>
  <c r="H126" i="5"/>
  <c r="F55" i="5"/>
  <c r="G100" i="5"/>
  <c r="G66" i="5"/>
  <c r="H99" i="5"/>
  <c r="H37" i="5"/>
  <c r="E56" i="5"/>
  <c r="G116" i="5"/>
  <c r="E11" i="5"/>
  <c r="G16" i="5"/>
  <c r="G94" i="5"/>
  <c r="H39" i="5"/>
  <c r="H59" i="5"/>
  <c r="H50" i="5"/>
  <c r="E6" i="5"/>
  <c r="H114" i="5"/>
  <c r="G51" i="5"/>
  <c r="E77" i="5"/>
  <c r="E91" i="5"/>
  <c r="B6" i="5"/>
  <c r="F62" i="5"/>
  <c r="F16" i="5"/>
  <c r="F28" i="5"/>
  <c r="G38" i="5"/>
  <c r="F102" i="5"/>
  <c r="G97" i="5"/>
  <c r="G11" i="5"/>
  <c r="G59" i="5"/>
  <c r="G84" i="5"/>
  <c r="G107" i="5"/>
  <c r="E67" i="5"/>
  <c r="F25" i="5"/>
  <c r="E102" i="5"/>
  <c r="H24" i="5"/>
  <c r="G48" i="5"/>
  <c r="H61" i="5"/>
  <c r="E92" i="5"/>
  <c r="G80" i="5"/>
  <c r="E125" i="5"/>
  <c r="G89" i="5"/>
  <c r="E116" i="5"/>
  <c r="E62" i="5"/>
  <c r="G95" i="5"/>
  <c r="H77" i="5"/>
  <c r="G3" i="5"/>
  <c r="F22" i="5"/>
  <c r="G54" i="5"/>
  <c r="H124" i="5"/>
  <c r="E21" i="5"/>
  <c r="G111" i="5"/>
  <c r="H53" i="5"/>
  <c r="H41" i="5"/>
  <c r="H47" i="5"/>
  <c r="F19" i="5"/>
  <c r="F51" i="5"/>
  <c r="H94" i="5"/>
  <c r="H108" i="5"/>
  <c r="H95" i="5"/>
  <c r="F126" i="5"/>
  <c r="H80" i="5"/>
  <c r="G76" i="5"/>
  <c r="E46" i="5"/>
  <c r="G25" i="5"/>
  <c r="G32" i="5"/>
  <c r="H109" i="5"/>
  <c r="E48" i="5"/>
  <c r="G21" i="5"/>
  <c r="H48" i="5"/>
  <c r="G65" i="5"/>
  <c r="E54" i="5"/>
  <c r="G10" i="5"/>
  <c r="G56" i="5"/>
  <c r="H87" i="5"/>
  <c r="E94" i="5"/>
  <c r="J23" i="5" l="1"/>
  <c r="J36" i="5"/>
  <c r="J20" i="5"/>
  <c r="J35" i="5"/>
  <c r="J13" i="5"/>
  <c r="J16" i="5"/>
  <c r="J7" i="5"/>
  <c r="J3" i="5"/>
  <c r="J19" i="5"/>
  <c r="J14" i="5"/>
  <c r="J9" i="5"/>
  <c r="J33" i="5"/>
  <c r="J12" i="5"/>
  <c r="J32" i="5"/>
  <c r="J25" i="5"/>
  <c r="J21" i="5"/>
  <c r="J31" i="5"/>
  <c r="J30" i="5"/>
  <c r="J22" i="5"/>
  <c r="J18" i="5"/>
  <c r="J4" i="5"/>
  <c r="J11" i="5"/>
  <c r="J26" i="5"/>
  <c r="J10" i="5"/>
  <c r="J5" i="5"/>
  <c r="J24" i="5"/>
  <c r="J27" i="5"/>
  <c r="J8" i="5"/>
  <c r="J28" i="5"/>
  <c r="J15" i="5"/>
  <c r="J34" i="5"/>
  <c r="J29" i="5"/>
  <c r="J17" i="5"/>
  <c r="J6" i="5"/>
  <c r="A7" i="5"/>
  <c r="B7" i="5"/>
  <c r="C24" i="6"/>
  <c r="D14" i="6"/>
  <c r="I1" i="5" a="1"/>
  <c r="C23" i="6"/>
  <c r="O14" i="4"/>
  <c r="Q14" i="4"/>
  <c r="D15" i="6"/>
  <c r="Q11" i="4"/>
  <c r="I72" i="5" l="1"/>
  <c r="I29" i="5"/>
  <c r="I3" i="5"/>
  <c r="I81" i="5"/>
  <c r="I70" i="5"/>
  <c r="I100" i="5"/>
  <c r="I32" i="5"/>
  <c r="I65" i="5"/>
  <c r="I126" i="5"/>
  <c r="I44" i="5"/>
  <c r="I26" i="5"/>
  <c r="I41" i="5"/>
  <c r="I118" i="5"/>
  <c r="I51" i="5"/>
  <c r="I31" i="5"/>
  <c r="I15" i="5"/>
  <c r="I108" i="5"/>
  <c r="I54" i="5"/>
  <c r="I121" i="5"/>
  <c r="I76" i="5"/>
  <c r="I69" i="5"/>
  <c r="I98" i="5"/>
  <c r="I66" i="5"/>
  <c r="I60" i="5"/>
  <c r="I9" i="5"/>
  <c r="I102" i="5"/>
  <c r="I122" i="5"/>
  <c r="I87" i="5"/>
  <c r="I77" i="5"/>
  <c r="I116" i="5"/>
  <c r="I101" i="5"/>
  <c r="I84" i="5"/>
  <c r="I5" i="5"/>
  <c r="I52" i="5"/>
  <c r="I36" i="5"/>
  <c r="I119" i="5"/>
  <c r="I71" i="5"/>
  <c r="I10" i="5"/>
  <c r="I114" i="5"/>
  <c r="I38" i="5"/>
  <c r="I67" i="5"/>
  <c r="I35" i="5"/>
  <c r="I123" i="5"/>
  <c r="I56" i="5"/>
  <c r="I105" i="5"/>
  <c r="I62" i="5"/>
  <c r="I47" i="5"/>
  <c r="I58" i="5"/>
  <c r="I106" i="5"/>
  <c r="I42" i="5"/>
  <c r="I115" i="5"/>
  <c r="I61" i="5"/>
  <c r="I49" i="5"/>
  <c r="I27" i="5"/>
  <c r="I28" i="5"/>
  <c r="I113" i="5"/>
  <c r="I45" i="5"/>
  <c r="I85" i="5"/>
  <c r="I18" i="5"/>
  <c r="I7" i="5"/>
  <c r="I30" i="5"/>
  <c r="I112" i="5"/>
  <c r="I75" i="5"/>
  <c r="I59" i="5"/>
  <c r="I39" i="5"/>
  <c r="I92" i="5"/>
  <c r="I19" i="5"/>
  <c r="I96" i="5"/>
  <c r="I111" i="5"/>
  <c r="I86" i="5"/>
  <c r="I22" i="5"/>
  <c r="I103" i="5"/>
  <c r="I82" i="5"/>
  <c r="I78" i="5"/>
  <c r="I13" i="5"/>
  <c r="I17" i="5"/>
  <c r="I99" i="5"/>
  <c r="I46" i="5"/>
  <c r="I37" i="5"/>
  <c r="I124" i="5"/>
  <c r="I8" i="5"/>
  <c r="I64" i="5"/>
  <c r="I63" i="5"/>
  <c r="I21" i="5"/>
  <c r="I57" i="5"/>
  <c r="I11" i="5"/>
  <c r="I89" i="5"/>
  <c r="I4" i="5"/>
  <c r="I24" i="5"/>
  <c r="I91" i="5"/>
  <c r="I1" i="5"/>
  <c r="I117" i="5"/>
  <c r="I68" i="5"/>
  <c r="I34" i="5"/>
  <c r="I55" i="5"/>
  <c r="I94" i="5"/>
  <c r="I33" i="5"/>
  <c r="I120" i="5"/>
  <c r="I88" i="5"/>
  <c r="I50" i="5"/>
  <c r="I12" i="5"/>
  <c r="I25" i="5"/>
  <c r="I107" i="5"/>
  <c r="I48" i="5"/>
  <c r="I83" i="5"/>
  <c r="I20" i="5"/>
  <c r="I93" i="5"/>
  <c r="I14" i="5"/>
  <c r="I79" i="5"/>
  <c r="I74" i="5"/>
  <c r="I90" i="5"/>
  <c r="I43" i="5"/>
  <c r="I73" i="5"/>
  <c r="I109" i="5"/>
  <c r="I97" i="5"/>
  <c r="I95" i="5"/>
  <c r="I104" i="5"/>
  <c r="I80" i="5"/>
  <c r="I2" i="5"/>
  <c r="I110" i="5"/>
  <c r="I23" i="5"/>
  <c r="I16" i="5"/>
  <c r="I40" i="5"/>
  <c r="I6" i="5"/>
  <c r="I53" i="5"/>
  <c r="I125" i="5"/>
  <c r="Q18" i="4"/>
  <c r="D25" i="6"/>
  <c r="R20" i="4" l="1"/>
  <c r="Q20" i="4"/>
  <c r="D24" i="6" l="1"/>
  <c r="D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<sst xmlns="http://schemas.openxmlformats.org/spreadsheetml/2006/main" count="393" uniqueCount="195">
  <si>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</si>
  <si>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</si>
  <si>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</si>
  <si>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</si>
  <si>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</si>
  <si>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</si>
  <si>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</si>
  <si>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</si>
  <si>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</si>
  <si>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</si>
  <si>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</si>
  <si>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</si>
  <si>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</si>
  <si>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</si>
  <si>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</si>
  <si>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</si>
  <si>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</si>
  <si>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</si>
  <si>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</si>
  <si>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</si>
  <si>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</si>
  <si>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</si>
  <si>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</si>
  <si>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</si>
  <si>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</si>
  <si>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</si>
  <si>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</si>
  <si>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</si>
  <si>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</si>
  <si>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</si>
  <si>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</si>
  <si>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</si>
  <si>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</si>
  <si>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</si>
  <si>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</si>
  <si>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</si>
  <si>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</si>
  <si>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</si>
  <si>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</si>
  <si>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</si>
  <si>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</si>
  <si>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</si>
  <si>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</si>
  <si>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</si>
  <si>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</si>
  <si>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</si>
  <si>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</si>
  <si>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11MD</t>
  </si>
  <si>
    <t>10MD</t>
  </si>
  <si>
    <t>9MD</t>
  </si>
  <si>
    <t>8MD</t>
  </si>
  <si>
    <t>7MD</t>
  </si>
  <si>
    <t>6MD</t>
  </si>
  <si>
    <t>5MD</t>
  </si>
  <si>
    <t>4MD</t>
  </si>
  <si>
    <t>3MD</t>
  </si>
  <si>
    <t>2MD</t>
  </si>
  <si>
    <t>main ref depo</t>
  </si>
  <si>
    <t>1MD</t>
  </si>
  <si>
    <t>short term futures</t>
  </si>
  <si>
    <t>3WD</t>
  </si>
  <si>
    <t>swap</t>
  </si>
  <si>
    <t>2WD</t>
  </si>
  <si>
    <t>exotic swap</t>
  </si>
  <si>
    <t>SWD</t>
  </si>
  <si>
    <t>long term futures</t>
  </si>
  <si>
    <t>fra</t>
  </si>
  <si>
    <t>depo</t>
  </si>
  <si>
    <t>OND</t>
  </si>
  <si>
    <t>Latest Date</t>
  </si>
  <si>
    <t>Earliest Date</t>
  </si>
  <si>
    <t>Min Distance</t>
  </si>
  <si>
    <t>Priority</t>
  </si>
  <si>
    <t>Include Flag</t>
  </si>
  <si>
    <t>Conv. Adj. / Spread</t>
  </si>
  <si>
    <t>Quote Value</t>
  </si>
  <si>
    <t>Rate Helpers</t>
  </si>
  <si>
    <t>Instrument code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</si>
  <si>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</si>
  <si>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</si>
  <si>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</si>
  <si>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</si>
  <si>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</si>
  <si>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</si>
  <si>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</si>
  <si>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</si>
  <si>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</si>
  <si>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</si>
  <si>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</si>
  <si>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</si>
  <si>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</si>
  <si>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</si>
  <si>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</si>
  <si>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</si>
  <si>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</si>
  <si>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YCSTD</t>
  </si>
  <si>
    <t>ObjectID</t>
  </si>
  <si>
    <t>PiecewiseYieldCurve</t>
  </si>
  <si>
    <t>ObjectOverwrite</t>
  </si>
  <si>
    <t>Trigger</t>
  </si>
  <si>
    <t>Permanent</t>
  </si>
  <si>
    <t>RateHelperPrefix</t>
  </si>
  <si>
    <t>AM</t>
  </si>
  <si>
    <t>USD</t>
  </si>
  <si>
    <t>SwapFixedFreq</t>
  </si>
  <si>
    <t>JPY</t>
  </si>
  <si>
    <t>6L</t>
  </si>
  <si>
    <t>IborType</t>
  </si>
  <si>
    <t>SB</t>
  </si>
  <si>
    <t>GBP</t>
  </si>
  <si>
    <t>IndexTenor</t>
  </si>
  <si>
    <t>AB</t>
  </si>
  <si>
    <t>EUR</t>
  </si>
  <si>
    <t>Months</t>
  </si>
  <si>
    <t>CHF</t>
  </si>
  <si>
    <t>Currency</t>
  </si>
  <si>
    <t>General Settings</t>
  </si>
  <si>
    <t>GBP_YCSTDRH_OND</t>
  </si>
  <si>
    <t>GBP_YCSTDRH_SWD</t>
  </si>
  <si>
    <t>GBP_YCSTDRH_1MD</t>
  </si>
  <si>
    <t>GBP_YCSTDRH_2MD</t>
  </si>
  <si>
    <t>GBP_YCSTDRH_3MD</t>
  </si>
  <si>
    <t>GBP_YCSTDRH_6MD</t>
  </si>
  <si>
    <t>GBP_YCSTDRH_FUT3MH4</t>
  </si>
  <si>
    <t>GBP_YCSTDRH_1YD</t>
  </si>
  <si>
    <t>GBP_YCSTDRH_FUT3MM4</t>
  </si>
  <si>
    <t>GBP_YCSTDRH_FUT3MU4</t>
  </si>
  <si>
    <t>GBP_YCSTDRH_FUT3MZ4</t>
  </si>
  <si>
    <t>GBP_YCSTDRH_FUT3MH5</t>
  </si>
  <si>
    <t>GBP_YCSTDRH_FUT3MM5</t>
  </si>
  <si>
    <t>GBP_YCSTDRH_SB6L3Y</t>
  </si>
  <si>
    <t>GBP_YCSTDRH_SB6L4Y</t>
  </si>
  <si>
    <t>GBP_YCSTDRH_SB6L5Y</t>
  </si>
  <si>
    <t>GBP_YCSTDRH_SB6L6Y</t>
  </si>
  <si>
    <t>GBP_YCSTDRH_SB6L7Y</t>
  </si>
  <si>
    <t>GBP_YCSTDRH_SB6L8Y</t>
  </si>
  <si>
    <t>GBP_YCSTDRH_SB6L9Y</t>
  </si>
  <si>
    <t>GBP_YCSTDRH_SB6L10Y</t>
  </si>
  <si>
    <t>GBP_YCSTDRH_SB6L12Y</t>
  </si>
  <si>
    <t>GBP_YCSTDRH_SB6L15Y</t>
  </si>
  <si>
    <t>GBP_YCSTDRH_SB6L20Y</t>
  </si>
  <si>
    <t>GBP_YCSTDRH_SB6L25Y</t>
  </si>
  <si>
    <t>GBP_YCSTDRH_SB6L30Y</t>
  </si>
  <si>
    <t>GBP_YCSTDRH_SB6L40Y</t>
  </si>
  <si>
    <t>GBP_YCSTDRH_SB6L50Y</t>
  </si>
  <si>
    <t>GBP_YCSTDRH_SB6L60Y</t>
  </si>
  <si>
    <t>11M</t>
  </si>
  <si>
    <t>10M</t>
  </si>
  <si>
    <t>9M</t>
  </si>
  <si>
    <t>8M</t>
  </si>
  <si>
    <t>7M</t>
  </si>
  <si>
    <t>6M</t>
  </si>
  <si>
    <t>5M</t>
  </si>
  <si>
    <t>4M</t>
  </si>
  <si>
    <t>3M</t>
  </si>
  <si>
    <t>2M</t>
  </si>
  <si>
    <t>1M</t>
  </si>
  <si>
    <t>3W</t>
  </si>
  <si>
    <t>2W</t>
  </si>
  <si>
    <t>SW</t>
  </si>
  <si>
    <t>Sonia</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</si>
  <si>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</si>
  <si>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</si>
  <si>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</si>
  <si>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</si>
  <si>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</si>
  <si>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</si>
  <si>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</si>
  <si>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</si>
  <si>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</si>
  <si>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</si>
  <si>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</si>
  <si>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</si>
  <si>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</si>
  <si>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</si>
  <si>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</si>
  <si>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</si>
  <si>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t>
  </si>
  <si>
    <t>Modified Following</t>
  </si>
  <si>
    <t>0D</t>
  </si>
  <si>
    <t>3L</t>
  </si>
  <si>
    <t>6E</t>
  </si>
  <si>
    <t>Spread</t>
  </si>
  <si>
    <t>Day Count Convention</t>
  </si>
  <si>
    <t>Business Day Convention</t>
  </si>
  <si>
    <t>Freq</t>
  </si>
  <si>
    <t>Fwd start</t>
  </si>
  <si>
    <t>Discounting2</t>
  </si>
  <si>
    <t>Discounting</t>
  </si>
  <si>
    <t>Actual/365 (Fixed)</t>
  </si>
  <si>
    <t>MoneyMarketDayCounter</t>
  </si>
  <si>
    <t>BondBasisDayCounter</t>
  </si>
  <si>
    <t>GBP_YCRH_Deposits</t>
  </si>
  <si>
    <t>GBP_YCRH_Futures</t>
  </si>
  <si>
    <t>GBP_YCRH_Swaps</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</si>
</sst>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0%"/>
    <numFmt numFmtId="167" formatCode="0.0000"/>
    <numFmt numFmtId="168" formatCode="0.0000000000000"/>
    <numFmt numFmtId="169" formatCode="0.000%"/>
    <numFmt numFmtId="170" formatCode="ddd\,\ dd\-mmm\-yyyy"/>
    <numFmt numFmtId="171" formatCode="0.000000000"/>
    <numFmt numFmtId="172" formatCode="ddd\,\ dd\-mmm\-yyyy\,\ hh:mm:ss"/>
    <numFmt numFmtId="173" formatCode="ddd\,\ d\-mmm\-yy"/>
    <numFmt numFmtId="174" formatCode="ddd\,\ d\-mmm\-yyyy\,\ hh:mm:ss"/>
    <numFmt numFmtId="175" formatCode="[$-409]d\-mmm\-yy;@"/>
    <numFmt numFmtId="176" formatCode="mm/dd/yy;@"/>
    <numFmt numFmtId="177" formatCode="General_)"/>
    <numFmt numFmtId="178" formatCode="#,##0.0;#,##0.0"/>
    <numFmt numFmtId="179" formatCode="&quot;£&quot;#,##0;[Red]\-&quot;£&quot;#,##0"/>
  </numFmts>
  <fonts count="25" x14ac:knownFonts="1">
    <font>
      <sz val="11"/>
      <color theme="1"/>
      <name val="Calibri"/>
      <family val="2"/>
      <scheme val="minor"/>
    </font>
    <font>
      <sz val="10"/>
      <name val="Arial"/>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ont>
    <font>
      <sz val="8"/>
      <name val="Arial"/>
    </font>
    <font>
      <sz val="10"/>
      <name val="MS Sans Serif"/>
      <family val="2"/>
    </font>
    <font>
      <sz val="8"/>
      <name val="Microsoft Sans Serif"/>
      <family val="2"/>
    </font>
    <font>
      <sz val="8"/>
      <name val="MS Sans Serif"/>
      <family val="2"/>
    </font>
    <font>
      <sz val="8"/>
      <color indexed="9"/>
      <name val="Arial"/>
    </font>
    <font>
      <sz val="8"/>
      <color indexed="10"/>
      <name val="Microsoft Sans Serif"/>
      <family val="2"/>
    </font>
    <font>
      <i/>
      <sz val="8"/>
      <name val="Microsoft Sans Serif"/>
      <family val="2"/>
    </font>
    <font>
      <b/>
      <u/>
      <sz val="8"/>
      <name val="Arial"/>
      <family val="2"/>
    </font>
    <font>
      <b/>
      <u/>
      <sz val="10"/>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rgb="FFFF0000"/>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7" fontId="14" fillId="0" borderId="0"/>
    <xf numFmtId="178" fontId="15" fillId="9" borderId="0">
      <alignment horizontal="center" vertical="center"/>
    </xf>
    <xf numFmtId="179" fontId="13" fillId="0" borderId="0" applyFont="0" applyFill="0" applyBorder="0" applyAlignment="0" applyProtection="0"/>
    <xf numFmtId="179" fontId="13" fillId="0" borderId="0" applyFont="0" applyFill="0" applyBorder="0" applyAlignment="0" applyProtection="0"/>
    <xf numFmtId="0" fontId="16" fillId="0" borderId="0"/>
  </cellStyleXfs>
  <cellXfs count="219">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165" fontId="2" fillId="0" borderId="0" xfId="2" applyNumberFormat="1" applyFont="1"/>
    <xf numFmtId="167" fontId="2" fillId="0" borderId="0" xfId="1" applyNumberFormat="1" applyFont="1"/>
    <xf numFmtId="168" fontId="2" fillId="0" borderId="0" xfId="1" applyNumberFormat="1" applyFont="1"/>
    <xf numFmtId="0" fontId="2" fillId="2" borderId="2" xfId="1" applyFont="1" applyFill="1" applyBorder="1" applyAlignment="1">
      <alignment horizontal="right"/>
    </xf>
    <xf numFmtId="0" fontId="3" fillId="2" borderId="3" xfId="1" applyFont="1" applyFill="1" applyBorder="1" applyAlignment="1">
      <alignment horizontal="center" vertical="center" textRotation="90"/>
    </xf>
    <xf numFmtId="0" fontId="2" fillId="2" borderId="0" xfId="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9" fontId="2" fillId="0" borderId="0" xfId="2" applyNumberFormat="1" applyFont="1"/>
    <xf numFmtId="164" fontId="2" fillId="2" borderId="13" xfId="1" applyNumberFormat="1" applyFont="1" applyFill="1" applyBorder="1" applyAlignment="1"/>
    <xf numFmtId="164"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64" fontId="2" fillId="2" borderId="16"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5" fillId="2" borderId="13" xfId="3" applyFont="1" applyFill="1" applyBorder="1"/>
    <xf numFmtId="0" fontId="5" fillId="2" borderId="14" xfId="3" applyFont="1" applyFill="1" applyBorder="1"/>
    <xf numFmtId="0" fontId="5" fillId="2" borderId="15" xfId="3" applyFont="1" applyFill="1" applyBorder="1"/>
    <xf numFmtId="0" fontId="5" fillId="2" borderId="16" xfId="3" applyFont="1" applyFill="1" applyBorder="1"/>
    <xf numFmtId="0" fontId="5" fillId="2" borderId="0" xfId="3" applyFont="1" applyFill="1" applyBorder="1"/>
    <xf numFmtId="0" fontId="5" fillId="2" borderId="1" xfId="1" applyFont="1" applyFill="1" applyBorder="1" applyAlignment="1">
      <alignment horizontal="left"/>
    </xf>
    <xf numFmtId="170" fontId="5" fillId="2" borderId="29" xfId="1" applyNumberFormat="1" applyFont="1" applyFill="1" applyBorder="1" applyAlignment="1">
      <alignment horizontal="right"/>
    </xf>
    <xf numFmtId="0" fontId="5" fillId="2" borderId="17" xfId="3" applyFont="1" applyFill="1" applyBorder="1"/>
    <xf numFmtId="0" fontId="5" fillId="2" borderId="4" xfId="1" applyFont="1" applyFill="1" applyBorder="1" applyAlignment="1">
      <alignment horizontal="center"/>
    </xf>
    <xf numFmtId="164" fontId="5" fillId="2" borderId="30" xfId="1" applyNumberFormat="1" applyFont="1" applyFill="1" applyBorder="1" applyAlignment="1">
      <alignment horizontal="right"/>
    </xf>
    <xf numFmtId="171" fontId="5" fillId="2" borderId="6" xfId="1" applyNumberFormat="1" applyFont="1" applyFill="1" applyBorder="1" applyAlignment="1">
      <alignment horizontal="center"/>
    </xf>
    <xf numFmtId="164" fontId="5" fillId="2" borderId="31" xfId="1" applyNumberFormat="1" applyFont="1" applyFill="1" applyBorder="1" applyAlignment="1">
      <alignment horizontal="right"/>
    </xf>
    <xf numFmtId="172" fontId="5" fillId="2" borderId="0" xfId="3" applyNumberFormat="1" applyFont="1" applyFill="1" applyBorder="1" applyAlignment="1">
      <alignment horizontal="center"/>
    </xf>
    <xf numFmtId="0" fontId="5" fillId="6" borderId="1" xfId="1" applyFont="1" applyFill="1" applyBorder="1" applyAlignment="1">
      <alignment horizontal="center"/>
    </xf>
    <xf numFmtId="0" fontId="8" fillId="5" borderId="29" xfId="1" applyFont="1" applyFill="1" applyBorder="1" applyAlignment="1">
      <alignment horizontal="right"/>
    </xf>
    <xf numFmtId="0" fontId="5" fillId="6" borderId="4" xfId="1" applyFont="1" applyFill="1" applyBorder="1" applyAlignment="1">
      <alignment horizontal="center"/>
    </xf>
    <xf numFmtId="0" fontId="8" fillId="5" borderId="30" xfId="1" applyFont="1" applyFill="1" applyBorder="1" applyAlignment="1">
      <alignment horizontal="right"/>
    </xf>
    <xf numFmtId="11" fontId="5" fillId="6" borderId="4" xfId="1" applyNumberFormat="1" applyFont="1" applyFill="1" applyBorder="1" applyAlignment="1">
      <alignment horizontal="center"/>
    </xf>
    <xf numFmtId="0" fontId="5" fillId="2" borderId="4" xfId="3" applyFont="1" applyFill="1" applyBorder="1" applyAlignment="1">
      <alignment horizontal="center"/>
    </xf>
    <xf numFmtId="3" fontId="5" fillId="6" borderId="4" xfId="1" applyNumberFormat="1" applyFont="1" applyFill="1" applyBorder="1" applyAlignment="1">
      <alignment horizontal="center"/>
    </xf>
    <xf numFmtId="0" fontId="5" fillId="2" borderId="0" xfId="3" applyFont="1" applyFill="1" applyBorder="1" applyAlignment="1">
      <alignment horizontal="center"/>
    </xf>
    <xf numFmtId="173" fontId="5" fillId="6" borderId="6" xfId="1" applyNumberFormat="1" applyFont="1" applyFill="1" applyBorder="1" applyAlignment="1">
      <alignment horizontal="center"/>
    </xf>
    <xf numFmtId="0" fontId="8" fillId="5" borderId="31" xfId="1" applyFont="1" applyFill="1" applyBorder="1" applyAlignment="1">
      <alignment horizontal="right"/>
    </xf>
    <xf numFmtId="1" fontId="9" fillId="4" borderId="1" xfId="1" applyNumberFormat="1" applyFont="1" applyFill="1" applyBorder="1" applyAlignment="1">
      <alignment horizontal="left"/>
    </xf>
    <xf numFmtId="173" fontId="5" fillId="4" borderId="6" xfId="1" quotePrefix="1" applyNumberFormat="1" applyFont="1" applyFill="1" applyBorder="1" applyAlignment="1">
      <alignment horizontal="center"/>
    </xf>
    <xf numFmtId="0" fontId="5" fillId="2" borderId="1" xfId="1" applyFont="1" applyFill="1" applyBorder="1" applyAlignment="1">
      <alignment horizontal="center"/>
    </xf>
    <xf numFmtId="0" fontId="5" fillId="5" borderId="29" xfId="1" applyFont="1" applyFill="1" applyBorder="1"/>
    <xf numFmtId="174" fontId="5" fillId="2" borderId="4" xfId="1" applyNumberFormat="1" applyFont="1" applyFill="1" applyBorder="1" applyAlignment="1">
      <alignment horizontal="center"/>
    </xf>
    <xf numFmtId="0" fontId="5" fillId="5" borderId="30" xfId="1" applyFont="1" applyFill="1" applyBorder="1"/>
    <xf numFmtId="0" fontId="5" fillId="5" borderId="30" xfId="3" applyFont="1" applyFill="1" applyBorder="1"/>
    <xf numFmtId="0" fontId="5" fillId="5" borderId="29" xfId="3" applyFont="1" applyFill="1" applyBorder="1"/>
    <xf numFmtId="0" fontId="5" fillId="7" borderId="6" xfId="1" applyFont="1" applyFill="1" applyBorder="1" applyAlignment="1">
      <alignment horizontal="center"/>
    </xf>
    <xf numFmtId="0" fontId="5" fillId="5" borderId="31" xfId="3" applyFont="1" applyFill="1" applyBorder="1"/>
    <xf numFmtId="0" fontId="5" fillId="2" borderId="6" xfId="3" applyFont="1" applyFill="1" applyBorder="1" applyAlignment="1">
      <alignment horizontal="center"/>
    </xf>
    <xf numFmtId="0" fontId="8" fillId="2" borderId="0" xfId="3" applyFont="1" applyFill="1" applyBorder="1"/>
    <xf numFmtId="0" fontId="2" fillId="2" borderId="14" xfId="1" applyFont="1" applyFill="1" applyBorder="1"/>
    <xf numFmtId="0" fontId="2" fillId="2" borderId="13" xfId="1" applyFont="1" applyFill="1" applyBorder="1"/>
    <xf numFmtId="0" fontId="11" fillId="0" borderId="0" xfId="1" applyFont="1"/>
    <xf numFmtId="0" fontId="1" fillId="0" borderId="0" xfId="1"/>
    <xf numFmtId="0" fontId="2" fillId="0" borderId="0" xfId="1" applyFont="1"/>
    <xf numFmtId="0" fontId="2" fillId="2" borderId="0" xfId="1" applyFont="1" applyFill="1" applyBorder="1" applyAlignment="1">
      <alignment horizontal="center"/>
    </xf>
    <xf numFmtId="10" fontId="2" fillId="0" borderId="0" xfId="1" applyNumberFormat="1" applyFont="1"/>
    <xf numFmtId="0" fontId="2" fillId="2" borderId="15" xfId="1" applyFont="1" applyFill="1" applyBorder="1"/>
    <xf numFmtId="170" fontId="11" fillId="0" borderId="0" xfId="1" applyNumberFormat="1" applyFont="1"/>
    <xf numFmtId="0" fontId="2" fillId="2" borderId="16" xfId="1" applyFont="1" applyFill="1" applyBorder="1"/>
    <xf numFmtId="175" fontId="6" fillId="4" borderId="10" xfId="1" applyNumberFormat="1" applyFont="1" applyFill="1" applyBorder="1" applyAlignment="1" applyProtection="1"/>
    <xf numFmtId="0" fontId="2" fillId="2" borderId="1" xfId="1" applyNumberFormat="1" applyFont="1" applyFill="1" applyBorder="1" applyAlignment="1"/>
    <xf numFmtId="176" fontId="2" fillId="2" borderId="29" xfId="1" applyNumberFormat="1" applyFont="1" applyFill="1" applyBorder="1" applyAlignment="1"/>
    <xf numFmtId="176" fontId="2" fillId="2" borderId="29" xfId="1" applyNumberFormat="1" applyFont="1" applyFill="1" applyBorder="1" applyAlignment="1">
      <alignment horizontal="right"/>
    </xf>
    <xf numFmtId="0" fontId="3" fillId="2" borderId="12" xfId="1" applyFont="1" applyFill="1" applyBorder="1" applyAlignment="1">
      <alignment horizontal="right"/>
    </xf>
    <xf numFmtId="0" fontId="2" fillId="2" borderId="17" xfId="1" applyFont="1" applyFill="1" applyBorder="1" applyAlignment="1">
      <alignment horizontal="center"/>
    </xf>
    <xf numFmtId="175" fontId="6" fillId="4" borderId="1" xfId="1" applyNumberFormat="1" applyFont="1" applyFill="1" applyBorder="1" applyAlignment="1" applyProtection="1"/>
    <xf numFmtId="176" fontId="2" fillId="7" borderId="29" xfId="1" applyNumberFormat="1" applyFont="1" applyFill="1" applyBorder="1" applyAlignment="1">
      <alignment horizontal="right"/>
    </xf>
    <xf numFmtId="176" fontId="2" fillId="7" borderId="9" xfId="1" applyNumberFormat="1" applyFont="1" applyFill="1" applyBorder="1" applyAlignment="1"/>
    <xf numFmtId="0" fontId="3" fillId="2" borderId="3" xfId="1" applyFont="1" applyFill="1" applyBorder="1" applyAlignment="1">
      <alignment horizontal="right"/>
    </xf>
    <xf numFmtId="0" fontId="6" fillId="4" borderId="9" xfId="1" applyNumberFormat="1" applyFont="1" applyFill="1" applyBorder="1" applyAlignment="1" applyProtection="1">
      <alignment vertical="center"/>
    </xf>
    <xf numFmtId="0" fontId="2" fillId="4" borderId="10" xfId="1" applyNumberFormat="1" applyFont="1" applyFill="1" applyBorder="1" applyAlignment="1" applyProtection="1">
      <alignment horizontal="center" vertical="center"/>
    </xf>
    <xf numFmtId="0" fontId="12"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4" fontId="18" fillId="4" borderId="10" xfId="1" quotePrefix="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174" fontId="18" fillId="4" borderId="10" xfId="1" applyNumberFormat="1" applyFont="1" applyFill="1" applyBorder="1" applyAlignment="1" applyProtection="1">
      <alignment horizontal="center"/>
    </xf>
    <xf numFmtId="0" fontId="17" fillId="2" borderId="0" xfId="1" applyFont="1" applyFill="1" applyBorder="1"/>
    <xf numFmtId="0" fontId="18" fillId="2" borderId="13" xfId="1" applyFont="1" applyFill="1" applyBorder="1"/>
    <xf numFmtId="0" fontId="18" fillId="2" borderId="14" xfId="1" applyFont="1" applyFill="1" applyBorder="1"/>
    <xf numFmtId="0" fontId="18" fillId="2" borderId="15" xfId="1" applyFont="1" applyFill="1" applyBorder="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4"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16" fillId="2" borderId="13" xfId="1" applyFont="1" applyFill="1" applyBorder="1"/>
    <xf numFmtId="0" fontId="20" fillId="2" borderId="14" xfId="1" applyFont="1" applyFill="1" applyBorder="1"/>
    <xf numFmtId="0" fontId="20" fillId="2" borderId="15" xfId="1" applyFont="1" applyFill="1" applyBorder="1"/>
    <xf numFmtId="0" fontId="5" fillId="2" borderId="16" xfId="1" applyFont="1" applyFill="1" applyBorder="1"/>
    <xf numFmtId="175" fontId="21" fillId="4" borderId="10" xfId="1" applyNumberFormat="1" applyFont="1" applyFill="1" applyBorder="1" applyAlignment="1" applyProtection="1">
      <alignment horizontal="left"/>
    </xf>
    <xf numFmtId="176" fontId="5" fillId="2" borderId="9" xfId="2" applyNumberFormat="1" applyFont="1" applyFill="1" applyBorder="1" applyAlignment="1">
      <alignment horizontal="center"/>
    </xf>
    <xf numFmtId="0" fontId="5" fillId="2" borderId="3" xfId="2" applyNumberFormat="1" applyFont="1" applyFill="1" applyBorder="1" applyAlignment="1">
      <alignment horizontal="left"/>
    </xf>
    <xf numFmtId="0" fontId="5" fillId="2" borderId="29" xfId="1" applyFont="1" applyFill="1" applyBorder="1" applyAlignment="1">
      <alignment horizontal="center"/>
    </xf>
    <xf numFmtId="0" fontId="5" fillId="2" borderId="9" xfId="1" applyFont="1" applyFill="1" applyBorder="1" applyAlignment="1">
      <alignment horizontal="center"/>
    </xf>
    <xf numFmtId="0" fontId="8" fillId="2" borderId="12" xfId="1" applyFont="1" applyFill="1" applyBorder="1" applyAlignment="1">
      <alignment horizontal="center"/>
    </xf>
    <xf numFmtId="0" fontId="20" fillId="2" borderId="17" xfId="1" applyFont="1" applyFill="1" applyBorder="1"/>
    <xf numFmtId="175" fontId="1" fillId="0" borderId="0" xfId="1" applyNumberFormat="1"/>
    <xf numFmtId="175" fontId="21" fillId="4" borderId="1" xfId="1" applyNumberFormat="1" applyFont="1" applyFill="1" applyBorder="1" applyAlignment="1" applyProtection="1">
      <alignment horizontal="left"/>
    </xf>
    <xf numFmtId="176" fontId="5" fillId="2" borderId="29" xfId="2" applyNumberFormat="1" applyFont="1" applyFill="1" applyBorder="1" applyAlignment="1">
      <alignment horizontal="center"/>
    </xf>
    <xf numFmtId="0" fontId="8" fillId="2" borderId="3" xfId="1" applyFont="1" applyFill="1" applyBorder="1" applyAlignment="1">
      <alignment horizontal="center"/>
    </xf>
    <xf numFmtId="0" fontId="21" fillId="4" borderId="9" xfId="1" applyNumberFormat="1" applyFont="1" applyFill="1" applyBorder="1" applyAlignment="1" applyProtection="1">
      <alignment horizontal="left" vertical="center"/>
    </xf>
    <xf numFmtId="0" fontId="18" fillId="4" borderId="10" xfId="1" applyNumberFormat="1" applyFont="1" applyFill="1" applyBorder="1" applyAlignment="1" applyProtection="1">
      <alignment horizontal="center" vertical="center"/>
    </xf>
    <xf numFmtId="0" fontId="22" fillId="2" borderId="9" xfId="1" applyFont="1" applyFill="1" applyBorder="1" applyAlignment="1">
      <alignment horizontal="center" vertical="center"/>
    </xf>
    <xf numFmtId="0" fontId="8" fillId="2" borderId="12" xfId="1" applyFont="1" applyFill="1" applyBorder="1" applyAlignment="1">
      <alignment horizontal="center" vertical="center" wrapText="1"/>
    </xf>
    <xf numFmtId="0" fontId="8" fillId="2" borderId="9" xfId="1" applyFont="1" applyFill="1" applyBorder="1" applyAlignment="1">
      <alignment horizontal="center" vertical="center" wrapText="1"/>
    </xf>
    <xf numFmtId="0" fontId="8" fillId="2" borderId="10" xfId="1" applyFont="1" applyFill="1" applyBorder="1" applyAlignment="1">
      <alignment horizontal="center" vertical="center" wrapText="1"/>
    </xf>
    <xf numFmtId="0" fontId="16" fillId="2" borderId="17" xfId="1" applyFont="1" applyFill="1" applyBorder="1"/>
    <xf numFmtId="0" fontId="16" fillId="2" borderId="0" xfId="1" applyFont="1" applyFill="1"/>
    <xf numFmtId="0" fontId="16" fillId="2" borderId="0" xfId="1" applyFont="1" applyFill="1" applyAlignment="1">
      <alignment horizontal="center"/>
    </xf>
    <xf numFmtId="0" fontId="16" fillId="2" borderId="0" xfId="1" applyFont="1" applyFill="1" applyBorder="1" applyAlignment="1">
      <alignment horizontal="center" vertical="center"/>
    </xf>
    <xf numFmtId="0" fontId="5" fillId="2" borderId="0" xfId="1" applyFont="1" applyFill="1" applyBorder="1" applyAlignment="1">
      <alignment horizontal="center"/>
    </xf>
    <xf numFmtId="0" fontId="23" fillId="2" borderId="0" xfId="1" applyFont="1" applyFill="1" applyBorder="1"/>
    <xf numFmtId="0" fontId="1" fillId="0" borderId="0" xfId="1" applyAlignment="1">
      <alignment horizontal="left"/>
    </xf>
    <xf numFmtId="0" fontId="5" fillId="2" borderId="13" xfId="1" applyFont="1" applyFill="1" applyBorder="1" applyAlignment="1">
      <alignment horizontal="left"/>
    </xf>
    <xf numFmtId="0" fontId="5" fillId="2" borderId="14" xfId="1" applyFont="1" applyFill="1" applyBorder="1" applyAlignment="1">
      <alignment horizontal="left"/>
    </xf>
    <xf numFmtId="0" fontId="5" fillId="2" borderId="14" xfId="1" applyFont="1" applyFill="1" applyBorder="1"/>
    <xf numFmtId="0" fontId="5" fillId="2" borderId="15" xfId="1" applyFont="1" applyFill="1" applyBorder="1"/>
    <xf numFmtId="0" fontId="24" fillId="2" borderId="16" xfId="1" applyFont="1" applyFill="1" applyBorder="1"/>
    <xf numFmtId="0" fontId="18" fillId="4" borderId="9" xfId="1" applyNumberFormat="1" applyFont="1" applyFill="1" applyBorder="1" applyAlignment="1" applyProtection="1">
      <alignment horizontal="left" vertical="center"/>
    </xf>
    <xf numFmtId="0" fontId="5" fillId="2" borderId="9" xfId="1" applyNumberFormat="1" applyFont="1" applyFill="1" applyBorder="1" applyAlignment="1"/>
    <xf numFmtId="0" fontId="5" fillId="2" borderId="9" xfId="1" applyFont="1" applyFill="1" applyBorder="1" applyAlignment="1"/>
    <xf numFmtId="0" fontId="5" fillId="2" borderId="29" xfId="1" applyFont="1" applyFill="1" applyBorder="1" applyAlignment="1"/>
    <xf numFmtId="165" fontId="5" fillId="2" borderId="9" xfId="1" applyNumberFormat="1" applyFont="1" applyFill="1" applyBorder="1" applyAlignment="1"/>
    <xf numFmtId="0" fontId="5" fillId="2" borderId="9" xfId="1" applyNumberFormat="1" applyFont="1" applyFill="1" applyBorder="1" applyAlignment="1">
      <alignment horizontal="center"/>
    </xf>
    <xf numFmtId="0" fontId="5" fillId="2" borderId="17" xfId="1" applyFont="1" applyFill="1" applyBorder="1" applyAlignment="1">
      <alignment horizontal="center"/>
    </xf>
    <xf numFmtId="0" fontId="5" fillId="0" borderId="13" xfId="1" applyFont="1" applyBorder="1" applyAlignment="1">
      <alignment horizontal="center"/>
    </xf>
    <xf numFmtId="0" fontId="5" fillId="0" borderId="14" xfId="1" applyFont="1" applyBorder="1" applyAlignment="1">
      <alignment horizontal="center"/>
    </xf>
    <xf numFmtId="0" fontId="5" fillId="0" borderId="15" xfId="1" applyFont="1" applyBorder="1"/>
    <xf numFmtId="0" fontId="5" fillId="0" borderId="16" xfId="1" applyFont="1" applyBorder="1" applyAlignment="1">
      <alignment horizontal="center"/>
    </xf>
    <xf numFmtId="0" fontId="5" fillId="0" borderId="0" xfId="1" applyFont="1" applyBorder="1" applyAlignment="1">
      <alignment horizontal="center"/>
    </xf>
    <xf numFmtId="0" fontId="5" fillId="0" borderId="17" xfId="1" applyFont="1" applyBorder="1"/>
    <xf numFmtId="0" fontId="5" fillId="0" borderId="32" xfId="1" applyFont="1" applyBorder="1" applyAlignment="1">
      <alignment horizontal="center"/>
    </xf>
    <xf numFmtId="0" fontId="5" fillId="0" borderId="34" xfId="1" applyFont="1" applyBorder="1" applyAlignment="1">
      <alignment horizontal="center"/>
    </xf>
    <xf numFmtId="0" fontId="5" fillId="0" borderId="33" xfId="1" applyFont="1" applyBorder="1"/>
    <xf numFmtId="0" fontId="16" fillId="0" borderId="0" xfId="1" applyFont="1"/>
    <xf numFmtId="0" fontId="23" fillId="2" borderId="16" xfId="1" applyFont="1" applyFill="1" applyBorder="1"/>
    <xf numFmtId="0" fontId="5" fillId="2" borderId="0" xfId="1" applyFont="1" applyFill="1" applyBorder="1"/>
    <xf numFmtId="0" fontId="5" fillId="2" borderId="17" xfId="1" applyFont="1" applyFill="1" applyBorder="1"/>
    <xf numFmtId="175" fontId="9" fillId="4" borderId="9" xfId="1" applyNumberFormat="1" applyFont="1" applyFill="1" applyBorder="1" applyAlignment="1" applyProtection="1">
      <alignment horizontal="left"/>
    </xf>
    <xf numFmtId="0" fontId="5" fillId="2" borderId="9" xfId="1" applyFont="1" applyFill="1" applyBorder="1"/>
    <xf numFmtId="0" fontId="5" fillId="0" borderId="9" xfId="1" applyFont="1" applyBorder="1" applyAlignment="1">
      <alignment horizontal="left"/>
    </xf>
    <xf numFmtId="0" fontId="18" fillId="4" borderId="9" xfId="1" applyNumberFormat="1" applyFont="1" applyFill="1" applyBorder="1" applyAlignment="1" applyProtection="1">
      <alignment horizontal="center" vertical="center"/>
    </xf>
    <xf numFmtId="0" fontId="22" fillId="2" borderId="9" xfId="1" applyFont="1" applyFill="1" applyBorder="1" applyAlignment="1">
      <alignment horizontal="left" vertical="center"/>
    </xf>
    <xf numFmtId="0" fontId="23" fillId="2" borderId="32" xfId="1" applyFont="1" applyFill="1" applyBorder="1"/>
    <xf numFmtId="0" fontId="5" fillId="2" borderId="34" xfId="1" applyFont="1" applyFill="1" applyBorder="1"/>
    <xf numFmtId="0" fontId="5" fillId="2" borderId="34" xfId="1" applyFont="1" applyFill="1" applyBorder="1" applyAlignment="1">
      <alignment horizontal="center"/>
    </xf>
    <xf numFmtId="0" fontId="5" fillId="2" borderId="33" xfId="1" applyFont="1" applyFill="1" applyBorder="1" applyAlignment="1">
      <alignment horizontal="left"/>
    </xf>
    <xf numFmtId="0" fontId="5" fillId="10" borderId="0" xfId="3" applyFont="1" applyFill="1"/>
    <xf numFmtId="0" fontId="5" fillId="10" borderId="17" xfId="3" applyFont="1" applyFill="1" applyBorder="1"/>
    <xf numFmtId="0" fontId="5" fillId="10" borderId="16" xfId="3" applyFont="1" applyFill="1" applyBorder="1"/>
    <xf numFmtId="0" fontId="5" fillId="10" borderId="33" xfId="3" applyFont="1" applyFill="1" applyBorder="1"/>
    <xf numFmtId="0" fontId="5" fillId="10" borderId="32" xfId="3" applyFont="1" applyFill="1" applyBorder="1"/>
    <xf numFmtId="0" fontId="5" fillId="10" borderId="15" xfId="3" applyFont="1" applyFill="1" applyBorder="1"/>
    <xf numFmtId="0" fontId="5" fillId="10" borderId="13" xfId="3" applyFont="1" applyFill="1" applyBorder="1"/>
    <xf numFmtId="0" fontId="16" fillId="10" borderId="0" xfId="10" applyFill="1"/>
    <xf numFmtId="0" fontId="1" fillId="0" borderId="0" xfId="1" quotePrefix="1"/>
    <xf numFmtId="0" fontId="5" fillId="2" borderId="29" xfId="1" quotePrefix="1" applyFont="1" applyFill="1" applyBorder="1" applyAlignment="1">
      <alignment horizontal="center"/>
    </xf>
    <xf numFmtId="0" fontId="5" fillId="2" borderId="9" xfId="1" quotePrefix="1" applyFont="1" applyFill="1" applyBorder="1" applyAlignment="1">
      <alignment horizontal="center"/>
    </xf>
    <xf numFmtId="0" fontId="2" fillId="11" borderId="0" xfId="1" applyFont="1" applyFill="1" applyBorder="1" applyAlignment="1">
      <alignment horizontal="center"/>
    </xf>
    <xf numFmtId="0" fontId="10" fillId="8" borderId="28" xfId="3" applyFont="1" applyFill="1" applyBorder="1" applyAlignment="1">
      <alignment horizontal="center"/>
    </xf>
    <xf numFmtId="0" fontId="10" fillId="8" borderId="35" xfId="3" applyFont="1" applyFill="1" applyBorder="1" applyAlignment="1">
      <alignment horizontal="center"/>
    </xf>
    <xf numFmtId="0" fontId="10" fillId="0" borderId="27" xfId="1" applyFont="1" applyBorder="1" applyAlignment="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26"/>
  <sheetViews>
    <sheetView tabSelected="1" workbookViewId="0"/>
  </sheetViews>
  <sheetFormatPr defaultColWidth="8" defaultRowHeight="11.25" x14ac:dyDescent="0.2"/>
  <cols>
    <col min="1" max="2" width="2.7109375" style="199" customWidth="1"/>
    <col min="3" max="3" width="18" style="199" bestFit="1" customWidth="1"/>
    <col min="4" max="4" width="23.85546875" style="199" bestFit="1" customWidth="1"/>
    <col min="5" max="5" width="22" style="199" bestFit="1" customWidth="1"/>
    <col min="6" max="7" width="2.7109375" style="199" customWidth="1"/>
    <col min="8" max="9" width="8" style="199"/>
    <col min="10" max="11" width="2.7109375" style="199" customWidth="1"/>
    <col min="12" max="12" width="18.5703125" style="199" bestFit="1" customWidth="1"/>
    <col min="13" max="13" width="53.7109375" style="199" bestFit="1" customWidth="1"/>
    <col min="14" max="14" width="2.7109375" style="199" customWidth="1"/>
    <col min="15" max="16384" width="8" style="199"/>
  </cols>
  <sheetData>
    <row r="1" spans="2:14" ht="12" thickBot="1" x14ac:dyDescent="0.25">
      <c r="B1" s="199" t="str">
        <f>_xll.qlxlVersion(TRUE,Trigger)</f>
        <v>QuantLibXL 1.3.0 - MS VC++ 9.0 - Multithreaded Static Runtime library - Release Configuration - Dec  5 2013 11:03:51</v>
      </c>
    </row>
    <row r="2" spans="2:14" ht="18.75" thickBot="1" x14ac:dyDescent="0.3">
      <c r="B2" s="211" t="s">
        <v>116</v>
      </c>
      <c r="C2" s="212"/>
      <c r="D2" s="212"/>
      <c r="E2" s="212"/>
      <c r="F2" s="213"/>
      <c r="K2" s="211" t="s">
        <v>173</v>
      </c>
      <c r="L2" s="212"/>
      <c r="M2" s="212"/>
      <c r="N2" s="212"/>
    </row>
    <row r="3" spans="2:14" ht="12" thickBot="1" x14ac:dyDescent="0.25">
      <c r="B3" s="64"/>
      <c r="C3" s="91"/>
      <c r="D3" s="61"/>
      <c r="E3" s="61"/>
      <c r="F3" s="60"/>
      <c r="K3" s="133"/>
      <c r="L3" s="136"/>
      <c r="M3" s="136"/>
      <c r="N3" s="135"/>
    </row>
    <row r="4" spans="2:14" x14ac:dyDescent="0.2">
      <c r="B4" s="64"/>
      <c r="C4" s="89" t="s">
        <v>115</v>
      </c>
      <c r="D4" s="90" t="s">
        <v>109</v>
      </c>
      <c r="E4" s="61"/>
      <c r="F4" s="60"/>
      <c r="H4" s="202" t="s">
        <v>114</v>
      </c>
      <c r="I4" s="203"/>
      <c r="K4" s="133"/>
      <c r="L4" s="132" t="s">
        <v>172</v>
      </c>
      <c r="M4" s="126" t="b">
        <v>1</v>
      </c>
      <c r="N4" s="131"/>
    </row>
    <row r="5" spans="2:14" x14ac:dyDescent="0.2">
      <c r="B5" s="64"/>
      <c r="C5" s="86" t="s">
        <v>113</v>
      </c>
      <c r="D5" s="65">
        <v>3</v>
      </c>
      <c r="E5" s="61"/>
      <c r="F5" s="60"/>
      <c r="H5" s="200" t="s">
        <v>112</v>
      </c>
      <c r="I5" s="201" t="s">
        <v>111</v>
      </c>
      <c r="K5" s="133"/>
      <c r="L5" s="132" t="s">
        <v>171</v>
      </c>
      <c r="M5" s="134" t="str">
        <f ca="1">SUBSTITUTE(LEFT(CELL("filename",A1),FIND("[",CELL("filename",A1),1)-1),"\XLS\","\XML\")</f>
        <v>C:\Users\erik\Documents\repos\quantlib_nando\QuantLibXL\Data2\XML\</v>
      </c>
      <c r="N5" s="131"/>
    </row>
    <row r="6" spans="2:14" x14ac:dyDescent="0.2">
      <c r="B6" s="64"/>
      <c r="C6" s="86" t="s">
        <v>110</v>
      </c>
      <c r="D6" s="65" t="str">
        <f>_xll.qlPeriodEquivalent(D5&amp;"M")</f>
        <v>3M</v>
      </c>
      <c r="E6" s="61"/>
      <c r="F6" s="60"/>
      <c r="H6" s="200" t="s">
        <v>109</v>
      </c>
      <c r="I6" s="201" t="s">
        <v>108</v>
      </c>
      <c r="K6" s="133"/>
      <c r="L6" s="132" t="s">
        <v>170</v>
      </c>
      <c r="M6" s="123" t="b">
        <v>1</v>
      </c>
      <c r="N6" s="131"/>
    </row>
    <row r="7" spans="2:14" ht="12" thickBot="1" x14ac:dyDescent="0.25">
      <c r="B7" s="64"/>
      <c r="C7" s="89" t="s">
        <v>107</v>
      </c>
      <c r="D7" s="88" t="s">
        <v>106</v>
      </c>
      <c r="E7" s="61"/>
      <c r="F7" s="60"/>
      <c r="H7" s="200" t="s">
        <v>105</v>
      </c>
      <c r="I7" s="201"/>
      <c r="K7" s="130"/>
      <c r="L7" s="129"/>
      <c r="M7" s="129"/>
      <c r="N7" s="128"/>
    </row>
    <row r="8" spans="2:14" ht="12" thickBot="1" x14ac:dyDescent="0.25">
      <c r="B8" s="64"/>
      <c r="C8" s="87" t="s">
        <v>104</v>
      </c>
      <c r="D8" s="82" t="str">
        <f>VLOOKUP(Currency,H4:I8,2)</f>
        <v>SB</v>
      </c>
      <c r="E8" s="61"/>
      <c r="F8" s="60"/>
      <c r="H8" s="204" t="s">
        <v>103</v>
      </c>
      <c r="I8" s="205" t="s">
        <v>102</v>
      </c>
      <c r="K8" s="206"/>
      <c r="L8" s="206"/>
      <c r="M8" s="206"/>
      <c r="N8" s="206"/>
    </row>
    <row r="9" spans="2:14" ht="18.75" thickBot="1" x14ac:dyDescent="0.3">
      <c r="B9" s="64"/>
      <c r="C9" s="86" t="s">
        <v>101</v>
      </c>
      <c r="D9" s="65" t="str">
        <f>Currency&amp;"_"&amp;$E$16&amp;"RH"</f>
        <v>GBP_YCSTDRH</v>
      </c>
      <c r="E9" s="61"/>
      <c r="F9" s="60"/>
      <c r="K9" s="211" t="s">
        <v>169</v>
      </c>
      <c r="L9" s="212"/>
      <c r="M9" s="212"/>
      <c r="N9" s="212"/>
    </row>
    <row r="10" spans="2:14" ht="12.75" x14ac:dyDescent="0.2">
      <c r="B10" s="64"/>
      <c r="C10" s="85" t="s">
        <v>100</v>
      </c>
      <c r="D10" s="65" t="b">
        <v>1</v>
      </c>
      <c r="E10" s="61"/>
      <c r="F10" s="60"/>
      <c r="K10" s="125"/>
      <c r="L10" s="127"/>
      <c r="M10" s="127"/>
      <c r="N10" s="122"/>
    </row>
    <row r="11" spans="2:14" ht="12.75" x14ac:dyDescent="0.2">
      <c r="B11" s="64"/>
      <c r="C11" s="85" t="s">
        <v>99</v>
      </c>
      <c r="D11" s="84">
        <v>41666.649537037039</v>
      </c>
      <c r="E11" s="61"/>
      <c r="F11" s="60"/>
      <c r="K11" s="125"/>
      <c r="L11" s="124" t="s">
        <v>168</v>
      </c>
      <c r="M11" s="126" t="s">
        <v>167</v>
      </c>
      <c r="N11" s="122"/>
    </row>
    <row r="12" spans="2:14" ht="12.75" x14ac:dyDescent="0.2">
      <c r="B12" s="64"/>
      <c r="C12" s="83" t="s">
        <v>98</v>
      </c>
      <c r="D12" s="82" t="b">
        <v>0</v>
      </c>
      <c r="E12" s="61"/>
      <c r="F12" s="60"/>
      <c r="K12" s="125"/>
      <c r="L12" s="124" t="s">
        <v>166</v>
      </c>
      <c r="M12" s="123" t="s">
        <v>165</v>
      </c>
      <c r="N12" s="122"/>
    </row>
    <row r="13" spans="2:14" ht="12.75" x14ac:dyDescent="0.2">
      <c r="B13" s="64"/>
      <c r="C13" s="69"/>
      <c r="D13" s="69"/>
      <c r="E13" s="61"/>
      <c r="F13" s="60"/>
      <c r="K13" s="125"/>
      <c r="L13" s="124" t="s">
        <v>191</v>
      </c>
      <c r="M13" s="126" t="s">
        <v>189</v>
      </c>
      <c r="N13" s="122"/>
    </row>
    <row r="14" spans="2:14" ht="12.75" x14ac:dyDescent="0.2">
      <c r="B14" s="64"/>
      <c r="C14" s="79" t="s">
        <v>97</v>
      </c>
      <c r="D14" s="81" t="str">
        <f>_xll.qlPiecewiseYieldCurve(D16,NDays,Calendar,RateHelpersSelected,,,,Accuracy,TraitsID,InterpolatorID,Permanent,,ObjectOverwrite)</f>
        <v>_GBPYCSTD#0006</v>
      </c>
      <c r="E14" s="61"/>
      <c r="F14" s="60"/>
      <c r="K14" s="125"/>
      <c r="L14" s="124" t="s">
        <v>190</v>
      </c>
      <c r="M14" s="126" t="s">
        <v>189</v>
      </c>
      <c r="N14" s="122"/>
    </row>
    <row r="15" spans="2:14" ht="12.75" x14ac:dyDescent="0.2">
      <c r="B15" s="64"/>
      <c r="C15" s="71" t="s">
        <v>78</v>
      </c>
      <c r="D15" s="80" t="str">
        <f>_xll.ohRangeRetrieveError(YieldCurve)</f>
        <v/>
      </c>
      <c r="E15" s="61"/>
      <c r="F15" s="60"/>
      <c r="K15" s="125"/>
      <c r="L15" s="124" t="s">
        <v>188</v>
      </c>
      <c r="M15" s="126" t="str">
        <f>PROPER(Currency)&amp;"YC"</f>
        <v>GbpYC</v>
      </c>
      <c r="N15" s="122"/>
    </row>
    <row r="16" spans="2:14" ht="12.75" x14ac:dyDescent="0.2">
      <c r="B16" s="64"/>
      <c r="C16" s="79" t="s">
        <v>96</v>
      </c>
      <c r="D16" s="78" t="str">
        <f>"_"&amp;Currency&amp;$E$16</f>
        <v>_GBPYCSTD</v>
      </c>
      <c r="E16" s="77" t="s">
        <v>95</v>
      </c>
      <c r="F16" s="60"/>
      <c r="K16" s="125"/>
      <c r="L16" s="124" t="s">
        <v>187</v>
      </c>
      <c r="M16" s="126" t="str">
        <f>PROPER(Currency)&amp;"YCSTD"</f>
        <v>GbpYCSTD</v>
      </c>
      <c r="N16" s="122"/>
    </row>
    <row r="17" spans="2:14" ht="13.5" thickBot="1" x14ac:dyDescent="0.25">
      <c r="B17" s="64"/>
      <c r="C17" s="73" t="s">
        <v>94</v>
      </c>
      <c r="D17" s="76">
        <v>0</v>
      </c>
      <c r="E17" s="61"/>
      <c r="F17" s="60"/>
      <c r="K17" s="121"/>
      <c r="L17" s="120"/>
      <c r="M17" s="120"/>
      <c r="N17" s="119"/>
    </row>
    <row r="18" spans="2:14" x14ac:dyDescent="0.2">
      <c r="B18" s="64"/>
      <c r="C18" s="73" t="s">
        <v>93</v>
      </c>
      <c r="D18" s="75" t="s">
        <v>92</v>
      </c>
      <c r="E18" s="61"/>
      <c r="F18" s="60"/>
    </row>
    <row r="19" spans="2:14" x14ac:dyDescent="0.2">
      <c r="B19" s="64"/>
      <c r="C19" s="73" t="s">
        <v>91</v>
      </c>
      <c r="D19" s="74"/>
      <c r="E19" s="61"/>
      <c r="F19" s="60"/>
    </row>
    <row r="20" spans="2:14" x14ac:dyDescent="0.2">
      <c r="B20" s="64"/>
      <c r="C20" s="73" t="s">
        <v>90</v>
      </c>
      <c r="D20" s="72" t="s">
        <v>89</v>
      </c>
      <c r="E20" s="61"/>
      <c r="F20" s="60"/>
    </row>
    <row r="21" spans="2:14" x14ac:dyDescent="0.2">
      <c r="B21" s="64"/>
      <c r="C21" s="71" t="s">
        <v>88</v>
      </c>
      <c r="D21" s="70" t="s">
        <v>87</v>
      </c>
      <c r="E21" s="61"/>
      <c r="F21" s="60"/>
    </row>
    <row r="22" spans="2:14" x14ac:dyDescent="0.2">
      <c r="B22" s="64"/>
      <c r="C22" s="69"/>
      <c r="D22" s="69"/>
      <c r="E22" s="61"/>
      <c r="F22" s="60"/>
    </row>
    <row r="23" spans="2:14" x14ac:dyDescent="0.2">
      <c r="B23" s="64"/>
      <c r="C23" s="68">
        <f>_xll.qlTermStructureReferenceDate(YieldCurve)</f>
        <v>41656</v>
      </c>
      <c r="D23" s="67">
        <f>MAX(_xll.ohPack(Selected!I1:I126))</f>
        <v>3.2829539655675546E-2</v>
      </c>
      <c r="E23" s="61"/>
      <c r="F23" s="60"/>
    </row>
    <row r="24" spans="2:14" x14ac:dyDescent="0.2">
      <c r="B24" s="64"/>
      <c r="C24" s="66">
        <f>MAX(_xll.ohPack(Selected!H2:H126))</f>
        <v>63571</v>
      </c>
      <c r="D24" s="65">
        <f>MIN(_xll.ohPack(Selected!I1:I126))</f>
        <v>4.7999053175556972E-3</v>
      </c>
      <c r="E24" s="61"/>
      <c r="F24" s="60"/>
    </row>
    <row r="25" spans="2:14" x14ac:dyDescent="0.2">
      <c r="B25" s="64"/>
      <c r="C25" s="63" t="s">
        <v>78</v>
      </c>
      <c r="D25" s="62" t="str">
        <f>_xll.ohRangeRetrieveError(Selected!I1)</f>
        <v/>
      </c>
      <c r="E25" s="61"/>
      <c r="F25" s="60"/>
    </row>
    <row r="26" spans="2:14" ht="14.25" customHeight="1" thickBot="1" x14ac:dyDescent="0.25">
      <c r="B26" s="59"/>
      <c r="C26" s="58"/>
      <c r="D26" s="58"/>
      <c r="E26" s="58"/>
      <c r="F26" s="57"/>
    </row>
  </sheetData>
  <mergeCells count="3">
    <mergeCell ref="B2:F2"/>
    <mergeCell ref="K2:N2"/>
    <mergeCell ref="K9:N9"/>
  </mergeCells>
  <dataValidations count="7">
    <dataValidation type="list" allowBlank="1" showInputMessage="1" showErrorMessage="1" sqref="D21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D65557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3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29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5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1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7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3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09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5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1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7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3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89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5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1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0 IZ20 SV20 ACR20 AMN20 AWJ20 BGF20 BQB20 BZX20 CJT20 CTP20 DDL20 DNH20 DXD20 EGZ20 EQV20 FAR20 FKN20 FUJ20 GEF20 GOB20 GXX20 HHT20 HRP20 IBL20 ILH20 IVD20 JEZ20 JOV20 JYR20 KIN20 KSJ20 LCF20 LMB20 LVX20 MFT20 MPP20 MZL20 NJH20 NTD20 OCZ20 OMV20 OWR20 PGN20 PQJ20 QAF20 QKB20 QTX20 RDT20 RNP20 RXL20 SHH20 SRD20 TAZ20 TKV20 TUR20 UEN20 UOJ20 UYF20 VIB20 VRX20 WBT20 WLP20 WVL20 D65556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2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28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4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0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6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2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08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4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0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6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2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88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4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0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"Discount,ZeroYield,ForwardRate"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T171"/>
  <sheetViews>
    <sheetView topLeftCell="A29" zoomScaleNormal="100" workbookViewId="0">
      <selection activeCell="H43" sqref="H43"/>
    </sheetView>
  </sheetViews>
  <sheetFormatPr defaultRowHeight="11.25" outlineLevelCol="1" x14ac:dyDescent="0.2"/>
  <cols>
    <col min="1" max="1" width="5.7109375" style="1" customWidth="1" outlineLevel="1"/>
    <col min="2" max="2" width="4.140625" style="2" customWidth="1" outlineLevel="1"/>
    <col min="3" max="3" width="8.5703125" style="2" customWidth="1" outlineLevel="1"/>
    <col min="4" max="4" width="4.42578125" style="2" customWidth="1" outlineLevel="1"/>
    <col min="5" max="5" width="25.5703125" style="2" bestFit="1" customWidth="1"/>
    <col min="6" max="6" width="8" style="2" bestFit="1" customWidth="1"/>
    <col min="7" max="7" width="11" style="2" customWidth="1"/>
    <col min="8" max="8" width="8" style="2" bestFit="1" customWidth="1"/>
    <col min="9" max="9" width="9" style="2" bestFit="1" customWidth="1"/>
    <col min="10" max="10" width="10.140625" style="2" customWidth="1"/>
    <col min="11" max="12" width="17.28515625" style="2" bestFit="1" customWidth="1"/>
    <col min="13" max="13" width="2.7109375" style="1" bestFit="1" customWidth="1"/>
    <col min="14" max="14" width="13.5703125" style="1" bestFit="1" customWidth="1"/>
    <col min="15" max="15" width="28.140625" style="1" bestFit="1" customWidth="1"/>
    <col min="16" max="16" width="3.5703125" style="1" customWidth="1"/>
    <col min="17" max="17" width="18.5703125" style="1" bestFit="1" customWidth="1"/>
    <col min="18" max="16384" width="9.140625" style="1"/>
  </cols>
  <sheetData>
    <row r="1" spans="2:20" ht="22.5" x14ac:dyDescent="0.2">
      <c r="B1" s="214" t="s">
        <v>77</v>
      </c>
      <c r="C1" s="215"/>
      <c r="D1" s="216"/>
      <c r="E1" s="36" t="s">
        <v>76</v>
      </c>
      <c r="F1" s="36" t="s">
        <v>75</v>
      </c>
      <c r="G1" s="36" t="s">
        <v>74</v>
      </c>
      <c r="H1" s="36" t="s">
        <v>73</v>
      </c>
      <c r="I1" s="36" t="s">
        <v>72</v>
      </c>
      <c r="J1" s="36" t="s">
        <v>71</v>
      </c>
      <c r="K1" s="36" t="s">
        <v>70</v>
      </c>
      <c r="L1" s="36" t="s">
        <v>69</v>
      </c>
    </row>
    <row r="2" spans="2:20" ht="11.25" customHeight="1" x14ac:dyDescent="0.2">
      <c r="B2" s="35"/>
      <c r="C2" s="15"/>
      <c r="D2" s="14" t="s">
        <v>68</v>
      </c>
      <c r="E2" s="14" t="str">
        <f>STD_Deposits!F3</f>
        <v>GBP_YCSTDRH_OND#0000</v>
      </c>
      <c r="F2" s="13">
        <f>_xll.qlRateHelperQuoteValue($E2,Trigger)</f>
        <v>4.7999999999999996E-3</v>
      </c>
      <c r="G2" s="13"/>
      <c r="H2" s="12" t="b">
        <v>1</v>
      </c>
      <c r="I2" s="12">
        <v>10</v>
      </c>
      <c r="J2" s="12">
        <v>1</v>
      </c>
      <c r="K2" s="11">
        <f>_xll.qlRateHelperEarliestDate($E2,Trigger)</f>
        <v>41656</v>
      </c>
      <c r="L2" s="10">
        <f>_xll.qlRateHelperLatestDate($E2,Trigger)</f>
        <v>41659</v>
      </c>
      <c r="M2" s="1">
        <v>10</v>
      </c>
      <c r="N2" s="1" t="s">
        <v>67</v>
      </c>
      <c r="T2" s="96"/>
    </row>
    <row r="3" spans="2:20" x14ac:dyDescent="0.2">
      <c r="B3" s="35"/>
      <c r="C3" s="15"/>
      <c r="D3" s="34" t="s">
        <v>64</v>
      </c>
      <c r="E3" s="14" t="str">
        <f>STD_Deposits!F4</f>
        <v>GBP_YCSTDRH_SWD#0000</v>
      </c>
      <c r="F3" s="13">
        <f>_xll.qlRateHelperQuoteValue($E3,Trigger)</f>
        <v>4.8687999999999995E-3</v>
      </c>
      <c r="G3" s="13"/>
      <c r="H3" s="12" t="b">
        <v>1</v>
      </c>
      <c r="I3" s="12">
        <v>10</v>
      </c>
      <c r="J3" s="12">
        <v>1</v>
      </c>
      <c r="K3" s="11">
        <f>_xll.qlRateHelperEarliestDate($E3,Trigger)</f>
        <v>41656</v>
      </c>
      <c r="L3" s="10">
        <f>_xll.qlRateHelperLatestDate($E3,Trigger)</f>
        <v>41663</v>
      </c>
      <c r="M3" s="1">
        <v>20</v>
      </c>
      <c r="N3" s="1" t="s">
        <v>66</v>
      </c>
      <c r="T3" s="96"/>
    </row>
    <row r="4" spans="2:20" x14ac:dyDescent="0.2">
      <c r="B4" s="35"/>
      <c r="C4" s="15"/>
      <c r="D4" s="34" t="s">
        <v>62</v>
      </c>
      <c r="E4" s="14" t="str">
        <f>STD_Deposits!F5</f>
        <v>GBP_YCSTDRH_2WD#0000</v>
      </c>
      <c r="F4" s="13" t="e">
        <f>_xll.qlRateHelperQuoteValue($E4,Trigger)</f>
        <v>#NUM!</v>
      </c>
      <c r="G4" s="13"/>
      <c r="H4" s="12" t="b">
        <v>0</v>
      </c>
      <c r="I4" s="12">
        <v>10</v>
      </c>
      <c r="J4" s="12">
        <v>1</v>
      </c>
      <c r="K4" s="11">
        <f>_xll.qlRateHelperEarliestDate($E4,Trigger)</f>
        <v>41656</v>
      </c>
      <c r="L4" s="10">
        <f>_xll.qlRateHelperLatestDate($E4,Trigger)</f>
        <v>41670</v>
      </c>
      <c r="M4" s="1">
        <v>30</v>
      </c>
      <c r="N4" s="1" t="s">
        <v>65</v>
      </c>
      <c r="T4" s="96"/>
    </row>
    <row r="5" spans="2:20" x14ac:dyDescent="0.2">
      <c r="B5" s="35"/>
      <c r="C5" s="15"/>
      <c r="D5" s="34" t="s">
        <v>60</v>
      </c>
      <c r="E5" s="14" t="str">
        <f>STD_Deposits!F6</f>
        <v>GBP_YCSTDRH_3WD#0000</v>
      </c>
      <c r="F5" s="13" t="e">
        <f>_xll.qlRateHelperQuoteValue($E5,Trigger)</f>
        <v>#NUM!</v>
      </c>
      <c r="G5" s="13"/>
      <c r="H5" s="12" t="b">
        <v>0</v>
      </c>
      <c r="I5" s="12">
        <v>10</v>
      </c>
      <c r="J5" s="12">
        <v>1</v>
      </c>
      <c r="K5" s="11">
        <f>_xll.qlRateHelperEarliestDate($E5,Trigger)</f>
        <v>41656</v>
      </c>
      <c r="L5" s="10">
        <f>_xll.qlRateHelperLatestDate($E5,Trigger)</f>
        <v>41677</v>
      </c>
      <c r="M5" s="1">
        <v>40</v>
      </c>
      <c r="N5" s="1" t="s">
        <v>63</v>
      </c>
      <c r="T5" s="96"/>
    </row>
    <row r="6" spans="2:20" x14ac:dyDescent="0.2">
      <c r="B6" s="35"/>
      <c r="C6" s="15"/>
      <c r="D6" s="34" t="s">
        <v>58</v>
      </c>
      <c r="E6" s="14" t="str">
        <f>STD_Deposits!F7</f>
        <v>GBP_YCSTDRH_1MD#0000</v>
      </c>
      <c r="F6" s="13">
        <f>_xll.qlRateHelperQuoteValue($E6,Trigger)</f>
        <v>4.9249999999999997E-3</v>
      </c>
      <c r="G6" s="13"/>
      <c r="H6" s="12" t="b">
        <v>1</v>
      </c>
      <c r="I6" s="12">
        <v>10</v>
      </c>
      <c r="J6" s="12">
        <v>1</v>
      </c>
      <c r="K6" s="11">
        <f>_xll.qlRateHelperEarliestDate($E6,Trigger)</f>
        <v>41656</v>
      </c>
      <c r="L6" s="10">
        <f>_xll.qlRateHelperLatestDate($E6,Trigger)</f>
        <v>41687</v>
      </c>
      <c r="M6" s="1">
        <v>50</v>
      </c>
      <c r="N6" s="1" t="s">
        <v>61</v>
      </c>
      <c r="T6" s="96"/>
    </row>
    <row r="7" spans="2:20" x14ac:dyDescent="0.2">
      <c r="B7" s="35"/>
      <c r="C7" s="15"/>
      <c r="D7" s="34" t="s">
        <v>56</v>
      </c>
      <c r="E7" s="14" t="str">
        <f>STD_Deposits!F8</f>
        <v>GBP_YCSTDRH_2MD#0000</v>
      </c>
      <c r="F7" s="13">
        <f>_xll.qlRateHelperQuoteValue($E7,Trigger)</f>
        <v>4.9838E-3</v>
      </c>
      <c r="G7" s="13"/>
      <c r="H7" s="12" t="b">
        <v>1</v>
      </c>
      <c r="I7" s="12">
        <v>10</v>
      </c>
      <c r="J7" s="12">
        <v>1</v>
      </c>
      <c r="K7" s="11">
        <f>_xll.qlRateHelperEarliestDate($E7,Trigger)</f>
        <v>41656</v>
      </c>
      <c r="L7" s="10">
        <f>_xll.qlRateHelperLatestDate($E7,Trigger)</f>
        <v>41715</v>
      </c>
      <c r="M7" s="1">
        <v>60</v>
      </c>
      <c r="N7" s="1" t="s">
        <v>59</v>
      </c>
      <c r="T7" s="96"/>
    </row>
    <row r="8" spans="2:20" x14ac:dyDescent="0.2">
      <c r="B8" s="35"/>
      <c r="C8" s="15"/>
      <c r="D8" s="34" t="s">
        <v>55</v>
      </c>
      <c r="E8" s="14" t="str">
        <f>STD_Deposits!F9</f>
        <v>GBP_YCSTDRH_3MD#0000</v>
      </c>
      <c r="F8" s="13">
        <f>_xll.qlRateHelperQuoteValue($E8,Trigger)</f>
        <v>5.0812999999999995E-3</v>
      </c>
      <c r="G8" s="13"/>
      <c r="H8" s="12" t="b">
        <v>1</v>
      </c>
      <c r="I8" s="12">
        <v>10</v>
      </c>
      <c r="J8" s="12">
        <v>1</v>
      </c>
      <c r="K8" s="11">
        <f>_xll.qlRateHelperEarliestDate($E8,Trigger)</f>
        <v>41656</v>
      </c>
      <c r="L8" s="10">
        <f>_xll.qlRateHelperLatestDate($E8,Trigger)</f>
        <v>41746</v>
      </c>
      <c r="M8" s="1">
        <v>70</v>
      </c>
      <c r="N8" s="1" t="s">
        <v>57</v>
      </c>
      <c r="T8" s="96"/>
    </row>
    <row r="9" spans="2:20" x14ac:dyDescent="0.2">
      <c r="B9" s="35"/>
      <c r="C9" s="15"/>
      <c r="D9" s="34" t="s">
        <v>54</v>
      </c>
      <c r="E9" s="14" t="str">
        <f>STD_Deposits!F10</f>
        <v>GBP_YCSTDRH_4MD#0000</v>
      </c>
      <c r="F9" s="13" t="e">
        <f>_xll.qlRateHelperQuoteValue($E9,Trigger)</f>
        <v>#NUM!</v>
      </c>
      <c r="G9" s="13"/>
      <c r="H9" s="12" t="b">
        <v>0</v>
      </c>
      <c r="I9" s="12">
        <v>10</v>
      </c>
      <c r="J9" s="12">
        <v>1</v>
      </c>
      <c r="K9" s="11">
        <f>_xll.qlRateHelperEarliestDate($E9,Trigger)</f>
        <v>41656</v>
      </c>
      <c r="L9" s="10">
        <f>_xll.qlRateHelperLatestDate($E9,Trigger)</f>
        <v>41778</v>
      </c>
      <c r="T9" s="96"/>
    </row>
    <row r="10" spans="2:20" x14ac:dyDescent="0.2">
      <c r="B10" s="35"/>
      <c r="C10" s="15"/>
      <c r="D10" s="34" t="s">
        <v>53</v>
      </c>
      <c r="E10" s="14" t="str">
        <f>STD_Deposits!F11</f>
        <v>GBP_YCSTDRH_5MD#0000</v>
      </c>
      <c r="F10" s="13" t="e">
        <f>_xll.qlRateHelperQuoteValue($E10,Trigger)</f>
        <v>#NUM!</v>
      </c>
      <c r="G10" s="13"/>
      <c r="H10" s="12" t="b">
        <v>0</v>
      </c>
      <c r="I10" s="12">
        <v>10</v>
      </c>
      <c r="J10" s="12">
        <v>1</v>
      </c>
      <c r="K10" s="11">
        <f>_xll.qlRateHelperEarliestDate($E10,Trigger)</f>
        <v>41656</v>
      </c>
      <c r="L10" s="10">
        <f>_xll.qlRateHelperLatestDate($E10,Trigger)</f>
        <v>41807</v>
      </c>
      <c r="T10" s="96"/>
    </row>
    <row r="11" spans="2:20" x14ac:dyDescent="0.2">
      <c r="B11" s="35"/>
      <c r="C11" s="15"/>
      <c r="D11" s="34" t="s">
        <v>52</v>
      </c>
      <c r="E11" s="14" t="str">
        <f>STD_Deposits!F12</f>
        <v>GBP_YCSTDRH_6MD#0000</v>
      </c>
      <c r="F11" s="13">
        <f>_xll.qlRateHelperQuoteValue($E11,Trigger)</f>
        <v>5.9175E-3</v>
      </c>
      <c r="G11" s="13"/>
      <c r="H11" s="12" t="b">
        <v>1</v>
      </c>
      <c r="I11" s="12">
        <v>10</v>
      </c>
      <c r="J11" s="12">
        <v>1</v>
      </c>
      <c r="K11" s="11">
        <f>_xll.qlRateHelperEarliestDate($E11,Trigger)</f>
        <v>41656</v>
      </c>
      <c r="L11" s="10">
        <f>_xll.qlRateHelperLatestDate($E11,Trigger)</f>
        <v>41837</v>
      </c>
      <c r="Q11" s="31">
        <f>_xll.qlYieldTSDiscount(YieldCurve,K2)</f>
        <v>1</v>
      </c>
      <c r="T11" s="96"/>
    </row>
    <row r="12" spans="2:20" x14ac:dyDescent="0.2">
      <c r="B12" s="35"/>
      <c r="C12" s="15"/>
      <c r="D12" s="34" t="s">
        <v>51</v>
      </c>
      <c r="E12" s="14" t="str">
        <f>STD_Deposits!F13</f>
        <v>GBP_YCSTDRH_7MD#0000</v>
      </c>
      <c r="F12" s="13" t="e">
        <f>_xll.qlRateHelperQuoteValue($E12,Trigger)</f>
        <v>#NUM!</v>
      </c>
      <c r="G12" s="13"/>
      <c r="H12" s="12" t="b">
        <v>0</v>
      </c>
      <c r="I12" s="12">
        <v>10</v>
      </c>
      <c r="J12" s="12">
        <v>1</v>
      </c>
      <c r="K12" s="11">
        <f>_xll.qlRateHelperEarliestDate($E12,Trigger)</f>
        <v>41656</v>
      </c>
      <c r="L12" s="10">
        <f>_xll.qlRateHelperLatestDate($E12,Trigger)</f>
        <v>41869</v>
      </c>
      <c r="Q12" s="31"/>
      <c r="T12" s="96"/>
    </row>
    <row r="13" spans="2:20" x14ac:dyDescent="0.2">
      <c r="B13" s="35"/>
      <c r="C13" s="15"/>
      <c r="D13" s="34" t="s">
        <v>50</v>
      </c>
      <c r="E13" s="14" t="str">
        <f>STD_Deposits!F14</f>
        <v>GBP_YCSTDRH_8MD#0000</v>
      </c>
      <c r="F13" s="13" t="e">
        <f>_xll.qlRateHelperQuoteValue($E13,Trigger)</f>
        <v>#NUM!</v>
      </c>
      <c r="G13" s="13"/>
      <c r="H13" s="12" t="b">
        <v>0</v>
      </c>
      <c r="I13" s="12">
        <v>10</v>
      </c>
      <c r="J13" s="12">
        <v>1</v>
      </c>
      <c r="K13" s="11">
        <f>_xll.qlRateHelperEarliestDate($E13,Trigger)</f>
        <v>41656</v>
      </c>
      <c r="L13" s="10">
        <f>_xll.qlRateHelperLatestDate($E13,Trigger)</f>
        <v>41899</v>
      </c>
      <c r="Q13" s="31"/>
      <c r="T13" s="96"/>
    </row>
    <row r="14" spans="2:20" x14ac:dyDescent="0.2">
      <c r="B14" s="35"/>
      <c r="C14" s="15"/>
      <c r="D14" s="34" t="s">
        <v>49</v>
      </c>
      <c r="E14" s="14" t="str">
        <f>STD_Deposits!F15</f>
        <v>GBP_YCSTDRH_9MD#0000</v>
      </c>
      <c r="F14" s="13" t="e">
        <f>_xll.qlRateHelperQuoteValue($E14,Trigger)</f>
        <v>#NUM!</v>
      </c>
      <c r="G14" s="13"/>
      <c r="H14" s="12" t="b">
        <v>0</v>
      </c>
      <c r="I14" s="12">
        <v>10</v>
      </c>
      <c r="J14" s="12">
        <v>1</v>
      </c>
      <c r="K14" s="11">
        <f>_xll.qlRateHelperEarliestDate($E14,Trigger)</f>
        <v>41656</v>
      </c>
      <c r="L14" s="10">
        <f>_xll.qlRateHelperLatestDate($E14,Trigger)</f>
        <v>41929</v>
      </c>
      <c r="O14" s="29">
        <f>_xll.qlYieldTSForwardRate(YieldCurve,K2,L129,"act/365","simple","annual")</f>
        <v>5.1672498351251483E-2</v>
      </c>
      <c r="Q14" s="31">
        <f>_xll.qlYieldTSDiscount(YieldCurve,L129)</f>
        <v>0.40019440016649793</v>
      </c>
      <c r="T14" s="96"/>
    </row>
    <row r="15" spans="2:20" x14ac:dyDescent="0.2">
      <c r="B15" s="35"/>
      <c r="C15" s="15"/>
      <c r="D15" s="34" t="s">
        <v>48</v>
      </c>
      <c r="E15" s="14" t="str">
        <f>STD_Deposits!F16</f>
        <v>GBP_YCSTDRH_10MD#0000</v>
      </c>
      <c r="F15" s="13" t="e">
        <f>_xll.qlRateHelperQuoteValue($E15,Trigger)</f>
        <v>#NUM!</v>
      </c>
      <c r="G15" s="13"/>
      <c r="H15" s="12" t="b">
        <v>0</v>
      </c>
      <c r="I15" s="12">
        <v>10</v>
      </c>
      <c r="J15" s="12">
        <v>1</v>
      </c>
      <c r="K15" s="11">
        <f>_xll.qlRateHelperEarliestDate($E15,Trigger)</f>
        <v>41656</v>
      </c>
      <c r="L15" s="10">
        <f>_xll.qlRateHelperLatestDate($E15,Trigger)</f>
        <v>41960</v>
      </c>
      <c r="Q15" s="31"/>
      <c r="T15" s="96"/>
    </row>
    <row r="16" spans="2:20" x14ac:dyDescent="0.2">
      <c r="B16" s="35"/>
      <c r="C16" s="15"/>
      <c r="D16" s="34" t="s">
        <v>47</v>
      </c>
      <c r="E16" s="14" t="str">
        <f>STD_Deposits!F17</f>
        <v>GBP_YCSTDRH_11MD#0000</v>
      </c>
      <c r="F16" s="13" t="e">
        <f>_xll.qlRateHelperQuoteValue($E16,Trigger)</f>
        <v>#NUM!</v>
      </c>
      <c r="G16" s="13"/>
      <c r="H16" s="12" t="b">
        <v>0</v>
      </c>
      <c r="I16" s="12">
        <v>10</v>
      </c>
      <c r="J16" s="12">
        <v>1</v>
      </c>
      <c r="K16" s="11">
        <f>_xll.qlRateHelperEarliestDate($E16,Trigger)</f>
        <v>41656</v>
      </c>
      <c r="L16" s="10">
        <f>_xll.qlRateHelperLatestDate($E16,Trigger)</f>
        <v>41990</v>
      </c>
      <c r="Q16" s="31"/>
      <c r="T16" s="96"/>
    </row>
    <row r="17" spans="2:20" x14ac:dyDescent="0.2">
      <c r="B17" s="33"/>
      <c r="C17" s="8"/>
      <c r="D17" s="32" t="s">
        <v>46</v>
      </c>
      <c r="E17" s="7" t="str">
        <f>STD_Deposits!F18</f>
        <v>GBP_YCSTDRH_1YD#0000</v>
      </c>
      <c r="F17" s="6">
        <f>_xll.qlRateHelperQuoteValue($E17,Trigger)</f>
        <v>8.7938000000000009E-3</v>
      </c>
      <c r="G17" s="6"/>
      <c r="H17" s="5" t="b">
        <v>1</v>
      </c>
      <c r="I17" s="5">
        <v>10</v>
      </c>
      <c r="J17" s="5">
        <v>1</v>
      </c>
      <c r="K17" s="4">
        <f>_xll.qlRateHelperEarliestDate($E17,Trigger)</f>
        <v>41656</v>
      </c>
      <c r="L17" s="3">
        <f>_xll.qlRateHelperLatestDate($E17,Trigger)</f>
        <v>42023</v>
      </c>
      <c r="Q17" s="31"/>
      <c r="T17" s="96"/>
    </row>
    <row r="18" spans="2:20" x14ac:dyDescent="0.2">
      <c r="B18" s="24" t="s">
        <v>45</v>
      </c>
      <c r="C18" s="23">
        <f>Months</f>
        <v>3</v>
      </c>
      <c r="D18" s="22" t="s">
        <v>43</v>
      </c>
      <c r="E18" s="22" t="str">
        <f t="shared" ref="E18:E31" si="0">RateHelperPrefix&amp;"_"&amp;$B18&amp;$C18&amp;$D18</f>
        <v>GBP_YCSTDRH_T3F1</v>
      </c>
      <c r="F18" s="21" t="e">
        <f>_xll.qlRateHelperQuoteValue($E18,Trigger)</f>
        <v>#NUM!</v>
      </c>
      <c r="G18" s="21"/>
      <c r="H18" s="20" t="b">
        <v>0</v>
      </c>
      <c r="I18" s="20">
        <v>20</v>
      </c>
      <c r="J18" s="20">
        <v>1</v>
      </c>
      <c r="K18" s="19" t="e">
        <f>_xll.qlRateHelperEarliestDate($E18,Trigger)</f>
        <v>#NUM!</v>
      </c>
      <c r="L18" s="18" t="e">
        <f>_xll.qlRateHelperLatestDate($E18,Trigger)</f>
        <v>#NUM!</v>
      </c>
      <c r="Q18" s="31">
        <f>1/Q14</f>
        <v>2.49878558916356</v>
      </c>
    </row>
    <row r="19" spans="2:20" x14ac:dyDescent="0.2">
      <c r="B19" s="9" t="s">
        <v>44</v>
      </c>
      <c r="C19" s="8">
        <f>Months</f>
        <v>3</v>
      </c>
      <c r="D19" s="7" t="s">
        <v>43</v>
      </c>
      <c r="E19" s="7" t="str">
        <f t="shared" si="0"/>
        <v>GBP_YCSTDRH_TOM3F1</v>
      </c>
      <c r="F19" s="6" t="e">
        <f>_xll.qlRateHelperQuoteValue($E19,Trigger)</f>
        <v>#NUM!</v>
      </c>
      <c r="G19" s="6"/>
      <c r="H19" s="5" t="b">
        <v>0</v>
      </c>
      <c r="I19" s="5">
        <v>20</v>
      </c>
      <c r="J19" s="5">
        <v>1</v>
      </c>
      <c r="K19" s="4" t="e">
        <f>_xll.qlRateHelperEarliestDate($E19,Trigger)</f>
        <v>#NUM!</v>
      </c>
      <c r="L19" s="3" t="e">
        <f>_xll.qlRateHelperLatestDate($E19,Trigger)</f>
        <v>#NUM!</v>
      </c>
      <c r="O19" s="1" t="e">
        <f>_xll.qlYieldTSForwardRate()</f>
        <v>#NUM!</v>
      </c>
      <c r="Q19" s="30">
        <f>(L129-K2)/365</f>
        <v>29.024657534246575</v>
      </c>
    </row>
    <row r="20" spans="2:20" x14ac:dyDescent="0.2">
      <c r="B20" s="16">
        <v>1</v>
      </c>
      <c r="C20" s="15" t="s">
        <v>42</v>
      </c>
      <c r="D20" s="14" t="str">
        <f t="shared" ref="D20:D37" si="1">(B20+Months)&amp;"F"</f>
        <v>4F</v>
      </c>
      <c r="E20" s="14" t="str">
        <f t="shared" si="0"/>
        <v>GBP_YCSTDRH_1x4F</v>
      </c>
      <c r="F20" s="13" t="e">
        <f>_xll.qlRateHelperQuoteValue($E20,Trigger)</f>
        <v>#NUM!</v>
      </c>
      <c r="G20" s="13"/>
      <c r="H20" s="12" t="b">
        <v>0</v>
      </c>
      <c r="I20" s="12">
        <v>20</v>
      </c>
      <c r="J20" s="12">
        <v>1</v>
      </c>
      <c r="K20" s="11" t="e">
        <f>_xll.qlRateHelperEarliestDate($E20,Trigger)</f>
        <v>#NUM!</v>
      </c>
      <c r="L20" s="10" t="e">
        <f>_xll.qlRateHelperLatestDate($E20,Trigger)</f>
        <v>#NUM!</v>
      </c>
      <c r="Q20" s="29">
        <f>(Q18^(1/Q19))-1</f>
        <v>3.2055711506255191E-2</v>
      </c>
      <c r="R20" s="29">
        <f>(Q18-1)/Q19</f>
        <v>5.163835567724178E-2</v>
      </c>
    </row>
    <row r="21" spans="2:20" x14ac:dyDescent="0.2">
      <c r="B21" s="16">
        <v>2</v>
      </c>
      <c r="C21" s="15" t="s">
        <v>42</v>
      </c>
      <c r="D21" s="14" t="str">
        <f t="shared" si="1"/>
        <v>5F</v>
      </c>
      <c r="E21" s="14" t="str">
        <f t="shared" si="0"/>
        <v>GBP_YCSTDRH_2x5F</v>
      </c>
      <c r="F21" s="13" t="e">
        <f>_xll.qlRateHelperQuoteValue($E21,Trigger)</f>
        <v>#NUM!</v>
      </c>
      <c r="G21" s="13"/>
      <c r="H21" s="12" t="b">
        <v>0</v>
      </c>
      <c r="I21" s="12">
        <v>20</v>
      </c>
      <c r="J21" s="12">
        <v>1</v>
      </c>
      <c r="K21" s="11" t="e">
        <f>_xll.qlRateHelperEarliestDate($E21,Trigger)</f>
        <v>#NUM!</v>
      </c>
      <c r="L21" s="10" t="e">
        <f>_xll.qlRateHelperLatestDate($E21,Trigger)</f>
        <v>#NUM!</v>
      </c>
    </row>
    <row r="22" spans="2:20" x14ac:dyDescent="0.2">
      <c r="B22" s="16">
        <v>3</v>
      </c>
      <c r="C22" s="15" t="s">
        <v>42</v>
      </c>
      <c r="D22" s="14" t="str">
        <f t="shared" si="1"/>
        <v>6F</v>
      </c>
      <c r="E22" s="14" t="str">
        <f t="shared" si="0"/>
        <v>GBP_YCSTDRH_3x6F</v>
      </c>
      <c r="F22" s="13" t="e">
        <f>_xll.qlRateHelperQuoteValue($E22,Trigger)</f>
        <v>#NUM!</v>
      </c>
      <c r="G22" s="13"/>
      <c r="H22" s="12" t="b">
        <v>0</v>
      </c>
      <c r="I22" s="12">
        <v>20</v>
      </c>
      <c r="J22" s="12">
        <v>1</v>
      </c>
      <c r="K22" s="11" t="e">
        <f>_xll.qlRateHelperEarliestDate($E22,Trigger)</f>
        <v>#NUM!</v>
      </c>
      <c r="L22" s="10" t="e">
        <f>_xll.qlRateHelperLatestDate($E22,Trigger)</f>
        <v>#NUM!</v>
      </c>
    </row>
    <row r="23" spans="2:20" x14ac:dyDescent="0.2">
      <c r="B23" s="16">
        <v>4</v>
      </c>
      <c r="C23" s="15" t="s">
        <v>42</v>
      </c>
      <c r="D23" s="14" t="str">
        <f t="shared" si="1"/>
        <v>7F</v>
      </c>
      <c r="E23" s="14" t="str">
        <f t="shared" si="0"/>
        <v>GBP_YCSTDRH_4x7F</v>
      </c>
      <c r="F23" s="13" t="e">
        <f>_xll.qlRateHelperQuoteValue($E23,Trigger)</f>
        <v>#NUM!</v>
      </c>
      <c r="G23" s="13"/>
      <c r="H23" s="12" t="b">
        <v>0</v>
      </c>
      <c r="I23" s="12">
        <v>20</v>
      </c>
      <c r="J23" s="12">
        <v>1</v>
      </c>
      <c r="K23" s="11" t="e">
        <f>_xll.qlRateHelperEarliestDate($E23,Trigger)</f>
        <v>#NUM!</v>
      </c>
      <c r="L23" s="10" t="e">
        <f>_xll.qlRateHelperLatestDate($E23,Trigger)</f>
        <v>#NUM!</v>
      </c>
    </row>
    <row r="24" spans="2:20" x14ac:dyDescent="0.2">
      <c r="B24" s="16">
        <v>5</v>
      </c>
      <c r="C24" s="15" t="s">
        <v>42</v>
      </c>
      <c r="D24" s="14" t="str">
        <f t="shared" si="1"/>
        <v>8F</v>
      </c>
      <c r="E24" s="14" t="str">
        <f t="shared" si="0"/>
        <v>GBP_YCSTDRH_5x8F</v>
      </c>
      <c r="F24" s="13" t="e">
        <f>_xll.qlRateHelperQuoteValue($E24,Trigger)</f>
        <v>#NUM!</v>
      </c>
      <c r="G24" s="13"/>
      <c r="H24" s="12" t="b">
        <v>0</v>
      </c>
      <c r="I24" s="12">
        <v>20</v>
      </c>
      <c r="J24" s="12">
        <v>1</v>
      </c>
      <c r="K24" s="11" t="e">
        <f>_xll.qlRateHelperEarliestDate($E24,Trigger)</f>
        <v>#NUM!</v>
      </c>
      <c r="L24" s="10" t="e">
        <f>_xll.qlRateHelperLatestDate($E24,Trigger)</f>
        <v>#NUM!</v>
      </c>
    </row>
    <row r="25" spans="2:20" x14ac:dyDescent="0.2">
      <c r="B25" s="16">
        <v>6</v>
      </c>
      <c r="C25" s="15" t="s">
        <v>42</v>
      </c>
      <c r="D25" s="14" t="str">
        <f t="shared" si="1"/>
        <v>9F</v>
      </c>
      <c r="E25" s="14" t="str">
        <f t="shared" si="0"/>
        <v>GBP_YCSTDRH_6x9F</v>
      </c>
      <c r="F25" s="13" t="e">
        <f>_xll.qlRateHelperQuoteValue($E25,Trigger)</f>
        <v>#NUM!</v>
      </c>
      <c r="G25" s="13"/>
      <c r="H25" s="12" t="b">
        <v>0</v>
      </c>
      <c r="I25" s="12">
        <v>20</v>
      </c>
      <c r="J25" s="12">
        <v>1</v>
      </c>
      <c r="K25" s="11" t="e">
        <f>_xll.qlRateHelperEarliestDate($E25,Trigger)</f>
        <v>#NUM!</v>
      </c>
      <c r="L25" s="10" t="e">
        <f>_xll.qlRateHelperLatestDate($E25,Trigger)</f>
        <v>#NUM!</v>
      </c>
    </row>
    <row r="26" spans="2:20" x14ac:dyDescent="0.2">
      <c r="B26" s="16">
        <v>7</v>
      </c>
      <c r="C26" s="15" t="s">
        <v>42</v>
      </c>
      <c r="D26" s="14" t="str">
        <f t="shared" si="1"/>
        <v>10F</v>
      </c>
      <c r="E26" s="14" t="str">
        <f t="shared" si="0"/>
        <v>GBP_YCSTDRH_7x10F</v>
      </c>
      <c r="F26" s="13" t="e">
        <f>_xll.qlRateHelperQuoteValue($E26,Trigger)</f>
        <v>#NUM!</v>
      </c>
      <c r="G26" s="13"/>
      <c r="H26" s="12" t="b">
        <v>0</v>
      </c>
      <c r="I26" s="12">
        <v>20</v>
      </c>
      <c r="J26" s="12">
        <v>1</v>
      </c>
      <c r="K26" s="11" t="e">
        <f>_xll.qlRateHelperEarliestDate($E26,Trigger)</f>
        <v>#NUM!</v>
      </c>
      <c r="L26" s="10" t="e">
        <f>_xll.qlRateHelperLatestDate($E26,Trigger)</f>
        <v>#NUM!</v>
      </c>
    </row>
    <row r="27" spans="2:20" x14ac:dyDescent="0.2">
      <c r="B27" s="16">
        <v>8</v>
      </c>
      <c r="C27" s="15" t="s">
        <v>42</v>
      </c>
      <c r="D27" s="14" t="str">
        <f t="shared" si="1"/>
        <v>11F</v>
      </c>
      <c r="E27" s="14" t="str">
        <f t="shared" si="0"/>
        <v>GBP_YCSTDRH_8x11F</v>
      </c>
      <c r="F27" s="13" t="e">
        <f>_xll.qlRateHelperQuoteValue($E27,Trigger)</f>
        <v>#NUM!</v>
      </c>
      <c r="G27" s="13"/>
      <c r="H27" s="12" t="b">
        <v>0</v>
      </c>
      <c r="I27" s="12">
        <v>20</v>
      </c>
      <c r="J27" s="12">
        <v>1</v>
      </c>
      <c r="K27" s="11" t="e">
        <f>_xll.qlRateHelperEarliestDate($E27,Trigger)</f>
        <v>#NUM!</v>
      </c>
      <c r="L27" s="10" t="e">
        <f>_xll.qlRateHelperLatestDate($E27,Trigger)</f>
        <v>#NUM!</v>
      </c>
    </row>
    <row r="28" spans="2:20" x14ac:dyDescent="0.2">
      <c r="B28" s="16">
        <v>9</v>
      </c>
      <c r="C28" s="15" t="s">
        <v>42</v>
      </c>
      <c r="D28" s="14" t="str">
        <f t="shared" si="1"/>
        <v>12F</v>
      </c>
      <c r="E28" s="14" t="str">
        <f t="shared" si="0"/>
        <v>GBP_YCSTDRH_9x12F</v>
      </c>
      <c r="F28" s="13" t="e">
        <f>_xll.qlRateHelperQuoteValue($E28,Trigger)</f>
        <v>#NUM!</v>
      </c>
      <c r="G28" s="13"/>
      <c r="H28" s="12" t="b">
        <v>0</v>
      </c>
      <c r="I28" s="12">
        <v>20</v>
      </c>
      <c r="J28" s="12">
        <v>1</v>
      </c>
      <c r="K28" s="11" t="e">
        <f>_xll.qlRateHelperEarliestDate($E28,Trigger)</f>
        <v>#NUM!</v>
      </c>
      <c r="L28" s="10" t="e">
        <f>_xll.qlRateHelperLatestDate($E28,Trigger)</f>
        <v>#NUM!</v>
      </c>
    </row>
    <row r="29" spans="2:20" x14ac:dyDescent="0.2">
      <c r="B29" s="16">
        <v>10</v>
      </c>
      <c r="C29" s="15" t="s">
        <v>42</v>
      </c>
      <c r="D29" s="14" t="str">
        <f t="shared" si="1"/>
        <v>13F</v>
      </c>
      <c r="E29" s="14" t="str">
        <f t="shared" si="0"/>
        <v>GBP_YCSTDRH_10x13F</v>
      </c>
      <c r="F29" s="13" t="e">
        <f>_xll.qlRateHelperQuoteValue($E29,Trigger)</f>
        <v>#NUM!</v>
      </c>
      <c r="G29" s="13"/>
      <c r="H29" s="12" t="b">
        <v>0</v>
      </c>
      <c r="I29" s="12">
        <v>20</v>
      </c>
      <c r="J29" s="12">
        <v>1</v>
      </c>
      <c r="K29" s="11" t="e">
        <f>_xll.qlRateHelperEarliestDate($E29,Trigger)</f>
        <v>#NUM!</v>
      </c>
      <c r="L29" s="10" t="e">
        <f>_xll.qlRateHelperLatestDate($E29,Trigger)</f>
        <v>#NUM!</v>
      </c>
    </row>
    <row r="30" spans="2:20" x14ac:dyDescent="0.2">
      <c r="B30" s="16">
        <v>11</v>
      </c>
      <c r="C30" s="15" t="s">
        <v>42</v>
      </c>
      <c r="D30" s="14" t="str">
        <f t="shared" si="1"/>
        <v>14F</v>
      </c>
      <c r="E30" s="14" t="str">
        <f t="shared" si="0"/>
        <v>GBP_YCSTDRH_11x14F</v>
      </c>
      <c r="F30" s="13" t="e">
        <f>_xll.qlRateHelperQuoteValue($E30,Trigger)</f>
        <v>#NUM!</v>
      </c>
      <c r="G30" s="13"/>
      <c r="H30" s="12" t="b">
        <v>0</v>
      </c>
      <c r="I30" s="12">
        <v>20</v>
      </c>
      <c r="J30" s="12">
        <v>1</v>
      </c>
      <c r="K30" s="11" t="e">
        <f>_xll.qlRateHelperEarliestDate($E30,Trigger)</f>
        <v>#NUM!</v>
      </c>
      <c r="L30" s="10" t="e">
        <f>_xll.qlRateHelperLatestDate($E30,Trigger)</f>
        <v>#NUM!</v>
      </c>
    </row>
    <row r="31" spans="2:20" x14ac:dyDescent="0.2">
      <c r="B31" s="16">
        <v>12</v>
      </c>
      <c r="C31" s="15" t="s">
        <v>42</v>
      </c>
      <c r="D31" s="14" t="str">
        <f t="shared" si="1"/>
        <v>15F</v>
      </c>
      <c r="E31" s="14" t="str">
        <f t="shared" si="0"/>
        <v>GBP_YCSTDRH_12x15F</v>
      </c>
      <c r="F31" s="13" t="e">
        <f>_xll.qlRateHelperQuoteValue($E31,Trigger)</f>
        <v>#NUM!</v>
      </c>
      <c r="G31" s="13"/>
      <c r="H31" s="12" t="b">
        <v>0</v>
      </c>
      <c r="I31" s="12">
        <v>20</v>
      </c>
      <c r="J31" s="12">
        <v>1</v>
      </c>
      <c r="K31" s="11" t="e">
        <f>_xll.qlRateHelperEarliestDate($E31,Trigger)</f>
        <v>#NUM!</v>
      </c>
      <c r="L31" s="10" t="e">
        <f>_xll.qlRateHelperLatestDate($E31,Trigger)</f>
        <v>#NUM!</v>
      </c>
    </row>
    <row r="32" spans="2:20" x14ac:dyDescent="0.2">
      <c r="B32" s="16">
        <v>13</v>
      </c>
      <c r="C32" s="15" t="s">
        <v>42</v>
      </c>
      <c r="D32" s="14" t="str">
        <f t="shared" si="1"/>
        <v>16F</v>
      </c>
      <c r="E32" s="14" t="str">
        <f t="shared" ref="E32:E37" si="2">RateHelperPrefix&amp;"_"&amp;$B32&amp;$C32&amp;$D32</f>
        <v>GBP_YCSTDRH_13x16F</v>
      </c>
      <c r="F32" s="13" t="e">
        <f>_xll.qlRateHelperQuoteValue($E32,Trigger)</f>
        <v>#NUM!</v>
      </c>
      <c r="G32" s="13"/>
      <c r="H32" s="12" t="b">
        <v>0</v>
      </c>
      <c r="I32" s="12">
        <v>20</v>
      </c>
      <c r="J32" s="12">
        <v>1</v>
      </c>
      <c r="K32" s="11" t="e">
        <f>_xll.qlRateHelperEarliestDate($E32,Trigger)</f>
        <v>#NUM!</v>
      </c>
      <c r="L32" s="10" t="e">
        <f>_xll.qlRateHelperLatestDate($E32,Trigger)</f>
        <v>#NUM!</v>
      </c>
    </row>
    <row r="33" spans="1:16" x14ac:dyDescent="0.2">
      <c r="B33" s="16">
        <v>14</v>
      </c>
      <c r="C33" s="15" t="s">
        <v>42</v>
      </c>
      <c r="D33" s="14" t="str">
        <f t="shared" si="1"/>
        <v>17F</v>
      </c>
      <c r="E33" s="14" t="str">
        <f t="shared" si="2"/>
        <v>GBP_YCSTDRH_14x17F</v>
      </c>
      <c r="F33" s="13" t="e">
        <f>_xll.qlRateHelperQuoteValue($E33,Trigger)</f>
        <v>#NUM!</v>
      </c>
      <c r="G33" s="13"/>
      <c r="H33" s="12" t="b">
        <v>0</v>
      </c>
      <c r="I33" s="12">
        <v>20</v>
      </c>
      <c r="J33" s="12">
        <v>1</v>
      </c>
      <c r="K33" s="11" t="e">
        <f>_xll.qlRateHelperEarliestDate($E33,Trigger)</f>
        <v>#NUM!</v>
      </c>
      <c r="L33" s="10" t="e">
        <f>_xll.qlRateHelperLatestDate($E33,Trigger)</f>
        <v>#NUM!</v>
      </c>
    </row>
    <row r="34" spans="1:16" x14ac:dyDescent="0.2">
      <c r="B34" s="16">
        <v>15</v>
      </c>
      <c r="C34" s="15" t="s">
        <v>42</v>
      </c>
      <c r="D34" s="14" t="str">
        <f t="shared" si="1"/>
        <v>18F</v>
      </c>
      <c r="E34" s="14" t="str">
        <f t="shared" si="2"/>
        <v>GBP_YCSTDRH_15x18F</v>
      </c>
      <c r="F34" s="13" t="e">
        <f>_xll.qlRateHelperQuoteValue($E34,Trigger)</f>
        <v>#NUM!</v>
      </c>
      <c r="G34" s="13"/>
      <c r="H34" s="12" t="b">
        <v>0</v>
      </c>
      <c r="I34" s="12">
        <v>20</v>
      </c>
      <c r="J34" s="12">
        <v>1</v>
      </c>
      <c r="K34" s="11" t="e">
        <f>_xll.qlRateHelperEarliestDate($E34,Trigger)</f>
        <v>#NUM!</v>
      </c>
      <c r="L34" s="10" t="e">
        <f>_xll.qlRateHelperLatestDate($E34,Trigger)</f>
        <v>#NUM!</v>
      </c>
    </row>
    <row r="35" spans="1:16" x14ac:dyDescent="0.2">
      <c r="B35" s="16">
        <v>16</v>
      </c>
      <c r="C35" s="15" t="s">
        <v>42</v>
      </c>
      <c r="D35" s="14" t="str">
        <f t="shared" si="1"/>
        <v>19F</v>
      </c>
      <c r="E35" s="14" t="str">
        <f t="shared" si="2"/>
        <v>GBP_YCSTDRH_16x19F</v>
      </c>
      <c r="F35" s="13" t="e">
        <f>_xll.qlRateHelperQuoteValue($E35,Trigger)</f>
        <v>#NUM!</v>
      </c>
      <c r="G35" s="13"/>
      <c r="H35" s="12" t="b">
        <v>0</v>
      </c>
      <c r="I35" s="12">
        <v>20</v>
      </c>
      <c r="J35" s="12">
        <v>1</v>
      </c>
      <c r="K35" s="11" t="e">
        <f>_xll.qlRateHelperEarliestDate($E35,Trigger)</f>
        <v>#NUM!</v>
      </c>
      <c r="L35" s="10" t="e">
        <f>_xll.qlRateHelperLatestDate($E35,Trigger)</f>
        <v>#NUM!</v>
      </c>
    </row>
    <row r="36" spans="1:16" x14ac:dyDescent="0.2">
      <c r="B36" s="16">
        <v>17</v>
      </c>
      <c r="C36" s="15" t="s">
        <v>42</v>
      </c>
      <c r="D36" s="14" t="str">
        <f t="shared" si="1"/>
        <v>20F</v>
      </c>
      <c r="E36" s="14" t="str">
        <f t="shared" si="2"/>
        <v>GBP_YCSTDRH_17x20F</v>
      </c>
      <c r="F36" s="13" t="e">
        <f>_xll.qlRateHelperQuoteValue($E36,Trigger)</f>
        <v>#NUM!</v>
      </c>
      <c r="G36" s="13"/>
      <c r="H36" s="12" t="b">
        <v>0</v>
      </c>
      <c r="I36" s="12">
        <v>20</v>
      </c>
      <c r="J36" s="12">
        <v>1</v>
      </c>
      <c r="K36" s="11" t="e">
        <f>_xll.qlRateHelperEarliestDate($E36,Trigger)</f>
        <v>#NUM!</v>
      </c>
      <c r="L36" s="10" t="e">
        <f>_xll.qlRateHelperLatestDate($E36,Trigger)</f>
        <v>#NUM!</v>
      </c>
    </row>
    <row r="37" spans="1:16" x14ac:dyDescent="0.2">
      <c r="B37" s="9">
        <v>18</v>
      </c>
      <c r="C37" s="8" t="s">
        <v>42</v>
      </c>
      <c r="D37" s="7" t="str">
        <f t="shared" si="1"/>
        <v>21F</v>
      </c>
      <c r="E37" s="7" t="str">
        <f t="shared" si="2"/>
        <v>GBP_YCSTDRH_18x21F</v>
      </c>
      <c r="F37" s="6" t="e">
        <f>_xll.qlRateHelperQuoteValue($E37,Trigger)</f>
        <v>#NUM!</v>
      </c>
      <c r="G37" s="6"/>
      <c r="H37" s="5" t="b">
        <v>0</v>
      </c>
      <c r="I37" s="5">
        <v>20</v>
      </c>
      <c r="J37" s="5">
        <v>1</v>
      </c>
      <c r="K37" s="4" t="e">
        <f>_xll.qlRateHelperEarliestDate($E37,Trigger)</f>
        <v>#NUM!</v>
      </c>
      <c r="L37" s="3" t="e">
        <f>_xll.qlRateHelperLatestDate($E37,Trigger)</f>
        <v>#NUM!</v>
      </c>
    </row>
    <row r="38" spans="1:16" ht="11.25" customHeight="1" x14ac:dyDescent="0.2">
      <c r="A38" s="23" t="b">
        <v>0</v>
      </c>
      <c r="B38" s="16"/>
      <c r="C38" s="15" t="str">
        <f t="shared" ref="C38:C79" si="3">IF(IndexTenor="6M","IMMFRA","FUT")&amp;IndexTenor</f>
        <v>FUT3M</v>
      </c>
      <c r="D38" s="14" t="str">
        <f t="array" ref="D38:D79">_xll.qlIMMNextCodes(_xll.qlSettingsEvaluationDate(Trigger)-1,$A38:$A79)</f>
        <v>G4</v>
      </c>
      <c r="E38" s="14" t="str">
        <f>STD_Futures!I3</f>
        <v>GBP_YCSTDRH_FUT3MG4#0000</v>
      </c>
      <c r="F38" s="28">
        <f>_xll.qlRateHelperQuoteValue($E38,Trigger)</f>
        <v>99.484999999999999</v>
      </c>
      <c r="G38" s="13">
        <f>_xll.qlFuturesRateHelperConvexityAdjustment($E38,Trigger)</f>
        <v>8.5878528058929724E-7</v>
      </c>
      <c r="H38" s="12" t="b">
        <v>1</v>
      </c>
      <c r="I38" s="12">
        <v>60</v>
      </c>
      <c r="J38" s="12">
        <v>1</v>
      </c>
      <c r="K38" s="11">
        <f>_xll.qlRateHelperEarliestDate($E38,Trigger)</f>
        <v>41689</v>
      </c>
      <c r="L38" s="10">
        <f>_xll.qlRateHelperLatestDate($E38,Trigger)</f>
        <v>41778</v>
      </c>
      <c r="N38" s="1">
        <v>1</v>
      </c>
      <c r="O38" s="1">
        <f>_xll.qlRateHelperRate(E38)</f>
        <v>5.1491412147193988E-3</v>
      </c>
    </row>
    <row r="39" spans="1:16" x14ac:dyDescent="0.2">
      <c r="A39" s="15" t="b">
        <v>0</v>
      </c>
      <c r="B39" s="16"/>
      <c r="C39" s="15" t="str">
        <f t="shared" si="3"/>
        <v>FUT3M</v>
      </c>
      <c r="D39" s="14" t="str">
        <v>H4</v>
      </c>
      <c r="E39" s="14" t="str">
        <f>STD_Futures!I4</f>
        <v>GBP_YCSTDRH_FUT3MH4#0000</v>
      </c>
      <c r="F39" s="28" t="e">
        <f>_xll.qlRateHelperQuoteValue($E39,Trigger)</f>
        <v>#NUM!</v>
      </c>
      <c r="G39" s="13" t="e">
        <f>_xll.qlFuturesRateHelperConvexityAdjustment($E39,Trigger)</f>
        <v>#NUM!</v>
      </c>
      <c r="H39" s="12" t="b">
        <v>0</v>
      </c>
      <c r="I39" s="12">
        <v>60</v>
      </c>
      <c r="J39" s="12">
        <v>1</v>
      </c>
      <c r="K39" s="11">
        <f>_xll.qlRateHelperEarliestDate($E39,Trigger)</f>
        <v>41717</v>
      </c>
      <c r="L39" s="10">
        <f>_xll.qlRateHelperLatestDate($E39,Trigger)</f>
        <v>41809</v>
      </c>
      <c r="N39" s="1">
        <v>2</v>
      </c>
      <c r="O39" s="96" t="e">
        <f>_xll.qlRateHelperRate(E39)</f>
        <v>#NUM!</v>
      </c>
    </row>
    <row r="40" spans="1:16" x14ac:dyDescent="0.2">
      <c r="A40" s="15" t="b">
        <v>0</v>
      </c>
      <c r="B40" s="16"/>
      <c r="C40" s="15" t="str">
        <f t="shared" si="3"/>
        <v>FUT3M</v>
      </c>
      <c r="D40" s="14" t="str">
        <v>J4</v>
      </c>
      <c r="E40" s="14" t="str">
        <f>STD_Futures!I5</f>
        <v>GBP_YCSTDRH_FUT3MJ4#0000</v>
      </c>
      <c r="F40" s="28" t="e">
        <f>_xll.qlRateHelperQuoteValue($E40,Trigger)</f>
        <v>#NUM!</v>
      </c>
      <c r="G40" s="13" t="e">
        <f>_xll.qlFuturesRateHelperConvexityAdjustment($E40,Trigger)</f>
        <v>#NUM!</v>
      </c>
      <c r="H40" s="12" t="b">
        <v>0</v>
      </c>
      <c r="I40" s="12">
        <v>60</v>
      </c>
      <c r="J40" s="12">
        <v>1</v>
      </c>
      <c r="K40" s="11">
        <f>_xll.qlRateHelperEarliestDate($E40,Trigger)</f>
        <v>41745</v>
      </c>
      <c r="L40" s="10">
        <f>_xll.qlRateHelperLatestDate($E40,Trigger)</f>
        <v>41836</v>
      </c>
      <c r="N40" s="1">
        <v>3</v>
      </c>
      <c r="O40" s="96" t="e">
        <f>_xll.qlRateHelperRate(E40)</f>
        <v>#NUM!</v>
      </c>
    </row>
    <row r="41" spans="1:16" x14ac:dyDescent="0.2">
      <c r="A41" s="15" t="b">
        <v>0</v>
      </c>
      <c r="B41" s="16"/>
      <c r="C41" s="15" t="str">
        <f t="shared" si="3"/>
        <v>FUT3M</v>
      </c>
      <c r="D41" s="14" t="str">
        <v>K4</v>
      </c>
      <c r="E41" s="14" t="str">
        <f>STD_Futures!I6</f>
        <v>GBP_YCSTDRH_FUT3MK4#0000</v>
      </c>
      <c r="F41" s="28">
        <f>_xll.qlRateHelperQuoteValue($E41,Trigger)</f>
        <v>99.495000000000005</v>
      </c>
      <c r="G41" s="13">
        <f>_xll.qlFuturesRateHelperConvexityAdjustment($E41,Trigger)</f>
        <v>4.6787605181030874E-6</v>
      </c>
      <c r="H41" s="12" t="b">
        <v>1</v>
      </c>
      <c r="I41" s="12">
        <v>60</v>
      </c>
      <c r="J41" s="12">
        <v>1</v>
      </c>
      <c r="K41" s="11">
        <f>_xll.qlRateHelperEarliestDate($E41,Trigger)</f>
        <v>41780</v>
      </c>
      <c r="L41" s="10">
        <f>_xll.qlRateHelperLatestDate($E41,Trigger)</f>
        <v>41872</v>
      </c>
      <c r="N41" s="96">
        <v>4</v>
      </c>
      <c r="O41" s="96">
        <f>_xll.qlRateHelperRate(E41)</f>
        <v>5.0453212394818954E-3</v>
      </c>
      <c r="P41" s="96"/>
    </row>
    <row r="42" spans="1:16" x14ac:dyDescent="0.2">
      <c r="A42" s="15" t="b">
        <v>0</v>
      </c>
      <c r="B42" s="16"/>
      <c r="C42" s="15" t="str">
        <f t="shared" si="3"/>
        <v>FUT3M</v>
      </c>
      <c r="D42" s="14" t="str">
        <v>M4</v>
      </c>
      <c r="E42" s="14" t="str">
        <f>STD_Futures!I7</f>
        <v>GBP_YCSTDRH_FUT3MM4#0000</v>
      </c>
      <c r="F42" s="28" t="e">
        <f>_xll.qlRateHelperQuoteValue($E42,Trigger)</f>
        <v>#NUM!</v>
      </c>
      <c r="G42" s="13" t="e">
        <f>_xll.qlFuturesRateHelperConvexityAdjustment($E42,Trigger)</f>
        <v>#NUM!</v>
      </c>
      <c r="H42" s="12" t="b">
        <v>0</v>
      </c>
      <c r="I42" s="12">
        <v>60</v>
      </c>
      <c r="J42" s="12">
        <v>1</v>
      </c>
      <c r="K42" s="11">
        <f>_xll.qlRateHelperEarliestDate($E42,Trigger)</f>
        <v>41808</v>
      </c>
      <c r="L42" s="10">
        <f>_xll.qlRateHelperLatestDate($E42,Trigger)</f>
        <v>41900</v>
      </c>
      <c r="N42" s="96">
        <v>5</v>
      </c>
      <c r="O42" s="96" t="e">
        <f>_xll.qlRateHelperRate(E42)</f>
        <v>#NUM!</v>
      </c>
      <c r="P42" s="96"/>
    </row>
    <row r="43" spans="1:16" x14ac:dyDescent="0.2">
      <c r="A43" s="15" t="b">
        <v>0</v>
      </c>
      <c r="B43" s="16"/>
      <c r="C43" s="15" t="str">
        <f t="shared" si="3"/>
        <v>FUT3M</v>
      </c>
      <c r="D43" s="14" t="str">
        <v>N4</v>
      </c>
      <c r="E43" s="14" t="str">
        <f>STD_Futures!I8</f>
        <v>GBP_YCSTDRH_FUT3MN4#0000</v>
      </c>
      <c r="F43" s="28" t="e">
        <f>_xll.qlRateHelperQuoteValue($E43,Trigger)</f>
        <v>#NUM!</v>
      </c>
      <c r="G43" s="13" t="e">
        <f>_xll.qlFuturesRateHelperConvexityAdjustment($E43,Trigger)</f>
        <v>#NUM!</v>
      </c>
      <c r="H43" s="12" t="b">
        <v>0</v>
      </c>
      <c r="I43" s="12">
        <v>60</v>
      </c>
      <c r="J43" s="12">
        <v>1</v>
      </c>
      <c r="K43" s="11">
        <f>_xll.qlRateHelperEarliestDate($E43,Trigger)</f>
        <v>41836</v>
      </c>
      <c r="L43" s="10">
        <f>_xll.qlRateHelperLatestDate($E43,Trigger)</f>
        <v>41928</v>
      </c>
      <c r="N43" s="96">
        <v>6</v>
      </c>
      <c r="O43" s="96" t="e">
        <f>_xll.qlRateHelperRate(E43)</f>
        <v>#NUM!</v>
      </c>
      <c r="P43" s="96"/>
    </row>
    <row r="44" spans="1:16" x14ac:dyDescent="0.2">
      <c r="A44" s="15" t="b">
        <v>0</v>
      </c>
      <c r="B44" s="16"/>
      <c r="C44" s="15" t="str">
        <f t="shared" si="3"/>
        <v>FUT3M</v>
      </c>
      <c r="D44" s="14" t="str">
        <v>Q4</v>
      </c>
      <c r="E44" s="14" t="str">
        <f>STD_Futures!I9</f>
        <v>GBP_YCSTDRH_FUT3MQ4#0000</v>
      </c>
      <c r="F44" s="28">
        <f>_xll.qlRateHelperQuoteValue($E44,Trigger)</f>
        <v>99.495000000000005</v>
      </c>
      <c r="G44" s="13">
        <f>_xll.qlFuturesRateHelperConvexityAdjustment($E44,Trigger)</f>
        <v>1.0436509577233406E-5</v>
      </c>
      <c r="H44" s="97" t="b">
        <v>1</v>
      </c>
      <c r="I44" s="12">
        <v>60</v>
      </c>
      <c r="J44" s="12">
        <v>1</v>
      </c>
      <c r="K44" s="11">
        <f>_xll.qlRateHelperEarliestDate($E44,Trigger)</f>
        <v>41871</v>
      </c>
      <c r="L44" s="10">
        <f>_xll.qlRateHelperLatestDate($E44,Trigger)</f>
        <v>41963</v>
      </c>
      <c r="N44" s="96">
        <v>7</v>
      </c>
      <c r="O44" s="96">
        <f>_xll.qlRateHelperRate(E44)</f>
        <v>5.0395634904227653E-3</v>
      </c>
      <c r="P44" s="96"/>
    </row>
    <row r="45" spans="1:16" x14ac:dyDescent="0.2">
      <c r="A45" s="15" t="b">
        <v>0</v>
      </c>
      <c r="B45" s="16"/>
      <c r="C45" s="15" t="str">
        <f t="shared" si="3"/>
        <v>FUT3M</v>
      </c>
      <c r="D45" s="14" t="str">
        <v>U4</v>
      </c>
      <c r="E45" s="14" t="str">
        <f>STD_Futures!I10</f>
        <v>GBP_YCSTDRH_FUT3MU4#0000</v>
      </c>
      <c r="F45" s="28" t="e">
        <f>_xll.qlRateHelperQuoteValue($E45,Trigger)</f>
        <v>#NUM!</v>
      </c>
      <c r="G45" s="13" t="e">
        <f>_xll.qlFuturesRateHelperConvexityAdjustment($E45,Trigger)</f>
        <v>#NUM!</v>
      </c>
      <c r="H45" s="210" t="b">
        <v>0</v>
      </c>
      <c r="I45" s="12">
        <v>60</v>
      </c>
      <c r="J45" s="12">
        <v>1</v>
      </c>
      <c r="K45" s="11">
        <f>_xll.qlRateHelperEarliestDate($E45,Trigger)</f>
        <v>41899</v>
      </c>
      <c r="L45" s="10">
        <f>_xll.qlRateHelperLatestDate($E45,Trigger)</f>
        <v>41990</v>
      </c>
      <c r="N45" s="96">
        <v>8</v>
      </c>
      <c r="O45" s="96" t="e">
        <f>_xll.qlRateHelperRate(E45)</f>
        <v>#NUM!</v>
      </c>
      <c r="P45" s="96"/>
    </row>
    <row r="46" spans="1:16" x14ac:dyDescent="0.2">
      <c r="A46" s="15" t="b">
        <v>0</v>
      </c>
      <c r="B46" s="16"/>
      <c r="C46" s="15" t="str">
        <f t="shared" si="3"/>
        <v>FUT3M</v>
      </c>
      <c r="D46" s="14" t="str">
        <v>V4</v>
      </c>
      <c r="E46" s="14" t="str">
        <f>STD_Futures!I11</f>
        <v>GBP_YCSTDRH_FUT3MV4#0000</v>
      </c>
      <c r="F46" s="28" t="e">
        <f>_xll.qlRateHelperQuoteValue($E46,Trigger)</f>
        <v>#NUM!</v>
      </c>
      <c r="G46" s="13" t="e">
        <f>_xll.qlFuturesRateHelperConvexityAdjustment($E46,Trigger)</f>
        <v>#NUM!</v>
      </c>
      <c r="H46" s="210" t="b">
        <v>0</v>
      </c>
      <c r="I46" s="12">
        <v>60</v>
      </c>
      <c r="J46" s="12">
        <v>1</v>
      </c>
      <c r="K46" s="11">
        <f>_xll.qlRateHelperEarliestDate($E46,Trigger)</f>
        <v>41927</v>
      </c>
      <c r="L46" s="10">
        <f>_xll.qlRateHelperLatestDate($E46,Trigger)</f>
        <v>42019</v>
      </c>
      <c r="N46" s="96">
        <v>9</v>
      </c>
      <c r="O46" s="96" t="e">
        <f>_xll.qlRateHelperRate(E46)</f>
        <v>#NUM!</v>
      </c>
      <c r="P46" s="96"/>
    </row>
    <row r="47" spans="1:16" x14ac:dyDescent="0.2">
      <c r="A47" s="15" t="b">
        <v>0</v>
      </c>
      <c r="B47" s="16"/>
      <c r="C47" s="15" t="str">
        <f t="shared" si="3"/>
        <v>FUT3M</v>
      </c>
      <c r="D47" s="14" t="str">
        <v>X4</v>
      </c>
      <c r="E47" s="14" t="str">
        <f>STD_Futures!I12</f>
        <v>GBP_YCSTDRH_FUT3MX4#0000</v>
      </c>
      <c r="F47" s="28">
        <f>_xll.qlRateHelperQuoteValue($E47,Trigger)</f>
        <v>99.484999999999999</v>
      </c>
      <c r="G47" s="13">
        <f>_xll.qlFuturesRateHelperConvexityAdjustment($E47,Trigger)</f>
        <v>1.8112529834231554E-5</v>
      </c>
      <c r="H47" s="97" t="b">
        <v>1</v>
      </c>
      <c r="I47" s="12">
        <v>60</v>
      </c>
      <c r="J47" s="12">
        <v>1</v>
      </c>
      <c r="K47" s="11">
        <f>_xll.qlRateHelperEarliestDate($E47,Trigger)</f>
        <v>41962</v>
      </c>
      <c r="L47" s="10">
        <f>_xll.qlRateHelperLatestDate($E47,Trigger)</f>
        <v>42054</v>
      </c>
      <c r="N47" s="96">
        <v>10</v>
      </c>
      <c r="O47" s="96">
        <f>_xll.qlRateHelperRate(E47)</f>
        <v>5.1318874701657561E-3</v>
      </c>
      <c r="P47" s="96"/>
    </row>
    <row r="48" spans="1:16" x14ac:dyDescent="0.2">
      <c r="A48" s="15" t="b">
        <v>0</v>
      </c>
      <c r="B48" s="16"/>
      <c r="C48" s="15" t="str">
        <f t="shared" si="3"/>
        <v>FUT3M</v>
      </c>
      <c r="D48" s="14" t="str">
        <v>Z4</v>
      </c>
      <c r="E48" s="14" t="str">
        <f>STD_Futures!I13</f>
        <v>GBP_YCSTDRH_FUT3MZ4#0000</v>
      </c>
      <c r="F48" s="28" t="e">
        <f>_xll.qlRateHelperQuoteValue($E48,Trigger)</f>
        <v>#NUM!</v>
      </c>
      <c r="G48" s="13" t="e">
        <f>_xll.qlFuturesRateHelperConvexityAdjustment($E48,Trigger)</f>
        <v>#NUM!</v>
      </c>
      <c r="H48" s="210" t="b">
        <v>0</v>
      </c>
      <c r="I48" s="12">
        <v>60</v>
      </c>
      <c r="J48" s="12">
        <v>1</v>
      </c>
      <c r="K48" s="11">
        <f>_xll.qlRateHelperEarliestDate($E48,Trigger)</f>
        <v>41990</v>
      </c>
      <c r="L48" s="10">
        <f>_xll.qlRateHelperLatestDate($E48,Trigger)</f>
        <v>42080</v>
      </c>
      <c r="N48" s="96">
        <v>11</v>
      </c>
      <c r="O48" s="96" t="e">
        <f>_xll.qlRateHelperRate(E48)</f>
        <v>#NUM!</v>
      </c>
      <c r="P48" s="96"/>
    </row>
    <row r="49" spans="1:16" x14ac:dyDescent="0.2">
      <c r="A49" s="15" t="b">
        <v>0</v>
      </c>
      <c r="B49" s="16"/>
      <c r="C49" s="15" t="str">
        <f t="shared" si="3"/>
        <v>FUT3M</v>
      </c>
      <c r="D49" s="14" t="str">
        <v>F5</v>
      </c>
      <c r="E49" s="14" t="str">
        <f>STD_Futures!I14</f>
        <v>GBP_YCSTDRH_FUT3MF5#0000</v>
      </c>
      <c r="F49" s="28" t="e">
        <f>_xll.qlRateHelperQuoteValue($E49,Trigger)</f>
        <v>#NUM!</v>
      </c>
      <c r="G49" s="13" t="e">
        <f>_xll.qlFuturesRateHelperConvexityAdjustment($E49,Trigger)</f>
        <v>#NUM!</v>
      </c>
      <c r="H49" s="210" t="b">
        <v>0</v>
      </c>
      <c r="I49" s="12">
        <v>60</v>
      </c>
      <c r="J49" s="12">
        <v>1</v>
      </c>
      <c r="K49" s="11">
        <f>_xll.qlRateHelperEarliestDate($E49,Trigger)</f>
        <v>42025</v>
      </c>
      <c r="L49" s="10">
        <f>_xll.qlRateHelperLatestDate($E49,Trigger)</f>
        <v>42115</v>
      </c>
      <c r="N49" s="96">
        <v>12</v>
      </c>
      <c r="O49" s="96" t="e">
        <f>_xll.qlRateHelperRate(E49)</f>
        <v>#NUM!</v>
      </c>
      <c r="P49" s="96"/>
    </row>
    <row r="50" spans="1:16" x14ac:dyDescent="0.2">
      <c r="A50" s="15" t="b">
        <v>0</v>
      </c>
      <c r="B50" s="16"/>
      <c r="C50" s="15" t="str">
        <f t="shared" si="3"/>
        <v>FUT3M</v>
      </c>
      <c r="D50" s="14" t="str">
        <v>G5</v>
      </c>
      <c r="E50" s="14" t="str">
        <f>STD_Futures!I15</f>
        <v>GBP_YCSTDRH_FUT3MH5#0000</v>
      </c>
      <c r="F50" s="28">
        <f>_xll.qlRateHelperQuoteValue($E50,Trigger)</f>
        <v>99.474999999999994</v>
      </c>
      <c r="G50" s="13">
        <f>_xll.qlFuturesRateHelperConvexityAdjustment($E50,Trigger)</f>
        <v>3.0972526508578707E-5</v>
      </c>
      <c r="H50" s="12" t="b">
        <v>1</v>
      </c>
      <c r="I50" s="12">
        <v>60</v>
      </c>
      <c r="J50" s="12">
        <v>1</v>
      </c>
      <c r="K50" s="11">
        <f>_xll.qlRateHelperEarliestDate($E50,Trigger)</f>
        <v>42081</v>
      </c>
      <c r="L50" s="10">
        <f>_xll.qlRateHelperLatestDate($E50,Trigger)</f>
        <v>42173</v>
      </c>
      <c r="N50" s="96">
        <v>13</v>
      </c>
      <c r="O50" s="96">
        <f>_xll.qlRateHelperRate(E50)</f>
        <v>5.2190274734915092E-3</v>
      </c>
      <c r="P50" s="96"/>
    </row>
    <row r="51" spans="1:16" x14ac:dyDescent="0.2">
      <c r="A51" s="15" t="b">
        <v>0</v>
      </c>
      <c r="B51" s="16"/>
      <c r="C51" s="15" t="str">
        <f t="shared" si="3"/>
        <v>FUT3M</v>
      </c>
      <c r="D51" s="14" t="str">
        <v>H5</v>
      </c>
      <c r="E51" s="14" t="str">
        <f>STD_Futures!I16</f>
        <v>GBP_YCSTDRH_FUT3MM5#0000</v>
      </c>
      <c r="F51" s="28">
        <f>_xll.qlRateHelperQuoteValue($E51,Trigger)</f>
        <v>99.454999999999998</v>
      </c>
      <c r="G51" s="13">
        <f>_xll.qlFuturesRateHelperConvexityAdjustment($E51,Trigger)</f>
        <v>4.2912139646520461E-5</v>
      </c>
      <c r="H51" s="12" t="b">
        <v>1</v>
      </c>
      <c r="I51" s="12">
        <v>60</v>
      </c>
      <c r="J51" s="12">
        <v>1</v>
      </c>
      <c r="K51" s="11">
        <f>_xll.qlRateHelperEarliestDate($E51,Trigger)</f>
        <v>42172</v>
      </c>
      <c r="L51" s="10">
        <f>_xll.qlRateHelperLatestDate($E51,Trigger)</f>
        <v>42264</v>
      </c>
      <c r="N51" s="96">
        <v>14</v>
      </c>
      <c r="O51" s="96">
        <f>_xll.qlRateHelperRate(E51)</f>
        <v>5.407087860353545E-3</v>
      </c>
      <c r="P51" s="96"/>
    </row>
    <row r="52" spans="1:16" x14ac:dyDescent="0.2">
      <c r="A52" s="15" t="b">
        <v>0</v>
      </c>
      <c r="B52" s="16"/>
      <c r="C52" s="15" t="str">
        <f t="shared" si="3"/>
        <v>FUT3M</v>
      </c>
      <c r="D52" s="14" t="str">
        <v>J5</v>
      </c>
      <c r="E52" s="14" t="str">
        <f>STD_Futures!I17</f>
        <v>GBP_YCSTDRH_FUT3MU5#0000</v>
      </c>
      <c r="F52" s="28">
        <f>_xll.qlRateHelperQuoteValue($E52,Trigger)</f>
        <v>99.415000000000006</v>
      </c>
      <c r="G52" s="13">
        <f>_xll.qlFuturesRateHelperConvexityAdjustment($E52,Trigger)</f>
        <v>5.6492296778776739E-5</v>
      </c>
      <c r="H52" s="12" t="b">
        <v>1</v>
      </c>
      <c r="I52" s="12">
        <v>60</v>
      </c>
      <c r="J52" s="12">
        <v>1</v>
      </c>
      <c r="K52" s="11">
        <f>_xll.qlRateHelperEarliestDate($E52,Trigger)</f>
        <v>42263</v>
      </c>
      <c r="L52" s="10">
        <f>_xll.qlRateHelperLatestDate($E52,Trigger)</f>
        <v>42354</v>
      </c>
      <c r="N52" s="96">
        <v>15</v>
      </c>
      <c r="O52" s="96">
        <f>_xll.qlRateHelperRate(E52)</f>
        <v>5.7935077032211339E-3</v>
      </c>
      <c r="P52" s="96"/>
    </row>
    <row r="53" spans="1:16" x14ac:dyDescent="0.2">
      <c r="A53" s="15" t="b">
        <v>0</v>
      </c>
      <c r="B53" s="16"/>
      <c r="C53" s="15" t="str">
        <f t="shared" si="3"/>
        <v>FUT3M</v>
      </c>
      <c r="D53" s="14" t="str">
        <v>K5</v>
      </c>
      <c r="E53" s="14" t="str">
        <f>STD_Futures!I18</f>
        <v>GBP_YCSTDRH_FUT3MZ5#0000</v>
      </c>
      <c r="F53" s="28">
        <f>_xll.qlRateHelperQuoteValue($E53,Trigger)</f>
        <v>99.375</v>
      </c>
      <c r="G53" s="13">
        <f>_xll.qlFuturesRateHelperConvexityAdjustment($E53,Trigger)</f>
        <v>7.1932857099468806E-5</v>
      </c>
      <c r="H53" s="12" t="b">
        <v>1</v>
      </c>
      <c r="I53" s="12">
        <v>60</v>
      </c>
      <c r="J53" s="12">
        <v>1</v>
      </c>
      <c r="K53" s="11">
        <f>_xll.qlRateHelperEarliestDate($E53,Trigger)</f>
        <v>42354</v>
      </c>
      <c r="L53" s="10">
        <f>_xll.qlRateHelperLatestDate($E53,Trigger)</f>
        <v>42445</v>
      </c>
      <c r="N53" s="96">
        <v>16</v>
      </c>
      <c r="O53" s="96">
        <f>_xll.qlRateHelperRate(E53)</f>
        <v>6.1780671429005089E-3</v>
      </c>
      <c r="P53" s="96"/>
    </row>
    <row r="54" spans="1:16" x14ac:dyDescent="0.2">
      <c r="A54" s="15" t="b">
        <v>0</v>
      </c>
      <c r="B54" s="16"/>
      <c r="C54" s="15" t="str">
        <f t="shared" si="3"/>
        <v>FUT3M</v>
      </c>
      <c r="D54" s="14" t="str">
        <v>M5</v>
      </c>
      <c r="E54" s="14" t="str">
        <f>STD_Futures!I19</f>
        <v>GBP_YCSTDRH_FUT3MH6#0000</v>
      </c>
      <c r="F54" s="28">
        <f>_xll.qlRateHelperQuoteValue($E54,Trigger)</f>
        <v>99.325000000000003</v>
      </c>
      <c r="G54" s="13">
        <f>_xll.qlFuturesRateHelperConvexityAdjustment($E54,Trigger)</f>
        <v>8.925583082517931E-5</v>
      </c>
      <c r="H54" s="12" t="b">
        <v>1</v>
      </c>
      <c r="I54" s="12">
        <v>60</v>
      </c>
      <c r="J54" s="12">
        <v>1</v>
      </c>
      <c r="K54" s="11">
        <f>_xll.qlRateHelperEarliestDate($E54,Trigger)</f>
        <v>42445</v>
      </c>
      <c r="L54" s="10">
        <f>_xll.qlRateHelperLatestDate($E54,Trigger)</f>
        <v>42537</v>
      </c>
      <c r="N54" s="96">
        <v>17</v>
      </c>
      <c r="O54" s="96">
        <f>_xll.qlRateHelperRate(E54)</f>
        <v>6.6607441691747434E-3</v>
      </c>
      <c r="P54" s="96"/>
    </row>
    <row r="55" spans="1:16" x14ac:dyDescent="0.2">
      <c r="A55" s="15" t="b">
        <v>0</v>
      </c>
      <c r="B55" s="16"/>
      <c r="C55" s="15" t="str">
        <f t="shared" si="3"/>
        <v>FUT3M</v>
      </c>
      <c r="D55" s="14" t="str">
        <v>N5</v>
      </c>
      <c r="E55" s="14" t="str">
        <f>STD_Futures!I20</f>
        <v>GBP_YCSTDRH_FUT3MM6#0000</v>
      </c>
      <c r="F55" s="28">
        <f>_xll.qlRateHelperQuoteValue($E55,Trigger)</f>
        <v>99.275000000000006</v>
      </c>
      <c r="G55" s="13">
        <f>_xll.qlFuturesRateHelperConvexityAdjustment($E55,Trigger)</f>
        <v>1.0807965759465941E-4</v>
      </c>
      <c r="H55" s="12" t="b">
        <v>1</v>
      </c>
      <c r="I55" s="12">
        <v>30</v>
      </c>
      <c r="J55" s="12">
        <v>1</v>
      </c>
      <c r="K55" s="11">
        <f>_xll.qlRateHelperEarliestDate($E55,Trigger)</f>
        <v>42536</v>
      </c>
      <c r="L55" s="10">
        <f>_xll.qlRateHelperLatestDate($E55,Trigger)</f>
        <v>42628</v>
      </c>
      <c r="N55" s="96">
        <v>18</v>
      </c>
      <c r="O55" s="96">
        <f>_xll.qlRateHelperRate(E55)</f>
        <v>7.1419203424053189E-3</v>
      </c>
      <c r="P55" s="96"/>
    </row>
    <row r="56" spans="1:16" x14ac:dyDescent="0.2">
      <c r="A56" s="15" t="b">
        <v>0</v>
      </c>
      <c r="B56" s="16"/>
      <c r="C56" s="15" t="str">
        <f t="shared" si="3"/>
        <v>FUT3M</v>
      </c>
      <c r="D56" s="14" t="str">
        <v>Q5</v>
      </c>
      <c r="E56" s="14" t="str">
        <f>STD_Futures!I21</f>
        <v>GBP_YCSTDRH_FUT3MU6#0000</v>
      </c>
      <c r="F56" s="28">
        <f>_xll.qlRateHelperQuoteValue($E56,Trigger)</f>
        <v>99.204999999999998</v>
      </c>
      <c r="G56" s="13">
        <f>_xll.qlFuturesRateHelperConvexityAdjustment($E56,Trigger)</f>
        <v>1.2995099670922464E-4</v>
      </c>
      <c r="H56" s="12" t="b">
        <v>1</v>
      </c>
      <c r="I56" s="12">
        <v>30</v>
      </c>
      <c r="J56" s="12">
        <v>1</v>
      </c>
      <c r="K56" s="11">
        <f>_xll.qlRateHelperEarliestDate($E56,Trigger)</f>
        <v>42634</v>
      </c>
      <c r="L56" s="10">
        <f>_xll.qlRateHelperLatestDate($E56,Trigger)</f>
        <v>42725</v>
      </c>
      <c r="N56" s="96">
        <v>19</v>
      </c>
      <c r="O56" s="96">
        <f>_xll.qlRateHelperRate(E56)</f>
        <v>7.8200490032907886E-3</v>
      </c>
      <c r="P56" s="96"/>
    </row>
    <row r="57" spans="1:16" x14ac:dyDescent="0.2">
      <c r="A57" s="15" t="b">
        <v>0</v>
      </c>
      <c r="B57" s="16"/>
      <c r="C57" s="15" t="str">
        <f t="shared" si="3"/>
        <v>FUT3M</v>
      </c>
      <c r="D57" s="14" t="str">
        <v>U5</v>
      </c>
      <c r="E57" s="14" t="str">
        <f>STD_Futures!I22</f>
        <v>GBP_YCSTDRH_FUT3MZ6#0000</v>
      </c>
      <c r="F57" s="28">
        <f>_xll.qlRateHelperQuoteValue($E57,Trigger)</f>
        <v>99.135000000000005</v>
      </c>
      <c r="G57" s="13">
        <f>_xll.qlFuturesRateHelperConvexityAdjustment($E57,Trigger)</f>
        <v>1.5185500402380714E-4</v>
      </c>
      <c r="H57" s="12" t="b">
        <v>1</v>
      </c>
      <c r="I57" s="12">
        <v>30</v>
      </c>
      <c r="J57" s="12">
        <v>1</v>
      </c>
      <c r="K57" s="11">
        <f>_xll.qlRateHelperEarliestDate($E57,Trigger)</f>
        <v>42725</v>
      </c>
      <c r="L57" s="10">
        <f>_xll.qlRateHelperLatestDate($E57,Trigger)</f>
        <v>42815</v>
      </c>
      <c r="N57" s="96">
        <v>20</v>
      </c>
      <c r="O57" s="96">
        <f>_xll.qlRateHelperRate(E57)</f>
        <v>8.4981449959761288E-3</v>
      </c>
      <c r="P57" s="96"/>
    </row>
    <row r="58" spans="1:16" x14ac:dyDescent="0.2">
      <c r="A58" s="15" t="b">
        <v>0</v>
      </c>
      <c r="B58" s="16"/>
      <c r="C58" s="15" t="str">
        <f t="shared" si="3"/>
        <v>FUT3M</v>
      </c>
      <c r="D58" s="14" t="str">
        <v>V5</v>
      </c>
      <c r="E58" s="14" t="str">
        <f>STD_Futures!I23</f>
        <v>GBP_YCSTDRH_FUT3MH7#0000</v>
      </c>
      <c r="F58" s="28">
        <f>_xll.qlRateHelperQuoteValue($E58,Trigger)</f>
        <v>99.04</v>
      </c>
      <c r="G58" s="13">
        <f>_xll.qlFuturesRateHelperConvexityAdjustment($E58,Trigger)</f>
        <v>1.7417832146506281E-4</v>
      </c>
      <c r="H58" s="12" t="b">
        <v>1</v>
      </c>
      <c r="I58" s="12">
        <v>30</v>
      </c>
      <c r="J58" s="12">
        <v>1</v>
      </c>
      <c r="K58" s="11">
        <f>_xll.qlRateHelperEarliestDate($E58,Trigger)</f>
        <v>42809</v>
      </c>
      <c r="L58" s="10">
        <f>_xll.qlRateHelperLatestDate($E58,Trigger)</f>
        <v>42901</v>
      </c>
      <c r="N58" s="96">
        <v>21</v>
      </c>
      <c r="O58" s="96">
        <f>_xll.qlRateHelperRate(E58)</f>
        <v>9.4258216785348785E-3</v>
      </c>
      <c r="P58" s="96"/>
    </row>
    <row r="59" spans="1:16" x14ac:dyDescent="0.2">
      <c r="A59" s="15" t="b">
        <v>0</v>
      </c>
      <c r="B59" s="16"/>
      <c r="C59" s="15" t="str">
        <f t="shared" si="3"/>
        <v>FUT3M</v>
      </c>
      <c r="D59" s="14" t="str">
        <v>X5</v>
      </c>
      <c r="E59" s="14" t="str">
        <f>STD_Futures!I24</f>
        <v>GBP_YCSTDRH_FUT3MM7#0000</v>
      </c>
      <c r="F59" s="28">
        <f>_xll.qlRateHelperQuoteValue($E59,Trigger)</f>
        <v>98.95</v>
      </c>
      <c r="G59" s="13">
        <f>_xll.qlFuturesRateHelperConvexityAdjustment($E59,Trigger)</f>
        <v>2.0128830426864962E-4</v>
      </c>
      <c r="H59" s="12" t="b">
        <v>1</v>
      </c>
      <c r="I59" s="12">
        <v>30</v>
      </c>
      <c r="J59" s="12">
        <v>1</v>
      </c>
      <c r="K59" s="11">
        <f>_xll.qlRateHelperEarliestDate($E59,Trigger)</f>
        <v>42907</v>
      </c>
      <c r="L59" s="10">
        <f>_xll.qlRateHelperLatestDate($E59,Trigger)</f>
        <v>42999</v>
      </c>
      <c r="N59" s="96">
        <v>22</v>
      </c>
      <c r="O59" s="96">
        <f>_xll.qlRateHelperRate(E59)</f>
        <v>1.0298711695731304E-2</v>
      </c>
      <c r="P59" s="96"/>
    </row>
    <row r="60" spans="1:16" x14ac:dyDescent="0.2">
      <c r="A60" s="15" t="b">
        <v>0</v>
      </c>
      <c r="B60" s="16"/>
      <c r="C60" s="15" t="str">
        <f t="shared" si="3"/>
        <v>FUT3M</v>
      </c>
      <c r="D60" s="14" t="str">
        <v>Z5</v>
      </c>
      <c r="E60" s="14" t="str">
        <f>STD_Futures!I25</f>
        <v>GBP_YCSTDRH_FUT3MU7#0000</v>
      </c>
      <c r="F60" s="28">
        <f>_xll.qlRateHelperQuoteValue($E60,Trigger)</f>
        <v>98.84</v>
      </c>
      <c r="G60" s="13">
        <f>_xll.qlFuturesRateHelperConvexityAdjustment($E60,Trigger)</f>
        <v>2.2771890945455847E-4</v>
      </c>
      <c r="H60" s="12" t="b">
        <v>1</v>
      </c>
      <c r="I60" s="12">
        <v>30</v>
      </c>
      <c r="J60" s="12">
        <v>1</v>
      </c>
      <c r="K60" s="11">
        <f>_xll.qlRateHelperEarliestDate($E60,Trigger)</f>
        <v>42998</v>
      </c>
      <c r="L60" s="10">
        <f>_xll.qlRateHelperLatestDate($E60,Trigger)</f>
        <v>43089</v>
      </c>
      <c r="N60" s="96">
        <v>23</v>
      </c>
      <c r="O60" s="96">
        <f>_xll.qlRateHelperRate(E60)</f>
        <v>1.1372281090545385E-2</v>
      </c>
      <c r="P60" s="96"/>
    </row>
    <row r="61" spans="1:16" x14ac:dyDescent="0.2">
      <c r="A61" s="15" t="b">
        <v>0</v>
      </c>
      <c r="B61" s="16"/>
      <c r="C61" s="15" t="str">
        <f t="shared" si="3"/>
        <v>FUT3M</v>
      </c>
      <c r="D61" s="14" t="str">
        <v>F6</v>
      </c>
      <c r="E61" s="14" t="str">
        <f>STD_Futures!I26</f>
        <v>GBP_YCSTDRH_FUT3MZ7#0000</v>
      </c>
      <c r="F61" s="28">
        <f>_xll.qlRateHelperQuoteValue($E61,Trigger)</f>
        <v>98.724999999999994</v>
      </c>
      <c r="G61" s="13">
        <f>_xll.qlFuturesRateHelperConvexityAdjustment($E61,Trigger)</f>
        <v>2.5556372422727726E-4</v>
      </c>
      <c r="H61" s="12" t="b">
        <v>1</v>
      </c>
      <c r="I61" s="12">
        <v>30</v>
      </c>
      <c r="J61" s="12">
        <v>1</v>
      </c>
      <c r="K61" s="11">
        <f>_xll.qlRateHelperEarliestDate($E61,Trigger)</f>
        <v>43089</v>
      </c>
      <c r="L61" s="10">
        <f>_xll.qlRateHelperLatestDate($E61,Trigger)</f>
        <v>43179</v>
      </c>
      <c r="N61" s="96">
        <v>24</v>
      </c>
      <c r="O61" s="96">
        <f>_xll.qlRateHelperRate(E61)</f>
        <v>1.2494436275772762E-2</v>
      </c>
      <c r="P61" s="96"/>
    </row>
    <row r="62" spans="1:16" x14ac:dyDescent="0.2">
      <c r="A62" s="15" t="b">
        <v>0</v>
      </c>
      <c r="B62" s="16"/>
      <c r="C62" s="15" t="str">
        <f t="shared" si="3"/>
        <v>FUT3M</v>
      </c>
      <c r="D62" s="14" t="str">
        <v>G6</v>
      </c>
      <c r="E62" s="14" t="str">
        <f>STD_Futures!I27</f>
        <v>GBP_YCSTDRH_FUT3MH8#0000</v>
      </c>
      <c r="F62" s="28">
        <f>_xll.qlRateHelperQuoteValue($E62,Trigger)</f>
        <v>98.59</v>
      </c>
      <c r="G62" s="13">
        <f>_xll.qlFuturesRateHelperConvexityAdjustment($E62,Trigger)</f>
        <v>2.8579615972647971E-4</v>
      </c>
      <c r="H62" s="12" t="b">
        <v>1</v>
      </c>
      <c r="I62" s="12">
        <v>30</v>
      </c>
      <c r="J62" s="12">
        <v>1</v>
      </c>
      <c r="K62" s="11">
        <f>_xll.qlRateHelperEarliestDate($E62,Trigger)</f>
        <v>43180</v>
      </c>
      <c r="L62" s="10">
        <f>_xll.qlRateHelperLatestDate($E62,Trigger)</f>
        <v>43272</v>
      </c>
      <c r="N62" s="96">
        <v>25</v>
      </c>
      <c r="O62" s="96">
        <f>_xll.qlRateHelperRate(E62)</f>
        <v>1.3814203840273521E-2</v>
      </c>
      <c r="P62" s="96"/>
    </row>
    <row r="63" spans="1:16" x14ac:dyDescent="0.2">
      <c r="A63" s="15" t="b">
        <v>0</v>
      </c>
      <c r="B63" s="16"/>
      <c r="C63" s="15" t="str">
        <f t="shared" si="3"/>
        <v>FUT3M</v>
      </c>
      <c r="D63" s="14" t="str">
        <v>H6</v>
      </c>
      <c r="E63" s="14" t="str">
        <f>STD_Futures!I28</f>
        <v>GBP_YCSTDRH_FUT3MM8#0000</v>
      </c>
      <c r="F63" s="28">
        <f>_xll.qlRateHelperQuoteValue($E63,Trigger)</f>
        <v>98.474999999999994</v>
      </c>
      <c r="G63" s="13">
        <f>_xll.qlFuturesRateHelperConvexityAdjustment($E63,Trigger)</f>
        <v>3.1677104378907304E-4</v>
      </c>
      <c r="H63" s="12" t="b">
        <v>1</v>
      </c>
      <c r="I63" s="12">
        <v>30</v>
      </c>
      <c r="J63" s="12">
        <v>1</v>
      </c>
      <c r="K63" s="11">
        <f>_xll.qlRateHelperEarliestDate($E63,Trigger)</f>
        <v>43271</v>
      </c>
      <c r="L63" s="10">
        <f>_xll.qlRateHelperLatestDate($E63,Trigger)</f>
        <v>43363</v>
      </c>
      <c r="N63" s="96">
        <v>26</v>
      </c>
      <c r="O63" s="96">
        <f>_xll.qlRateHelperRate(E63)</f>
        <v>1.4933228956211023E-2</v>
      </c>
      <c r="P63" s="96"/>
    </row>
    <row r="64" spans="1:16" x14ac:dyDescent="0.2">
      <c r="A64" s="15" t="b">
        <v>0</v>
      </c>
      <c r="B64" s="16"/>
      <c r="C64" s="15" t="str">
        <f t="shared" si="3"/>
        <v>FUT3M</v>
      </c>
      <c r="D64" s="14" t="str">
        <v>J6</v>
      </c>
      <c r="E64" s="14" t="str">
        <f>STD_Futures!I29</f>
        <v>GBP_YCSTDRH_FUT3MU8#0000</v>
      </c>
      <c r="F64" s="28" t="e">
        <f>_xll.qlRateHelperQuoteValue($E64,Trigger)</f>
        <v>#NUM!</v>
      </c>
      <c r="G64" s="13" t="e">
        <f>_xll.qlFuturesRateHelperConvexityAdjustment($E64,Trigger)</f>
        <v>#NUM!</v>
      </c>
      <c r="H64" s="12" t="b">
        <v>1</v>
      </c>
      <c r="I64" s="12">
        <v>30</v>
      </c>
      <c r="J64" s="12">
        <v>1</v>
      </c>
      <c r="K64" s="11">
        <f>_xll.qlRateHelperEarliestDate($E64,Trigger)</f>
        <v>43362</v>
      </c>
      <c r="L64" s="10">
        <f>_xll.qlRateHelperLatestDate($E64,Trigger)</f>
        <v>43453</v>
      </c>
      <c r="N64" s="96">
        <v>27</v>
      </c>
      <c r="O64" s="96" t="e">
        <f>_xll.qlRateHelperRate(E64)</f>
        <v>#NUM!</v>
      </c>
      <c r="P64" s="96"/>
    </row>
    <row r="65" spans="1:16" x14ac:dyDescent="0.2">
      <c r="A65" s="15" t="b">
        <v>0</v>
      </c>
      <c r="B65" s="16"/>
      <c r="C65" s="15" t="str">
        <f t="shared" si="3"/>
        <v>FUT3M</v>
      </c>
      <c r="D65" s="14" t="str">
        <v>K6</v>
      </c>
      <c r="E65" s="14" t="str">
        <f>STD_Futures!I30</f>
        <v>GBP_YCSTDRH_FUT3MZ8#0000</v>
      </c>
      <c r="F65" s="28" t="e">
        <f>_xll.qlRateHelperQuoteValue($E65,Trigger)</f>
        <v>#NUM!</v>
      </c>
      <c r="G65" s="13" t="e">
        <f>_xll.qlFuturesRateHelperConvexityAdjustment($E65,Trigger)</f>
        <v>#NUM!</v>
      </c>
      <c r="H65" s="12" t="b">
        <v>1</v>
      </c>
      <c r="I65" s="12">
        <v>30</v>
      </c>
      <c r="J65" s="12">
        <v>1</v>
      </c>
      <c r="K65" s="11">
        <f>_xll.qlRateHelperEarliestDate($E65,Trigger)</f>
        <v>43453</v>
      </c>
      <c r="L65" s="10">
        <f>_xll.qlRateHelperLatestDate($E65,Trigger)</f>
        <v>43543</v>
      </c>
      <c r="N65" s="96">
        <v>28</v>
      </c>
      <c r="O65" s="96" t="e">
        <f>_xll.qlRateHelperRate(E65)</f>
        <v>#NUM!</v>
      </c>
      <c r="P65" s="96"/>
    </row>
    <row r="66" spans="1:16" x14ac:dyDescent="0.2">
      <c r="A66" s="15" t="b">
        <v>0</v>
      </c>
      <c r="B66" s="16"/>
      <c r="C66" s="15" t="str">
        <f t="shared" si="3"/>
        <v>FUT3M</v>
      </c>
      <c r="D66" s="14" t="str">
        <v>M6</v>
      </c>
      <c r="E66" s="14" t="str">
        <f>STD_Futures!I31</f>
        <v>GBP_YCSTDRH_FUT3MH9#0000</v>
      </c>
      <c r="F66" s="28" t="e">
        <f>_xll.qlRateHelperQuoteValue($E66,Trigger)</f>
        <v>#NUM!</v>
      </c>
      <c r="G66" s="13" t="e">
        <f>_xll.qlFuturesRateHelperConvexityAdjustment($E66,Trigger)</f>
        <v>#NUM!</v>
      </c>
      <c r="H66" s="12" t="b">
        <v>1</v>
      </c>
      <c r="I66" s="12">
        <v>30</v>
      </c>
      <c r="J66" s="12">
        <v>1</v>
      </c>
      <c r="K66" s="11">
        <f>_xll.qlRateHelperEarliestDate($E66,Trigger)</f>
        <v>43544</v>
      </c>
      <c r="L66" s="10">
        <f>_xll.qlRateHelperLatestDate($E66,Trigger)</f>
        <v>43636</v>
      </c>
      <c r="N66" s="96">
        <v>29</v>
      </c>
      <c r="O66" s="96" t="e">
        <f>_xll.qlRateHelperRate(E66)</f>
        <v>#NUM!</v>
      </c>
      <c r="P66" s="96"/>
    </row>
    <row r="67" spans="1:16" x14ac:dyDescent="0.2">
      <c r="A67" s="15" t="b">
        <v>0</v>
      </c>
      <c r="B67" s="16"/>
      <c r="C67" s="15" t="str">
        <f t="shared" si="3"/>
        <v>FUT3M</v>
      </c>
      <c r="D67" s="14" t="str">
        <v>N6</v>
      </c>
      <c r="E67" s="14" t="str">
        <f>STD_Futures!I32</f>
        <v>GBP_YCSTDRH_FUT3MM9#0000</v>
      </c>
      <c r="F67" s="28" t="e">
        <f>_xll.qlRateHelperQuoteValue($E67,Trigger)</f>
        <v>#NUM!</v>
      </c>
      <c r="G67" s="13" t="e">
        <f>_xll.qlFuturesRateHelperConvexityAdjustment($E67,Trigger)</f>
        <v>#NUM!</v>
      </c>
      <c r="H67" s="12" t="b">
        <v>1</v>
      </c>
      <c r="I67" s="12">
        <v>30</v>
      </c>
      <c r="J67" s="12">
        <v>1</v>
      </c>
      <c r="K67" s="11">
        <f>_xll.qlRateHelperEarliestDate($E67,Trigger)</f>
        <v>43635</v>
      </c>
      <c r="L67" s="10">
        <f>_xll.qlRateHelperLatestDate($E67,Trigger)</f>
        <v>43727</v>
      </c>
      <c r="N67" s="96">
        <v>30</v>
      </c>
      <c r="O67" s="96" t="e">
        <f>_xll.qlRateHelperRate(E67)</f>
        <v>#NUM!</v>
      </c>
      <c r="P67" s="96"/>
    </row>
    <row r="68" spans="1:16" x14ac:dyDescent="0.2">
      <c r="A68" s="15" t="b">
        <v>0</v>
      </c>
      <c r="B68" s="16"/>
      <c r="C68" s="15" t="str">
        <f t="shared" si="3"/>
        <v>FUT3M</v>
      </c>
      <c r="D68" s="14" t="str">
        <v>Q6</v>
      </c>
      <c r="E68" s="14" t="str">
        <f>STD_Futures!I33</f>
        <v>GBP_YCSTDRH_FUT3MU9#0000</v>
      </c>
      <c r="F68" s="28" t="e">
        <f>_xll.qlRateHelperQuoteValue($E68,Trigger)</f>
        <v>#NUM!</v>
      </c>
      <c r="G68" s="13" t="e">
        <f>_xll.qlFuturesRateHelperConvexityAdjustment($E68,Trigger)</f>
        <v>#NUM!</v>
      </c>
      <c r="H68" s="12" t="b">
        <v>1</v>
      </c>
      <c r="I68" s="12">
        <v>30</v>
      </c>
      <c r="J68" s="12">
        <v>1</v>
      </c>
      <c r="K68" s="11">
        <f>_xll.qlRateHelperEarliestDate($E68,Trigger)</f>
        <v>43726</v>
      </c>
      <c r="L68" s="10">
        <f>_xll.qlRateHelperLatestDate($E68,Trigger)</f>
        <v>43817</v>
      </c>
      <c r="N68" s="96">
        <v>31</v>
      </c>
      <c r="O68" s="96" t="e">
        <f>_xll.qlRateHelperRate(E68)</f>
        <v>#NUM!</v>
      </c>
      <c r="P68" s="96"/>
    </row>
    <row r="69" spans="1:16" x14ac:dyDescent="0.2">
      <c r="A69" s="15" t="b">
        <v>0</v>
      </c>
      <c r="B69" s="16"/>
      <c r="C69" s="15" t="str">
        <f t="shared" si="3"/>
        <v>FUT3M</v>
      </c>
      <c r="D69" s="14" t="str">
        <v>U6</v>
      </c>
      <c r="E69" s="14" t="str">
        <f>STD_Futures!I34</f>
        <v>GBP_YCSTDRH_FUT3MZ9#0000</v>
      </c>
      <c r="F69" s="28" t="e">
        <f>_xll.qlRateHelperQuoteValue($E69,Trigger)</f>
        <v>#NUM!</v>
      </c>
      <c r="G69" s="13" t="e">
        <f>_xll.qlFuturesRateHelperConvexityAdjustment($E69,Trigger)</f>
        <v>#NUM!</v>
      </c>
      <c r="H69" s="12" t="b">
        <v>1</v>
      </c>
      <c r="I69" s="12">
        <v>30</v>
      </c>
      <c r="J69" s="12">
        <v>1</v>
      </c>
      <c r="K69" s="11">
        <f>_xll.qlRateHelperEarliestDate($E69,Trigger)</f>
        <v>43817</v>
      </c>
      <c r="L69" s="10">
        <f>_xll.qlRateHelperLatestDate($E69,Trigger)</f>
        <v>43908</v>
      </c>
      <c r="N69" s="96">
        <v>32</v>
      </c>
      <c r="O69" s="96" t="e">
        <f>_xll.qlRateHelperRate(E69)</f>
        <v>#NUM!</v>
      </c>
      <c r="P69" s="96"/>
    </row>
    <row r="70" spans="1:16" x14ac:dyDescent="0.2">
      <c r="A70" s="15" t="b">
        <v>0</v>
      </c>
      <c r="B70" s="16"/>
      <c r="C70" s="15" t="str">
        <f t="shared" si="3"/>
        <v>FUT3M</v>
      </c>
      <c r="D70" s="14" t="str">
        <v>V6</v>
      </c>
      <c r="E70" s="14" t="str">
        <f>STD_Futures!I35</f>
        <v>GBP_YCSTDRH_FUT3MH0#0000</v>
      </c>
      <c r="F70" s="28" t="e">
        <f>_xll.qlRateHelperQuoteValue($E70,Trigger)</f>
        <v>#NUM!</v>
      </c>
      <c r="G70" s="13" t="e">
        <f>_xll.qlFuturesRateHelperConvexityAdjustment($E70,Trigger)</f>
        <v>#NUM!</v>
      </c>
      <c r="H70" s="12" t="b">
        <v>1</v>
      </c>
      <c r="I70" s="12">
        <v>30</v>
      </c>
      <c r="J70" s="12">
        <v>1</v>
      </c>
      <c r="K70" s="11">
        <f>_xll.qlRateHelperEarliestDate($E70,Trigger)</f>
        <v>43908</v>
      </c>
      <c r="L70" s="10">
        <f>_xll.qlRateHelperLatestDate($E70,Trigger)</f>
        <v>44000</v>
      </c>
      <c r="N70" s="96">
        <v>33</v>
      </c>
      <c r="O70" s="96" t="e">
        <f>_xll.qlRateHelperRate(E70)</f>
        <v>#NUM!</v>
      </c>
      <c r="P70" s="96"/>
    </row>
    <row r="71" spans="1:16" x14ac:dyDescent="0.2">
      <c r="A71" s="15" t="b">
        <v>0</v>
      </c>
      <c r="B71" s="16"/>
      <c r="C71" s="15" t="str">
        <f t="shared" si="3"/>
        <v>FUT3M</v>
      </c>
      <c r="D71" s="14" t="str">
        <v>X6</v>
      </c>
      <c r="E71" s="14" t="str">
        <f>STD_Futures!I36</f>
        <v>GBP_YCSTDRH_FUT3MM0#0000</v>
      </c>
      <c r="F71" s="28" t="e">
        <f>_xll.qlRateHelperQuoteValue($E71,Trigger)</f>
        <v>#NUM!</v>
      </c>
      <c r="G71" s="13" t="e">
        <f>_xll.qlFuturesRateHelperConvexityAdjustment($E71,Trigger)</f>
        <v>#NUM!</v>
      </c>
      <c r="H71" s="12" t="b">
        <v>1</v>
      </c>
      <c r="I71" s="12">
        <v>30</v>
      </c>
      <c r="J71" s="12">
        <v>1</v>
      </c>
      <c r="K71" s="11">
        <f>_xll.qlRateHelperEarliestDate($E71,Trigger)</f>
        <v>43999</v>
      </c>
      <c r="L71" s="10">
        <f>_xll.qlRateHelperLatestDate($E71,Trigger)</f>
        <v>44091</v>
      </c>
      <c r="N71" s="96">
        <v>34</v>
      </c>
      <c r="O71" s="96" t="e">
        <f>_xll.qlRateHelperRate(E71)</f>
        <v>#NUM!</v>
      </c>
      <c r="P71" s="96"/>
    </row>
    <row r="72" spans="1:16" x14ac:dyDescent="0.2">
      <c r="A72" s="15" t="b">
        <v>0</v>
      </c>
      <c r="B72" s="16"/>
      <c r="C72" s="15" t="str">
        <f t="shared" si="3"/>
        <v>FUT3M</v>
      </c>
      <c r="D72" s="14" t="str">
        <v>Z6</v>
      </c>
      <c r="E72" s="14" t="str">
        <f>STD_Futures!I37</f>
        <v>GBP_YCSTDRH_FUT3MU0#0000</v>
      </c>
      <c r="F72" s="28" t="e">
        <f>_xll.qlRateHelperQuoteValue($E72,Trigger)</f>
        <v>#NUM!</v>
      </c>
      <c r="G72" s="13" t="e">
        <f>_xll.qlFuturesRateHelperConvexityAdjustment($E72,Trigger)</f>
        <v>#NUM!</v>
      </c>
      <c r="H72" s="12" t="b">
        <v>1</v>
      </c>
      <c r="I72" s="12">
        <v>30</v>
      </c>
      <c r="J72" s="12">
        <v>1</v>
      </c>
      <c r="K72" s="11">
        <f>_xll.qlRateHelperEarliestDate($E72,Trigger)</f>
        <v>44090</v>
      </c>
      <c r="L72" s="10">
        <f>_xll.qlRateHelperLatestDate($E72,Trigger)</f>
        <v>44181</v>
      </c>
      <c r="N72" s="96">
        <v>35</v>
      </c>
      <c r="O72" s="96" t="e">
        <f>_xll.qlRateHelperRate(E72)</f>
        <v>#NUM!</v>
      </c>
      <c r="P72" s="96"/>
    </row>
    <row r="73" spans="1:16" x14ac:dyDescent="0.2">
      <c r="A73" s="15" t="b">
        <v>0</v>
      </c>
      <c r="B73" s="16"/>
      <c r="C73" s="15" t="str">
        <f t="shared" si="3"/>
        <v>FUT3M</v>
      </c>
      <c r="D73" s="14" t="str">
        <v>F7</v>
      </c>
      <c r="E73" s="14" t="str">
        <f>STD_Futures!I38</f>
        <v>GBP_YCSTDRH_FUT3MZ0#0000</v>
      </c>
      <c r="F73" s="28" t="e">
        <f>_xll.qlRateHelperQuoteValue($E73,Trigger)</f>
        <v>#NUM!</v>
      </c>
      <c r="G73" s="13" t="e">
        <f>_xll.qlFuturesRateHelperConvexityAdjustment($E73,Trigger)</f>
        <v>#NUM!</v>
      </c>
      <c r="H73" s="12" t="b">
        <v>1</v>
      </c>
      <c r="I73" s="12">
        <v>30</v>
      </c>
      <c r="J73" s="12">
        <v>1</v>
      </c>
      <c r="K73" s="11">
        <f>_xll.qlRateHelperEarliestDate($E73,Trigger)</f>
        <v>44181</v>
      </c>
      <c r="L73" s="10">
        <f>_xll.qlRateHelperLatestDate($E73,Trigger)</f>
        <v>44271</v>
      </c>
      <c r="N73" s="96">
        <v>36</v>
      </c>
      <c r="O73" s="96" t="e">
        <f>_xll.qlRateHelperRate(E73)</f>
        <v>#NUM!</v>
      </c>
      <c r="P73" s="96"/>
    </row>
    <row r="74" spans="1:16" x14ac:dyDescent="0.2">
      <c r="A74" s="15" t="b">
        <v>0</v>
      </c>
      <c r="B74" s="16"/>
      <c r="C74" s="15" t="str">
        <f t="shared" si="3"/>
        <v>FUT3M</v>
      </c>
      <c r="D74" s="14" t="str">
        <v>G7</v>
      </c>
      <c r="E74" s="14" t="str">
        <f>STD_Futures!I39</f>
        <v>GBP_YCSTDRH_FUT3MH1#0000</v>
      </c>
      <c r="F74" s="28" t="e">
        <f>_xll.qlRateHelperQuoteValue($E74,Trigger)</f>
        <v>#NUM!</v>
      </c>
      <c r="G74" s="13" t="e">
        <f>_xll.qlFuturesRateHelperConvexityAdjustment($E74,Trigger)</f>
        <v>#NUM!</v>
      </c>
      <c r="H74" s="12" t="b">
        <v>1</v>
      </c>
      <c r="I74" s="12">
        <v>30</v>
      </c>
      <c r="J74" s="12">
        <v>1</v>
      </c>
      <c r="K74" s="11">
        <f>_xll.qlRateHelperEarliestDate($E74,Trigger)</f>
        <v>44272</v>
      </c>
      <c r="L74" s="10">
        <f>_xll.qlRateHelperLatestDate($E74,Trigger)</f>
        <v>44364</v>
      </c>
      <c r="N74" s="96">
        <v>37</v>
      </c>
      <c r="O74" s="96" t="e">
        <f>_xll.qlRateHelperRate(E74)</f>
        <v>#NUM!</v>
      </c>
      <c r="P74" s="96"/>
    </row>
    <row r="75" spans="1:16" x14ac:dyDescent="0.2">
      <c r="A75" s="15" t="b">
        <v>0</v>
      </c>
      <c r="B75" s="16"/>
      <c r="C75" s="15" t="str">
        <f t="shared" si="3"/>
        <v>FUT3M</v>
      </c>
      <c r="D75" s="14" t="str">
        <v>H7</v>
      </c>
      <c r="E75" s="14" t="str">
        <f>STD_Futures!I40</f>
        <v>GBP_YCSTDRH_FUT3MM1#0000</v>
      </c>
      <c r="F75" s="28" t="e">
        <f>_xll.qlRateHelperQuoteValue($E75,Trigger)</f>
        <v>#NUM!</v>
      </c>
      <c r="G75" s="13" t="e">
        <f>_xll.qlFuturesRateHelperConvexityAdjustment($E75,Trigger)</f>
        <v>#NUM!</v>
      </c>
      <c r="H75" s="12" t="b">
        <v>1</v>
      </c>
      <c r="I75" s="12">
        <v>30</v>
      </c>
      <c r="J75" s="12">
        <v>1</v>
      </c>
      <c r="K75" s="11">
        <f>_xll.qlRateHelperEarliestDate($E75,Trigger)</f>
        <v>44363</v>
      </c>
      <c r="L75" s="10">
        <f>_xll.qlRateHelperLatestDate($E75,Trigger)</f>
        <v>44455</v>
      </c>
      <c r="N75" s="96">
        <v>38</v>
      </c>
      <c r="O75" s="96" t="e">
        <f>_xll.qlRateHelperRate(E75)</f>
        <v>#NUM!</v>
      </c>
      <c r="P75" s="96"/>
    </row>
    <row r="76" spans="1:16" x14ac:dyDescent="0.2">
      <c r="A76" s="15" t="b">
        <v>0</v>
      </c>
      <c r="B76" s="16"/>
      <c r="C76" s="15" t="str">
        <f t="shared" si="3"/>
        <v>FUT3M</v>
      </c>
      <c r="D76" s="14" t="str">
        <v>J7</v>
      </c>
      <c r="E76" s="14" t="str">
        <f>STD_Futures!I41</f>
        <v>GBP_YCSTDRH_FUT3MU1#0000</v>
      </c>
      <c r="F76" s="28" t="e">
        <f>_xll.qlRateHelperQuoteValue($E76,Trigger)</f>
        <v>#NUM!</v>
      </c>
      <c r="G76" s="13" t="e">
        <f>_xll.qlFuturesRateHelperConvexityAdjustment($E76,Trigger)</f>
        <v>#NUM!</v>
      </c>
      <c r="H76" s="12" t="b">
        <v>1</v>
      </c>
      <c r="I76" s="12">
        <v>30</v>
      </c>
      <c r="J76" s="12">
        <v>1</v>
      </c>
      <c r="K76" s="11">
        <f>_xll.qlRateHelperEarliestDate($E76,Trigger)</f>
        <v>44454</v>
      </c>
      <c r="L76" s="10">
        <f>_xll.qlRateHelperLatestDate($E76,Trigger)</f>
        <v>44545</v>
      </c>
      <c r="N76" s="96">
        <v>39</v>
      </c>
      <c r="O76" s="96" t="e">
        <f>_xll.qlRateHelperRate(E76)</f>
        <v>#NUM!</v>
      </c>
      <c r="P76" s="96"/>
    </row>
    <row r="77" spans="1:16" x14ac:dyDescent="0.2">
      <c r="A77" s="15" t="b">
        <v>0</v>
      </c>
      <c r="B77" s="16"/>
      <c r="C77" s="15" t="str">
        <f t="shared" si="3"/>
        <v>FUT3M</v>
      </c>
      <c r="D77" s="14" t="str">
        <v>K7</v>
      </c>
      <c r="E77" s="14" t="str">
        <f>STD_Futures!I42</f>
        <v>GBP_YCSTDRH_FUT3MZ1#0000</v>
      </c>
      <c r="F77" s="28" t="e">
        <f>_xll.qlRateHelperQuoteValue($E77,Trigger)</f>
        <v>#NUM!</v>
      </c>
      <c r="G77" s="13" t="e">
        <f>_xll.qlFuturesRateHelperConvexityAdjustment($E77,Trigger)</f>
        <v>#NUM!</v>
      </c>
      <c r="H77" s="12" t="b">
        <v>1</v>
      </c>
      <c r="I77" s="12">
        <v>30</v>
      </c>
      <c r="J77" s="12">
        <v>1</v>
      </c>
      <c r="K77" s="11">
        <f>_xll.qlRateHelperEarliestDate($E77,Trigger)</f>
        <v>44545</v>
      </c>
      <c r="L77" s="10">
        <f>_xll.qlRateHelperLatestDate($E77,Trigger)</f>
        <v>44635</v>
      </c>
      <c r="N77" s="96">
        <v>40</v>
      </c>
      <c r="O77" s="96" t="e">
        <f>_xll.qlRateHelperRate(E77)</f>
        <v>#NUM!</v>
      </c>
      <c r="P77" s="96"/>
    </row>
    <row r="78" spans="1:16" x14ac:dyDescent="0.2">
      <c r="A78" s="15" t="b">
        <v>0</v>
      </c>
      <c r="B78" s="16"/>
      <c r="C78" s="15" t="str">
        <f t="shared" si="3"/>
        <v>FUT3M</v>
      </c>
      <c r="D78" s="14" t="str">
        <v>M7</v>
      </c>
      <c r="E78" s="14" t="str">
        <f>STD_Futures!I43</f>
        <v>GBP_YCSTDRH_FUT3MH2#0000</v>
      </c>
      <c r="F78" s="28" t="e">
        <f>_xll.qlRateHelperQuoteValue($E78,Trigger)</f>
        <v>#NUM!</v>
      </c>
      <c r="G78" s="13" t="e">
        <f>_xll.qlFuturesRateHelperConvexityAdjustment($E78,Trigger)</f>
        <v>#NUM!</v>
      </c>
      <c r="H78" s="12" t="b">
        <v>1</v>
      </c>
      <c r="I78" s="12">
        <v>30</v>
      </c>
      <c r="J78" s="12">
        <v>1</v>
      </c>
      <c r="K78" s="11">
        <f>_xll.qlRateHelperEarliestDate($E78,Trigger)</f>
        <v>44636</v>
      </c>
      <c r="L78" s="10">
        <f>_xll.qlRateHelperLatestDate($E78,Trigger)</f>
        <v>44728</v>
      </c>
      <c r="N78" s="96">
        <v>41</v>
      </c>
      <c r="O78" s="96" t="e">
        <f>_xll.qlRateHelperRate(E78)</f>
        <v>#NUM!</v>
      </c>
      <c r="P78" s="96"/>
    </row>
    <row r="79" spans="1:16" x14ac:dyDescent="0.2">
      <c r="A79" s="8" t="b">
        <v>0</v>
      </c>
      <c r="B79" s="9"/>
      <c r="C79" s="8" t="str">
        <f t="shared" si="3"/>
        <v>FUT3M</v>
      </c>
      <c r="D79" s="7" t="str">
        <v>N7</v>
      </c>
      <c r="E79" s="7" t="str">
        <f>STD_Futures!I44</f>
        <v>GBP_YCSTDRH_FUT3MM2#0000</v>
      </c>
      <c r="F79" s="27" t="e">
        <f>_xll.qlRateHelperQuoteValue($E79,Trigger)</f>
        <v>#NUM!</v>
      </c>
      <c r="G79" s="6" t="e">
        <f>_xll.qlFuturesRateHelperConvexityAdjustment($E79,Trigger)</f>
        <v>#NUM!</v>
      </c>
      <c r="H79" s="5" t="b">
        <v>0</v>
      </c>
      <c r="I79" s="5">
        <v>30</v>
      </c>
      <c r="J79" s="12">
        <v>1</v>
      </c>
      <c r="K79" s="4">
        <f>_xll.qlRateHelperEarliestDate($E79,Trigger)</f>
        <v>44727</v>
      </c>
      <c r="L79" s="3">
        <f>_xll.qlRateHelperLatestDate($E79,Trigger)</f>
        <v>44819</v>
      </c>
      <c r="M79" s="26"/>
      <c r="N79" s="96">
        <v>42</v>
      </c>
      <c r="O79" s="96" t="e">
        <f>_xll.qlRateHelperRate(E79)</f>
        <v>#NUM!</v>
      </c>
      <c r="P79" s="96"/>
    </row>
    <row r="80" spans="1:16" ht="11.25" customHeight="1" x14ac:dyDescent="0.2">
      <c r="B80" s="24">
        <v>2</v>
      </c>
      <c r="C80" s="23"/>
      <c r="D80" s="22" t="s">
        <v>41</v>
      </c>
      <c r="E80" s="22" t="str">
        <f t="shared" ref="E80:E95" si="4">RateHelperPrefix&amp;"_"&amp;$B80&amp;$C80&amp;$D80</f>
        <v>GBP_YCSTDRH_2X1S</v>
      </c>
      <c r="F80" s="21" t="e">
        <f>_xll.qlRateHelperQuoteValue($E80,Trigger)</f>
        <v>#NUM!</v>
      </c>
      <c r="G80" s="21" t="e">
        <f>_xll.qlSwapRateHelperSpread($E80,Trigger)</f>
        <v>#NUM!</v>
      </c>
      <c r="H80" s="20" t="b">
        <v>0</v>
      </c>
      <c r="I80" s="20">
        <v>40</v>
      </c>
      <c r="J80" s="20">
        <v>1</v>
      </c>
      <c r="K80" s="19" t="e">
        <f>_xll.qlRateHelperEarliestDate($E80,Trigger)</f>
        <v>#NUM!</v>
      </c>
      <c r="L80" s="18" t="e">
        <f>_xll.qlRateHelperLatestDate($E80,Trigger)</f>
        <v>#NUM!</v>
      </c>
      <c r="M80" s="17"/>
    </row>
    <row r="81" spans="2:13" x14ac:dyDescent="0.2">
      <c r="B81" s="16">
        <v>3</v>
      </c>
      <c r="C81" s="15"/>
      <c r="D81" s="14" t="s">
        <v>41</v>
      </c>
      <c r="E81" s="14" t="str">
        <f t="shared" si="4"/>
        <v>GBP_YCSTDRH_3X1S</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c r="M81" s="25"/>
    </row>
    <row r="82" spans="2:13" x14ac:dyDescent="0.2">
      <c r="B82" s="16">
        <v>4</v>
      </c>
      <c r="C82" s="15"/>
      <c r="D82" s="14" t="s">
        <v>41</v>
      </c>
      <c r="E82" s="14" t="str">
        <f t="shared" si="4"/>
        <v>GBP_YCSTDRH_4X1S</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3" x14ac:dyDescent="0.2">
      <c r="B83" s="16">
        <v>5</v>
      </c>
      <c r="C83" s="15"/>
      <c r="D83" s="14" t="s">
        <v>41</v>
      </c>
      <c r="E83" s="14" t="str">
        <f t="shared" si="4"/>
        <v>GBP_YCSTDRH_5X1S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row>
    <row r="84" spans="2:13" ht="11.25" customHeight="1" x14ac:dyDescent="0.2">
      <c r="B84" s="16">
        <v>6</v>
      </c>
      <c r="C84" s="15"/>
      <c r="D84" s="14" t="s">
        <v>41</v>
      </c>
      <c r="E84" s="14" t="str">
        <f t="shared" si="4"/>
        <v>GBP_YCSTDRH_6X1S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2:13" x14ac:dyDescent="0.2">
      <c r="B85" s="16">
        <v>7</v>
      </c>
      <c r="C85" s="15"/>
      <c r="D85" s="14" t="s">
        <v>41</v>
      </c>
      <c r="E85" s="14" t="str">
        <f t="shared" si="4"/>
        <v>GBP_YCSTDRH_7X1S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2:13" x14ac:dyDescent="0.2">
      <c r="B86" s="16">
        <v>8</v>
      </c>
      <c r="C86" s="15"/>
      <c r="D86" s="14" t="s">
        <v>41</v>
      </c>
      <c r="E86" s="14" t="str">
        <f t="shared" si="4"/>
        <v>GBP_YCSTDRH_8X1S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2:13" ht="11.25" customHeight="1" x14ac:dyDescent="0.2">
      <c r="B87" s="16">
        <v>9</v>
      </c>
      <c r="C87" s="15"/>
      <c r="D87" s="14" t="s">
        <v>41</v>
      </c>
      <c r="E87" s="14" t="str">
        <f t="shared" si="4"/>
        <v>GBP_YCSTDRH_9X1S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3" x14ac:dyDescent="0.2">
      <c r="B88" s="16">
        <v>10</v>
      </c>
      <c r="C88" s="15"/>
      <c r="D88" s="14" t="s">
        <v>41</v>
      </c>
      <c r="E88" s="14" t="str">
        <f t="shared" si="4"/>
        <v>GBP_YCSTDRH_10X1S</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2:13" x14ac:dyDescent="0.2">
      <c r="B89" s="16">
        <v>11</v>
      </c>
      <c r="C89" s="15"/>
      <c r="D89" s="14" t="s">
        <v>41</v>
      </c>
      <c r="E89" s="14" t="str">
        <f t="shared" si="4"/>
        <v>GBP_YCSTDRH_11X1S</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2:13" x14ac:dyDescent="0.2">
      <c r="B90" s="9">
        <v>12</v>
      </c>
      <c r="C90" s="8"/>
      <c r="D90" s="7" t="s">
        <v>41</v>
      </c>
      <c r="E90" s="7" t="str">
        <f t="shared" si="4"/>
        <v>GBP_YCSTDRH_12X1S</v>
      </c>
      <c r="F90" s="6" t="e">
        <f>_xll.qlRateHelperQuoteValue($E90,Trigger)</f>
        <v>#NUM!</v>
      </c>
      <c r="G90" s="6" t="e">
        <f>_xll.qlSwapRateHelperSpread($E90,Trigger)</f>
        <v>#NUM!</v>
      </c>
      <c r="H90" s="5" t="b">
        <v>0</v>
      </c>
      <c r="I90" s="5">
        <v>40</v>
      </c>
      <c r="J90" s="12">
        <v>1</v>
      </c>
      <c r="K90" s="4" t="e">
        <f>_xll.qlRateHelperEarliestDate($E90,Trigger)</f>
        <v>#NUM!</v>
      </c>
      <c r="L90" s="3" t="e">
        <f>_xll.qlRateHelperLatestDate($E90,Trigger)</f>
        <v>#NUM!</v>
      </c>
    </row>
    <row r="91" spans="2:13" x14ac:dyDescent="0.2">
      <c r="B91" s="24" t="s">
        <v>37</v>
      </c>
      <c r="C91" s="23">
        <v>12</v>
      </c>
      <c r="D91" s="22"/>
      <c r="E91" s="22" t="str">
        <f t="shared" si="4"/>
        <v>GBP_YCSTDRH_1S12</v>
      </c>
      <c r="F91" s="21" t="e">
        <f>_xll.qlRateHelperQuoteValue($E91,Trigger)</f>
        <v>#NUM!</v>
      </c>
      <c r="G91" s="21" t="e">
        <f>_xll.qlSwapRateHelperSpread($E91,Trigger)</f>
        <v>#NUM!</v>
      </c>
      <c r="H91" s="20" t="b">
        <v>0</v>
      </c>
      <c r="I91" s="20">
        <v>40</v>
      </c>
      <c r="J91" s="20">
        <v>1</v>
      </c>
      <c r="K91" s="19" t="e">
        <f>_xll.qlRateHelperEarliestDate($E91,Trigger)</f>
        <v>#NUM!</v>
      </c>
      <c r="L91" s="18" t="e">
        <f>_xll.qlRateHelperLatestDate($E91,Trigger)</f>
        <v>#NUM!</v>
      </c>
    </row>
    <row r="92" spans="2:13" x14ac:dyDescent="0.2">
      <c r="B92" s="16" t="s">
        <v>38</v>
      </c>
      <c r="C92" s="15">
        <v>12</v>
      </c>
      <c r="D92" s="14"/>
      <c r="E92" s="14" t="str">
        <f t="shared" si="4"/>
        <v>GBP_YCSTDRH_2S12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3" x14ac:dyDescent="0.2">
      <c r="B93" s="16" t="s">
        <v>40</v>
      </c>
      <c r="C93" s="15">
        <v>12</v>
      </c>
      <c r="D93" s="14"/>
      <c r="E93" s="14" t="str">
        <f t="shared" si="4"/>
        <v>GBP_YCSTDRH_3S12</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3" x14ac:dyDescent="0.2">
      <c r="B94" s="16" t="s">
        <v>39</v>
      </c>
      <c r="C94" s="15">
        <v>12</v>
      </c>
      <c r="D94" s="14"/>
      <c r="E94" s="14" t="str">
        <f t="shared" si="4"/>
        <v>GBP_YCSTDRH_4S12</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3" x14ac:dyDescent="0.2">
      <c r="B95" s="16" t="s">
        <v>37</v>
      </c>
      <c r="C95" s="15">
        <v>24</v>
      </c>
      <c r="D95" s="14"/>
      <c r="E95" s="14" t="str">
        <f t="shared" si="4"/>
        <v>GBP_YCSTDRH_1S24</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2:13" x14ac:dyDescent="0.2">
      <c r="B96" s="16" t="s">
        <v>38</v>
      </c>
      <c r="C96" s="15">
        <v>24</v>
      </c>
      <c r="D96" s="14"/>
      <c r="E96" s="14" t="str">
        <f t="shared" ref="E96:E97" si="5">RateHelperPrefix&amp;"_"&amp;$B96&amp;$C96&amp;$D96</f>
        <v>GBP_YCSTDRH_2S24</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4" x14ac:dyDescent="0.2">
      <c r="B97" s="9" t="s">
        <v>37</v>
      </c>
      <c r="C97" s="8">
        <v>36</v>
      </c>
      <c r="D97" s="7"/>
      <c r="E97" s="7" t="str">
        <f t="shared" si="5"/>
        <v>GBP_YCSTDRH_1S36</v>
      </c>
      <c r="F97" s="6" t="e">
        <f>_xll.qlRateHelperQuoteValue($E97,Trigger)</f>
        <v>#NUM!</v>
      </c>
      <c r="G97" s="6" t="e">
        <f>_xll.qlSwapRateHelperSpread($E97,Trigger)</f>
        <v>#NUM!</v>
      </c>
      <c r="H97" s="5" t="b">
        <v>0</v>
      </c>
      <c r="I97" s="5">
        <v>40</v>
      </c>
      <c r="J97" s="5">
        <v>1</v>
      </c>
      <c r="K97" s="4" t="e">
        <f>_xll.qlRateHelperEarliestDate($E97,Trigger)</f>
        <v>#NUM!</v>
      </c>
      <c r="L97" s="3" t="e">
        <f>_xll.qlRateHelperLatestDate($E97,Trigger)</f>
        <v>#NUM!</v>
      </c>
    </row>
    <row r="98" spans="2:14" x14ac:dyDescent="0.2">
      <c r="B98" s="16" t="str">
        <f t="shared" ref="B98:B129" si="6">SwapFixedFreq</f>
        <v>SB</v>
      </c>
      <c r="C98" s="15" t="str">
        <f t="shared" ref="C98:C134" si="7">IborType</f>
        <v>6L</v>
      </c>
      <c r="D98" s="14" t="s">
        <v>36</v>
      </c>
      <c r="E98" s="14" t="str">
        <f>STD_Swaps!L6</f>
        <v>GBP_YCSTDRH_SB6L1Y#0000</v>
      </c>
      <c r="F98" s="13" t="e">
        <f>_xll.qlRateHelperQuoteValue($E98,Trigger)</f>
        <v>#NUM!</v>
      </c>
      <c r="G98" s="13">
        <f>_xll.qlSwapRateHelperSpread($E98,Trigger)</f>
        <v>0</v>
      </c>
      <c r="H98" s="12" t="b">
        <v>0</v>
      </c>
      <c r="I98" s="12">
        <v>50</v>
      </c>
      <c r="J98" s="12">
        <v>1</v>
      </c>
      <c r="K98" s="11">
        <f>_xll.qlRateHelperEarliestDate($E98,Trigger)</f>
        <v>41656</v>
      </c>
      <c r="L98" s="10">
        <f>_xll.qlRateHelperLatestDate($E98,Trigger)</f>
        <v>42023</v>
      </c>
      <c r="N98" s="17" t="e">
        <f t="shared" ref="N98:N134" si="8">IF(G98=G135,F98-F135,"--")</f>
        <v>#NUM!</v>
      </c>
    </row>
    <row r="99" spans="2:14" x14ac:dyDescent="0.2">
      <c r="B99" s="16" t="str">
        <f t="shared" si="6"/>
        <v>SB</v>
      </c>
      <c r="C99" s="15" t="str">
        <f t="shared" si="7"/>
        <v>6L</v>
      </c>
      <c r="D99" s="14" t="s">
        <v>35</v>
      </c>
      <c r="E99" s="14" t="str">
        <f>STD_Swaps!L7</f>
        <v>GBP_YCSTDRH_SB6L15M#0000</v>
      </c>
      <c r="F99" s="13" t="e">
        <f>_xll.qlRateHelperQuoteValue($E99,Trigger)</f>
        <v>#NUM!</v>
      </c>
      <c r="G99" s="13">
        <f>_xll.qlSwapRateHelperSpread($E99,Trigger)</f>
        <v>0</v>
      </c>
      <c r="H99" s="12" t="b">
        <v>0</v>
      </c>
      <c r="I99" s="12">
        <v>50</v>
      </c>
      <c r="J99" s="12">
        <v>1</v>
      </c>
      <c r="K99" s="11">
        <f>_xll.qlRateHelperEarliestDate($E99,Trigger)</f>
        <v>41656</v>
      </c>
      <c r="L99" s="10">
        <f>_xll.qlRateHelperLatestDate($E99,Trigger)</f>
        <v>42111</v>
      </c>
      <c r="N99" s="17" t="e">
        <f t="shared" si="8"/>
        <v>#NUM!</v>
      </c>
    </row>
    <row r="100" spans="2:14" x14ac:dyDescent="0.2">
      <c r="B100" s="16" t="str">
        <f t="shared" si="6"/>
        <v>SB</v>
      </c>
      <c r="C100" s="15" t="str">
        <f t="shared" si="7"/>
        <v>6L</v>
      </c>
      <c r="D100" s="14" t="s">
        <v>34</v>
      </c>
      <c r="E100" s="14" t="str">
        <f>STD_Swaps!L8</f>
        <v>GBP_YCSTDRH_SB6L18M#0000</v>
      </c>
      <c r="F100" s="13">
        <f>_xll.qlRateHelperQuoteValue($E100,Trigger)</f>
        <v>6.5249999999999996E-3</v>
      </c>
      <c r="G100" s="13">
        <f>_xll.qlSwapRateHelperSpread($E100,Trigger)</f>
        <v>0</v>
      </c>
      <c r="H100" s="12" t="b">
        <v>0</v>
      </c>
      <c r="I100" s="12">
        <v>50</v>
      </c>
      <c r="J100" s="12">
        <v>1</v>
      </c>
      <c r="K100" s="11">
        <f>_xll.qlRateHelperEarliestDate($E100,Trigger)</f>
        <v>41656</v>
      </c>
      <c r="L100" s="10">
        <f>_xll.qlRateHelperLatestDate($E100,Trigger)</f>
        <v>42202</v>
      </c>
      <c r="N100" s="17" t="e">
        <f t="shared" si="8"/>
        <v>#NUM!</v>
      </c>
    </row>
    <row r="101" spans="2:14" x14ac:dyDescent="0.2">
      <c r="B101" s="16" t="str">
        <f t="shared" si="6"/>
        <v>SB</v>
      </c>
      <c r="C101" s="15" t="str">
        <f t="shared" si="7"/>
        <v>6L</v>
      </c>
      <c r="D101" s="14" t="s">
        <v>33</v>
      </c>
      <c r="E101" s="14" t="str">
        <f>STD_Swaps!L9</f>
        <v>GBP_YCSTDRH_SB6L21M#0000</v>
      </c>
      <c r="F101" s="13" t="e">
        <f>_xll.qlRateHelperQuoteValue($E101,Trigger)</f>
        <v>#NUM!</v>
      </c>
      <c r="G101" s="13">
        <f>_xll.qlSwapRateHelperSpread($E101,Trigger)</f>
        <v>0</v>
      </c>
      <c r="H101" s="12" t="b">
        <v>0</v>
      </c>
      <c r="I101" s="12">
        <v>50</v>
      </c>
      <c r="J101" s="12">
        <v>1</v>
      </c>
      <c r="K101" s="11">
        <f>_xll.qlRateHelperEarliestDate($E101,Trigger)</f>
        <v>41656</v>
      </c>
      <c r="L101" s="10">
        <f>_xll.qlRateHelperLatestDate($E101,Trigger)</f>
        <v>42296</v>
      </c>
      <c r="N101" s="17" t="e">
        <f t="shared" si="8"/>
        <v>#NUM!</v>
      </c>
    </row>
    <row r="102" spans="2:14" x14ac:dyDescent="0.2">
      <c r="B102" s="16" t="str">
        <f t="shared" si="6"/>
        <v>SB</v>
      </c>
      <c r="C102" s="15" t="str">
        <f t="shared" si="7"/>
        <v>6L</v>
      </c>
      <c r="D102" s="14" t="s">
        <v>32</v>
      </c>
      <c r="E102" s="14" t="str">
        <f>STD_Swaps!L10</f>
        <v>GBP_YCSTDRH_SB6L2Y#0000</v>
      </c>
      <c r="F102" s="13">
        <f>_xll.qlRateHelperQuoteValue($E102,Trigger)</f>
        <v>6.6749999999999995E-3</v>
      </c>
      <c r="G102" s="13">
        <f>_xll.qlSwapRateHelperSpread($E102,Trigger)</f>
        <v>0</v>
      </c>
      <c r="H102" s="12" t="b">
        <v>0</v>
      </c>
      <c r="I102" s="12">
        <v>50</v>
      </c>
      <c r="J102" s="12">
        <v>1</v>
      </c>
      <c r="K102" s="11">
        <f>_xll.qlRateHelperEarliestDate($E102,Trigger)</f>
        <v>41656</v>
      </c>
      <c r="L102" s="10">
        <f>_xll.qlRateHelperLatestDate($E102,Trigger)</f>
        <v>42387</v>
      </c>
      <c r="N102" s="17" t="e">
        <f t="shared" si="8"/>
        <v>#NUM!</v>
      </c>
    </row>
    <row r="103" spans="2:14" x14ac:dyDescent="0.2">
      <c r="B103" s="16" t="str">
        <f t="shared" si="6"/>
        <v>SB</v>
      </c>
      <c r="C103" s="15" t="str">
        <f t="shared" si="7"/>
        <v>6L</v>
      </c>
      <c r="D103" s="14" t="s">
        <v>31</v>
      </c>
      <c r="E103" s="14" t="str">
        <f>STD_Swaps!L11</f>
        <v>GBP_YCSTDRH_SB6L3Y#0000</v>
      </c>
      <c r="F103" s="13">
        <f>_xll.qlRateHelperQuoteValue($E103,Trigger)</f>
        <v>7.3250000000000008E-3</v>
      </c>
      <c r="G103" s="13">
        <f>_xll.qlSwapRateHelperSpread($E103,Trigger)</f>
        <v>0</v>
      </c>
      <c r="H103" s="12" t="b">
        <v>1</v>
      </c>
      <c r="I103" s="12">
        <v>50</v>
      </c>
      <c r="J103" s="12">
        <v>1</v>
      </c>
      <c r="K103" s="11">
        <f>_xll.qlRateHelperEarliestDate($E103,Trigger)</f>
        <v>41656</v>
      </c>
      <c r="L103" s="10">
        <f>_xll.qlRateHelperLatestDate($E103,Trigger)</f>
        <v>42752</v>
      </c>
      <c r="N103" s="17" t="e">
        <f t="shared" si="8"/>
        <v>#NUM!</v>
      </c>
    </row>
    <row r="104" spans="2:14" x14ac:dyDescent="0.2">
      <c r="B104" s="16" t="str">
        <f t="shared" si="6"/>
        <v>SB</v>
      </c>
      <c r="C104" s="15" t="str">
        <f t="shared" si="7"/>
        <v>6L</v>
      </c>
      <c r="D104" s="14" t="s">
        <v>30</v>
      </c>
      <c r="E104" s="14" t="str">
        <f>STD_Swaps!L12</f>
        <v>GBP_YCSTDRH_SB6L4Y#0000</v>
      </c>
      <c r="F104" s="13">
        <f>_xll.qlRateHelperQuoteValue($E104,Trigger)</f>
        <v>8.4499999999999992E-3</v>
      </c>
      <c r="G104" s="13">
        <f>_xll.qlSwapRateHelperSpread($E104,Trigger)</f>
        <v>0</v>
      </c>
      <c r="H104" s="12" t="b">
        <v>1</v>
      </c>
      <c r="I104" s="12">
        <v>50</v>
      </c>
      <c r="J104" s="12">
        <v>1</v>
      </c>
      <c r="K104" s="11">
        <f>_xll.qlRateHelperEarliestDate($E104,Trigger)</f>
        <v>41656</v>
      </c>
      <c r="L104" s="10">
        <f>_xll.qlRateHelperLatestDate($E104,Trigger)</f>
        <v>43117</v>
      </c>
      <c r="N104" s="17" t="e">
        <f t="shared" si="8"/>
        <v>#NUM!</v>
      </c>
    </row>
    <row r="105" spans="2:14" x14ac:dyDescent="0.2">
      <c r="B105" s="16" t="str">
        <f t="shared" si="6"/>
        <v>SB</v>
      </c>
      <c r="C105" s="15" t="str">
        <f t="shared" si="7"/>
        <v>6L</v>
      </c>
      <c r="D105" s="14" t="s">
        <v>29</v>
      </c>
      <c r="E105" s="14" t="str">
        <f>STD_Swaps!L13</f>
        <v>GBP_YCSTDRH_SB6L5Y#0000</v>
      </c>
      <c r="F105" s="13">
        <f>_xll.qlRateHelperQuoteValue($E105,Trigger)</f>
        <v>9.9500000000000005E-3</v>
      </c>
      <c r="G105" s="13">
        <f>_xll.qlSwapRateHelperSpread($E105,Trigger)</f>
        <v>0</v>
      </c>
      <c r="H105" s="12" t="b">
        <v>1</v>
      </c>
      <c r="I105" s="12">
        <v>50</v>
      </c>
      <c r="J105" s="12">
        <v>1</v>
      </c>
      <c r="K105" s="11">
        <f>_xll.qlRateHelperEarliestDate($E105,Trigger)</f>
        <v>41656</v>
      </c>
      <c r="L105" s="10">
        <f>_xll.qlRateHelperLatestDate($E105,Trigger)</f>
        <v>43482</v>
      </c>
      <c r="N105" s="17" t="e">
        <f t="shared" si="8"/>
        <v>#NUM!</v>
      </c>
    </row>
    <row r="106" spans="2:14" x14ac:dyDescent="0.2">
      <c r="B106" s="16" t="str">
        <f t="shared" si="6"/>
        <v>SB</v>
      </c>
      <c r="C106" s="15" t="str">
        <f t="shared" si="7"/>
        <v>6L</v>
      </c>
      <c r="D106" s="14" t="s">
        <v>28</v>
      </c>
      <c r="E106" s="14" t="str">
        <f>STD_Swaps!L14</f>
        <v>GBP_YCSTDRH_SB6L6Y#0000</v>
      </c>
      <c r="F106" s="13">
        <f>_xll.qlRateHelperQuoteValue($E106,Trigger)</f>
        <v>1.1650000000000001E-2</v>
      </c>
      <c r="G106" s="13">
        <f>_xll.qlSwapRateHelperSpread($E106,Trigger)</f>
        <v>0</v>
      </c>
      <c r="H106" s="12" t="b">
        <v>1</v>
      </c>
      <c r="I106" s="12">
        <v>50</v>
      </c>
      <c r="J106" s="12">
        <v>1</v>
      </c>
      <c r="K106" s="11">
        <f>_xll.qlRateHelperEarliestDate($E106,Trigger)</f>
        <v>41656</v>
      </c>
      <c r="L106" s="10">
        <f>_xll.qlRateHelperLatestDate($E106,Trigger)</f>
        <v>43847</v>
      </c>
      <c r="N106" s="17" t="e">
        <f t="shared" si="8"/>
        <v>#NUM!</v>
      </c>
    </row>
    <row r="107" spans="2:14" x14ac:dyDescent="0.2">
      <c r="B107" s="16" t="str">
        <f t="shared" si="6"/>
        <v>SB</v>
      </c>
      <c r="C107" s="15" t="str">
        <f t="shared" si="7"/>
        <v>6L</v>
      </c>
      <c r="D107" s="14" t="s">
        <v>27</v>
      </c>
      <c r="E107" s="14" t="str">
        <f>STD_Swaps!L15</f>
        <v>GBP_YCSTDRH_SB6L7Y#0000</v>
      </c>
      <c r="F107" s="13">
        <f>_xll.qlRateHelperQuoteValue($E107,Trigger)</f>
        <v>1.3474999999999999E-2</v>
      </c>
      <c r="G107" s="13">
        <f>_xll.qlSwapRateHelperSpread($E107,Trigger)</f>
        <v>0</v>
      </c>
      <c r="H107" s="12" t="b">
        <v>1</v>
      </c>
      <c r="I107" s="12">
        <v>50</v>
      </c>
      <c r="J107" s="12">
        <v>1</v>
      </c>
      <c r="K107" s="11">
        <f>_xll.qlRateHelperEarliestDate($E107,Trigger)</f>
        <v>41656</v>
      </c>
      <c r="L107" s="10">
        <f>_xll.qlRateHelperLatestDate($E107,Trigger)</f>
        <v>44214</v>
      </c>
      <c r="N107" s="17" t="e">
        <f t="shared" si="8"/>
        <v>#NUM!</v>
      </c>
    </row>
    <row r="108" spans="2:14" x14ac:dyDescent="0.2">
      <c r="B108" s="16" t="str">
        <f t="shared" si="6"/>
        <v>SB</v>
      </c>
      <c r="C108" s="15" t="str">
        <f t="shared" si="7"/>
        <v>6L</v>
      </c>
      <c r="D108" s="14" t="s">
        <v>26</v>
      </c>
      <c r="E108" s="14" t="str">
        <f>STD_Swaps!L16</f>
        <v>GBP_YCSTDRH_SB6L8Y#0000</v>
      </c>
      <c r="F108" s="13">
        <f>_xll.qlRateHelperQuoteValue($E108,Trigger)</f>
        <v>1.5300000000000001E-2</v>
      </c>
      <c r="G108" s="13">
        <f>_xll.qlSwapRateHelperSpread($E108,Trigger)</f>
        <v>0</v>
      </c>
      <c r="H108" s="12" t="b">
        <v>1</v>
      </c>
      <c r="I108" s="12">
        <v>50</v>
      </c>
      <c r="J108" s="12">
        <v>1</v>
      </c>
      <c r="K108" s="11">
        <f>_xll.qlRateHelperEarliestDate($E108,Trigger)</f>
        <v>41656</v>
      </c>
      <c r="L108" s="10">
        <f>_xll.qlRateHelperLatestDate($E108,Trigger)</f>
        <v>44578</v>
      </c>
      <c r="N108" s="17" t="e">
        <f t="shared" si="8"/>
        <v>#NUM!</v>
      </c>
    </row>
    <row r="109" spans="2:14" x14ac:dyDescent="0.2">
      <c r="B109" s="16" t="str">
        <f t="shared" si="6"/>
        <v>SB</v>
      </c>
      <c r="C109" s="15" t="str">
        <f t="shared" si="7"/>
        <v>6L</v>
      </c>
      <c r="D109" s="14" t="s">
        <v>25</v>
      </c>
      <c r="E109" s="14" t="str">
        <f>STD_Swaps!L17</f>
        <v>GBP_YCSTDRH_SB6L9Y#0000</v>
      </c>
      <c r="F109" s="13">
        <f>_xll.qlRateHelperQuoteValue($E109,Trigger)</f>
        <v>1.7075E-2</v>
      </c>
      <c r="G109" s="13">
        <f>_xll.qlSwapRateHelperSpread($E109,Trigger)</f>
        <v>0</v>
      </c>
      <c r="H109" s="12" t="b">
        <v>1</v>
      </c>
      <c r="I109" s="12">
        <v>50</v>
      </c>
      <c r="J109" s="12">
        <v>1</v>
      </c>
      <c r="K109" s="11">
        <f>_xll.qlRateHelperEarliestDate($E109,Trigger)</f>
        <v>41656</v>
      </c>
      <c r="L109" s="10">
        <f>_xll.qlRateHelperLatestDate($E109,Trigger)</f>
        <v>44943</v>
      </c>
      <c r="N109" s="17" t="e">
        <f t="shared" si="8"/>
        <v>#NUM!</v>
      </c>
    </row>
    <row r="110" spans="2:14" x14ac:dyDescent="0.2">
      <c r="B110" s="16" t="str">
        <f t="shared" si="6"/>
        <v>SB</v>
      </c>
      <c r="C110" s="15" t="str">
        <f t="shared" si="7"/>
        <v>6L</v>
      </c>
      <c r="D110" s="14" t="s">
        <v>24</v>
      </c>
      <c r="E110" s="14" t="str">
        <f>STD_Swaps!L18</f>
        <v>GBP_YCSTDRH_SB6L10Y#0000</v>
      </c>
      <c r="F110" s="13">
        <f>_xll.qlRateHelperQuoteValue($E110,Trigger)</f>
        <v>1.8725000000000002E-2</v>
      </c>
      <c r="G110" s="13">
        <f>_xll.qlSwapRateHelperSpread($E110,Trigger)</f>
        <v>0</v>
      </c>
      <c r="H110" s="12" t="b">
        <v>1</v>
      </c>
      <c r="I110" s="12">
        <v>50</v>
      </c>
      <c r="J110" s="12">
        <v>1</v>
      </c>
      <c r="K110" s="11">
        <f>_xll.qlRateHelperEarliestDate($E110,Trigger)</f>
        <v>41656</v>
      </c>
      <c r="L110" s="10">
        <f>_xll.qlRateHelperLatestDate($E110,Trigger)</f>
        <v>45308</v>
      </c>
      <c r="N110" s="17" t="e">
        <f t="shared" si="8"/>
        <v>#NUM!</v>
      </c>
    </row>
    <row r="111" spans="2:14" x14ac:dyDescent="0.2">
      <c r="B111" s="16" t="str">
        <f t="shared" si="6"/>
        <v>SB</v>
      </c>
      <c r="C111" s="15" t="str">
        <f t="shared" si="7"/>
        <v>6L</v>
      </c>
      <c r="D111" s="14" t="s">
        <v>23</v>
      </c>
      <c r="E111" s="14" t="str">
        <f>STD_Swaps!L19</f>
        <v>GBP_YCSTDRH_SB6L11Y#0000</v>
      </c>
      <c r="F111" s="13" t="e">
        <f>_xll.qlRateHelperQuoteValue($E111,Trigger)</f>
        <v>#NUM!</v>
      </c>
      <c r="G111" s="13">
        <f>_xll.qlSwapRateHelperSpread($E111,Trigger)</f>
        <v>0</v>
      </c>
      <c r="H111" s="12" t="b">
        <v>0</v>
      </c>
      <c r="I111" s="12">
        <v>50</v>
      </c>
      <c r="J111" s="12">
        <v>1</v>
      </c>
      <c r="K111" s="11">
        <f>_xll.qlRateHelperEarliestDate($E111,Trigger)</f>
        <v>41656</v>
      </c>
      <c r="L111" s="10">
        <f>_xll.qlRateHelperLatestDate($E111,Trigger)</f>
        <v>45674</v>
      </c>
      <c r="N111" s="17" t="e">
        <f t="shared" si="8"/>
        <v>#NUM!</v>
      </c>
    </row>
    <row r="112" spans="2:14" x14ac:dyDescent="0.2">
      <c r="B112" s="16" t="str">
        <f t="shared" si="6"/>
        <v>SB</v>
      </c>
      <c r="C112" s="15" t="str">
        <f t="shared" si="7"/>
        <v>6L</v>
      </c>
      <c r="D112" s="14" t="s">
        <v>22</v>
      </c>
      <c r="E112" s="14" t="str">
        <f>STD_Swaps!L20</f>
        <v>GBP_YCSTDRH_SB6L12Y#0000</v>
      </c>
      <c r="F112" s="13">
        <f>_xll.qlRateHelperQuoteValue($E112,Trigger)</f>
        <v>2.1425E-2</v>
      </c>
      <c r="G112" s="13">
        <f>_xll.qlSwapRateHelperSpread($E112,Trigger)</f>
        <v>0</v>
      </c>
      <c r="H112" s="12" t="b">
        <v>1</v>
      </c>
      <c r="I112" s="12">
        <v>50</v>
      </c>
      <c r="J112" s="12">
        <v>1</v>
      </c>
      <c r="K112" s="11">
        <f>_xll.qlRateHelperEarliestDate($E112,Trigger)</f>
        <v>41656</v>
      </c>
      <c r="L112" s="10">
        <f>_xll.qlRateHelperLatestDate($E112,Trigger)</f>
        <v>46041</v>
      </c>
      <c r="N112" s="17" t="e">
        <f t="shared" si="8"/>
        <v>#NUM!</v>
      </c>
    </row>
    <row r="113" spans="2:14" x14ac:dyDescent="0.2">
      <c r="B113" s="16" t="str">
        <f t="shared" si="6"/>
        <v>SB</v>
      </c>
      <c r="C113" s="15" t="str">
        <f t="shared" si="7"/>
        <v>6L</v>
      </c>
      <c r="D113" s="14" t="s">
        <v>21</v>
      </c>
      <c r="E113" s="14" t="str">
        <f>STD_Swaps!L21</f>
        <v>GBP_YCSTDRH_SB6L13Y#0000</v>
      </c>
      <c r="F113" s="13" t="e">
        <f>_xll.qlRateHelperQuoteValue($E113,Trigger)</f>
        <v>#NUM!</v>
      </c>
      <c r="G113" s="13">
        <f>_xll.qlSwapRateHelperSpread($E113,Trigger)</f>
        <v>0</v>
      </c>
      <c r="H113" s="12" t="b">
        <v>0</v>
      </c>
      <c r="I113" s="12">
        <v>50</v>
      </c>
      <c r="J113" s="12">
        <v>1</v>
      </c>
      <c r="K113" s="11">
        <f>_xll.qlRateHelperEarliestDate($E113,Trigger)</f>
        <v>41656</v>
      </c>
      <c r="L113" s="10">
        <f>_xll.qlRateHelperLatestDate($E113,Trigger)</f>
        <v>46405</v>
      </c>
      <c r="N113" s="17" t="e">
        <f t="shared" si="8"/>
        <v>#NUM!</v>
      </c>
    </row>
    <row r="114" spans="2:14" x14ac:dyDescent="0.2">
      <c r="B114" s="16" t="str">
        <f t="shared" si="6"/>
        <v>SB</v>
      </c>
      <c r="C114" s="15" t="str">
        <f t="shared" si="7"/>
        <v>6L</v>
      </c>
      <c r="D114" s="14" t="s">
        <v>20</v>
      </c>
      <c r="E114" s="14" t="str">
        <f>STD_Swaps!L22</f>
        <v>GBP_YCSTDRH_SB6L14Y#0000</v>
      </c>
      <c r="F114" s="13" t="e">
        <f>_xll.qlRateHelperQuoteValue($E114,Trigger)</f>
        <v>#NUM!</v>
      </c>
      <c r="G114" s="13">
        <f>_xll.qlSwapRateHelperSpread($E114,Trigger)</f>
        <v>0</v>
      </c>
      <c r="H114" s="12" t="b">
        <v>0</v>
      </c>
      <c r="I114" s="12">
        <v>50</v>
      </c>
      <c r="J114" s="12">
        <v>1</v>
      </c>
      <c r="K114" s="11">
        <f>_xll.qlRateHelperEarliestDate($E114,Trigger)</f>
        <v>41656</v>
      </c>
      <c r="L114" s="10">
        <f>_xll.qlRateHelperLatestDate($E114,Trigger)</f>
        <v>46769</v>
      </c>
      <c r="N114" s="17" t="e">
        <f t="shared" si="8"/>
        <v>#NUM!</v>
      </c>
    </row>
    <row r="115" spans="2:14" x14ac:dyDescent="0.2">
      <c r="B115" s="16" t="str">
        <f t="shared" si="6"/>
        <v>SB</v>
      </c>
      <c r="C115" s="15" t="str">
        <f t="shared" si="7"/>
        <v>6L</v>
      </c>
      <c r="D115" s="14" t="s">
        <v>19</v>
      </c>
      <c r="E115" s="14" t="str">
        <f>STD_Swaps!L23</f>
        <v>GBP_YCSTDRH_SB6L15Y#0000</v>
      </c>
      <c r="F115" s="13">
        <f>_xll.qlRateHelperQuoteValue($E115,Trigger)</f>
        <v>2.4324999999999999E-2</v>
      </c>
      <c r="G115" s="13">
        <f>_xll.qlSwapRateHelperSpread($E115,Trigger)</f>
        <v>0</v>
      </c>
      <c r="H115" s="12" t="b">
        <v>1</v>
      </c>
      <c r="I115" s="12">
        <v>50</v>
      </c>
      <c r="J115" s="12">
        <v>1</v>
      </c>
      <c r="K115" s="11">
        <f>_xll.qlRateHelperEarliestDate($E115,Trigger)</f>
        <v>41656</v>
      </c>
      <c r="L115" s="10">
        <f>_xll.qlRateHelperLatestDate($E115,Trigger)</f>
        <v>47135</v>
      </c>
      <c r="N115" s="17" t="e">
        <f t="shared" si="8"/>
        <v>#NUM!</v>
      </c>
    </row>
    <row r="116" spans="2:14" x14ac:dyDescent="0.2">
      <c r="B116" s="16" t="str">
        <f t="shared" si="6"/>
        <v>SB</v>
      </c>
      <c r="C116" s="15" t="str">
        <f t="shared" si="7"/>
        <v>6L</v>
      </c>
      <c r="D116" s="14" t="s">
        <v>18</v>
      </c>
      <c r="E116" s="14" t="str">
        <f>STD_Swaps!L24</f>
        <v>GBP_YCSTDRH_SB6L16Y#0000</v>
      </c>
      <c r="F116" s="13" t="e">
        <f>_xll.qlRateHelperQuoteValue($E116,Trigger)</f>
        <v>#NUM!</v>
      </c>
      <c r="G116" s="13">
        <f>_xll.qlSwapRateHelperSpread($E116,Trigger)</f>
        <v>0</v>
      </c>
      <c r="H116" s="12" t="b">
        <v>0</v>
      </c>
      <c r="I116" s="12">
        <v>50</v>
      </c>
      <c r="J116" s="12">
        <v>1</v>
      </c>
      <c r="K116" s="11">
        <f>_xll.qlRateHelperEarliestDate($E116,Trigger)</f>
        <v>41656</v>
      </c>
      <c r="L116" s="10">
        <f>_xll.qlRateHelperLatestDate($E116,Trigger)</f>
        <v>47500</v>
      </c>
      <c r="N116" s="17" t="e">
        <f t="shared" si="8"/>
        <v>#NUM!</v>
      </c>
    </row>
    <row r="117" spans="2:14" x14ac:dyDescent="0.2">
      <c r="B117" s="16" t="str">
        <f t="shared" si="6"/>
        <v>SB</v>
      </c>
      <c r="C117" s="15" t="str">
        <f t="shared" si="7"/>
        <v>6L</v>
      </c>
      <c r="D117" s="14" t="s">
        <v>17</v>
      </c>
      <c r="E117" s="14" t="str">
        <f>STD_Swaps!L25</f>
        <v>GBP_YCSTDRH_SB6L17Y#0000</v>
      </c>
      <c r="F117" s="13" t="e">
        <f>_xll.qlRateHelperQuoteValue($E117,Trigger)</f>
        <v>#NUM!</v>
      </c>
      <c r="G117" s="13">
        <f>_xll.qlSwapRateHelperSpread($E117,Trigger)</f>
        <v>0</v>
      </c>
      <c r="H117" s="12" t="b">
        <v>0</v>
      </c>
      <c r="I117" s="12">
        <v>50</v>
      </c>
      <c r="J117" s="12">
        <v>1</v>
      </c>
      <c r="K117" s="11">
        <f>_xll.qlRateHelperEarliestDate($E117,Trigger)</f>
        <v>41656</v>
      </c>
      <c r="L117" s="10">
        <f>_xll.qlRateHelperLatestDate($E117,Trigger)</f>
        <v>47865</v>
      </c>
      <c r="N117" s="17" t="e">
        <f t="shared" si="8"/>
        <v>#NUM!</v>
      </c>
    </row>
    <row r="118" spans="2:14" x14ac:dyDescent="0.2">
      <c r="B118" s="16" t="str">
        <f t="shared" si="6"/>
        <v>SB</v>
      </c>
      <c r="C118" s="15" t="str">
        <f t="shared" si="7"/>
        <v>6L</v>
      </c>
      <c r="D118" s="14" t="s">
        <v>16</v>
      </c>
      <c r="E118" s="14" t="str">
        <f>STD_Swaps!L26</f>
        <v>GBP_YCSTDRH_SB6L18Y#0000</v>
      </c>
      <c r="F118" s="13" t="e">
        <f>_xll.qlRateHelperQuoteValue($E118,Trigger)</f>
        <v>#NUM!</v>
      </c>
      <c r="G118" s="13">
        <f>_xll.qlSwapRateHelperSpread($E118,Trigger)</f>
        <v>0</v>
      </c>
      <c r="H118" s="12" t="b">
        <v>0</v>
      </c>
      <c r="I118" s="12">
        <v>50</v>
      </c>
      <c r="J118" s="12">
        <v>1</v>
      </c>
      <c r="K118" s="11">
        <f>_xll.qlRateHelperEarliestDate($E118,Trigger)</f>
        <v>41656</v>
      </c>
      <c r="L118" s="10">
        <f>_xll.qlRateHelperLatestDate($E118,Trigger)</f>
        <v>48232</v>
      </c>
      <c r="N118" s="17" t="e">
        <f t="shared" si="8"/>
        <v>#NUM!</v>
      </c>
    </row>
    <row r="119" spans="2:14" x14ac:dyDescent="0.2">
      <c r="B119" s="16" t="str">
        <f t="shared" si="6"/>
        <v>SB</v>
      </c>
      <c r="C119" s="15" t="str">
        <f t="shared" si="7"/>
        <v>6L</v>
      </c>
      <c r="D119" s="14" t="s">
        <v>15</v>
      </c>
      <c r="E119" s="14" t="str">
        <f>STD_Swaps!L27</f>
        <v>GBP_YCSTDRH_SB6L19Y#0000</v>
      </c>
      <c r="F119" s="13" t="e">
        <f>_xll.qlRateHelperQuoteValue($E119,Trigger)</f>
        <v>#NUM!</v>
      </c>
      <c r="G119" s="13">
        <f>_xll.qlSwapRateHelperSpread($E119,Trigger)</f>
        <v>0</v>
      </c>
      <c r="H119" s="12" t="b">
        <v>0</v>
      </c>
      <c r="I119" s="12">
        <v>50</v>
      </c>
      <c r="J119" s="12">
        <v>1</v>
      </c>
      <c r="K119" s="11">
        <f>_xll.qlRateHelperEarliestDate($E119,Trigger)</f>
        <v>41656</v>
      </c>
      <c r="L119" s="10">
        <f>_xll.qlRateHelperLatestDate($E119,Trigger)</f>
        <v>48596</v>
      </c>
      <c r="N119" s="17" t="e">
        <f t="shared" si="8"/>
        <v>#NUM!</v>
      </c>
    </row>
    <row r="120" spans="2:14" x14ac:dyDescent="0.2">
      <c r="B120" s="16" t="str">
        <f t="shared" si="6"/>
        <v>SB</v>
      </c>
      <c r="C120" s="15" t="str">
        <f t="shared" si="7"/>
        <v>6L</v>
      </c>
      <c r="D120" s="14" t="s">
        <v>14</v>
      </c>
      <c r="E120" s="14" t="str">
        <f>STD_Swaps!L28</f>
        <v>GBP_YCSTDRH_SB6L20Y#0000</v>
      </c>
      <c r="F120" s="13">
        <f>_xll.qlRateHelperQuoteValue($E120,Trigger)</f>
        <v>2.7300000000000001E-2</v>
      </c>
      <c r="G120" s="13">
        <f>_xll.qlSwapRateHelperSpread($E120,Trigger)</f>
        <v>0</v>
      </c>
      <c r="H120" s="12" t="b">
        <v>1</v>
      </c>
      <c r="I120" s="12">
        <v>50</v>
      </c>
      <c r="J120" s="12">
        <v>1</v>
      </c>
      <c r="K120" s="11">
        <f>_xll.qlRateHelperEarliestDate($E120,Trigger)</f>
        <v>41656</v>
      </c>
      <c r="L120" s="10">
        <f>_xll.qlRateHelperLatestDate($E120,Trigger)</f>
        <v>48961</v>
      </c>
      <c r="N120" s="17" t="e">
        <f t="shared" si="8"/>
        <v>#NUM!</v>
      </c>
    </row>
    <row r="121" spans="2:14" x14ac:dyDescent="0.2">
      <c r="B121" s="16" t="str">
        <f t="shared" si="6"/>
        <v>SB</v>
      </c>
      <c r="C121" s="15" t="str">
        <f t="shared" si="7"/>
        <v>6L</v>
      </c>
      <c r="D121" s="14" t="s">
        <v>13</v>
      </c>
      <c r="E121" s="14" t="str">
        <f>STD_Swaps!L29</f>
        <v>GBP_YCSTDRH_SB6L21Y#0000</v>
      </c>
      <c r="F121" s="13" t="e">
        <f>_xll.qlRateHelperQuoteValue($E121,Trigger)</f>
        <v>#NUM!</v>
      </c>
      <c r="G121" s="13">
        <f>_xll.qlSwapRateHelperSpread($E121,Trigger)</f>
        <v>0</v>
      </c>
      <c r="H121" s="12" t="b">
        <v>0</v>
      </c>
      <c r="I121" s="12">
        <v>50</v>
      </c>
      <c r="J121" s="12">
        <v>1</v>
      </c>
      <c r="K121" s="11">
        <f>_xll.qlRateHelperEarliestDate($E121,Trigger)</f>
        <v>41656</v>
      </c>
      <c r="L121" s="10">
        <f>_xll.qlRateHelperLatestDate($E121,Trigger)</f>
        <v>49326</v>
      </c>
      <c r="N121" s="17" t="e">
        <f t="shared" si="8"/>
        <v>#NUM!</v>
      </c>
    </row>
    <row r="122" spans="2:14" x14ac:dyDescent="0.2">
      <c r="B122" s="16" t="str">
        <f t="shared" si="6"/>
        <v>SB</v>
      </c>
      <c r="C122" s="15" t="str">
        <f t="shared" si="7"/>
        <v>6L</v>
      </c>
      <c r="D122" s="14" t="s">
        <v>12</v>
      </c>
      <c r="E122" s="14" t="str">
        <f>STD_Swaps!L30</f>
        <v>GBP_YCSTDRH_SB6L22Y#0000</v>
      </c>
      <c r="F122" s="13" t="e">
        <f>_xll.qlRateHelperQuoteValue($E122,Trigger)</f>
        <v>#NUM!</v>
      </c>
      <c r="G122" s="13">
        <f>_xll.qlSwapRateHelperSpread($E122,Trigger)</f>
        <v>0</v>
      </c>
      <c r="H122" s="12" t="b">
        <v>0</v>
      </c>
      <c r="I122" s="12">
        <v>50</v>
      </c>
      <c r="J122" s="12">
        <v>1</v>
      </c>
      <c r="K122" s="11">
        <f>_xll.qlRateHelperEarliestDate($E122,Trigger)</f>
        <v>41656</v>
      </c>
      <c r="L122" s="10">
        <f>_xll.qlRateHelperLatestDate($E122,Trigger)</f>
        <v>49691</v>
      </c>
      <c r="N122" s="17" t="e">
        <f t="shared" si="8"/>
        <v>#NUM!</v>
      </c>
    </row>
    <row r="123" spans="2:14" x14ac:dyDescent="0.2">
      <c r="B123" s="16" t="str">
        <f t="shared" si="6"/>
        <v>SB</v>
      </c>
      <c r="C123" s="15" t="str">
        <f t="shared" si="7"/>
        <v>6L</v>
      </c>
      <c r="D123" s="14" t="s">
        <v>11</v>
      </c>
      <c r="E123" s="14" t="str">
        <f>STD_Swaps!L31</f>
        <v>GBP_YCSTDRH_SB6L23Y#0000</v>
      </c>
      <c r="F123" s="13" t="e">
        <f>_xll.qlRateHelperQuoteValue($E123,Trigger)</f>
        <v>#NUM!</v>
      </c>
      <c r="G123" s="13">
        <f>_xll.qlSwapRateHelperSpread($E123,Trigger)</f>
        <v>0</v>
      </c>
      <c r="H123" s="12" t="b">
        <v>0</v>
      </c>
      <c r="I123" s="12">
        <v>50</v>
      </c>
      <c r="J123" s="12">
        <v>1</v>
      </c>
      <c r="K123" s="11">
        <f>_xll.qlRateHelperEarliestDate($E123,Trigger)</f>
        <v>41656</v>
      </c>
      <c r="L123" s="10">
        <f>_xll.qlRateHelperLatestDate($E123,Trigger)</f>
        <v>50059</v>
      </c>
      <c r="N123" s="17" t="e">
        <f t="shared" si="8"/>
        <v>#NUM!</v>
      </c>
    </row>
    <row r="124" spans="2:14" x14ac:dyDescent="0.2">
      <c r="B124" s="16" t="str">
        <f t="shared" si="6"/>
        <v>SB</v>
      </c>
      <c r="C124" s="15" t="str">
        <f t="shared" si="7"/>
        <v>6L</v>
      </c>
      <c r="D124" s="14" t="s">
        <v>10</v>
      </c>
      <c r="E124" s="14" t="str">
        <f>STD_Swaps!L32</f>
        <v>GBP_YCSTDRH_SB6L24Y#0000</v>
      </c>
      <c r="F124" s="13" t="e">
        <f>_xll.qlRateHelperQuoteValue($E124,Trigger)</f>
        <v>#NUM!</v>
      </c>
      <c r="G124" s="13">
        <f>_xll.qlSwapRateHelperSpread($E124,Trigger)</f>
        <v>0</v>
      </c>
      <c r="H124" s="12" t="b">
        <v>0</v>
      </c>
      <c r="I124" s="12">
        <v>50</v>
      </c>
      <c r="J124" s="12">
        <v>1</v>
      </c>
      <c r="K124" s="11">
        <f>_xll.qlRateHelperEarliestDate($E124,Trigger)</f>
        <v>41656</v>
      </c>
      <c r="L124" s="10">
        <f>_xll.qlRateHelperLatestDate($E124,Trigger)</f>
        <v>50423</v>
      </c>
      <c r="N124" s="17" t="e">
        <f t="shared" si="8"/>
        <v>#NUM!</v>
      </c>
    </row>
    <row r="125" spans="2:14" x14ac:dyDescent="0.2">
      <c r="B125" s="16" t="str">
        <f t="shared" si="6"/>
        <v>SB</v>
      </c>
      <c r="C125" s="15" t="str">
        <f t="shared" si="7"/>
        <v>6L</v>
      </c>
      <c r="D125" s="14" t="s">
        <v>9</v>
      </c>
      <c r="E125" s="14" t="str">
        <f>STD_Swaps!L33</f>
        <v>GBP_YCSTDRH_SB6L25Y#0000</v>
      </c>
      <c r="F125" s="13">
        <f>_xll.qlRateHelperQuoteValue($E125,Trigger)</f>
        <v>2.8875000000000001E-2</v>
      </c>
      <c r="G125" s="13">
        <f>_xll.qlSwapRateHelperSpread($E125,Trigger)</f>
        <v>0</v>
      </c>
      <c r="H125" s="12" t="b">
        <v>1</v>
      </c>
      <c r="I125" s="12">
        <v>50</v>
      </c>
      <c r="J125" s="12">
        <v>1</v>
      </c>
      <c r="K125" s="11">
        <f>_xll.qlRateHelperEarliestDate($E125,Trigger)</f>
        <v>41656</v>
      </c>
      <c r="L125" s="10">
        <f>_xll.qlRateHelperLatestDate($E125,Trigger)</f>
        <v>50787</v>
      </c>
      <c r="N125" s="17" t="e">
        <f t="shared" si="8"/>
        <v>#NUM!</v>
      </c>
    </row>
    <row r="126" spans="2:14" x14ac:dyDescent="0.2">
      <c r="B126" s="16" t="str">
        <f t="shared" si="6"/>
        <v>SB</v>
      </c>
      <c r="C126" s="15" t="str">
        <f t="shared" si="7"/>
        <v>6L</v>
      </c>
      <c r="D126" s="14" t="s">
        <v>8</v>
      </c>
      <c r="E126" s="14" t="str">
        <f>STD_Swaps!L34</f>
        <v>GBP_YCSTDRH_SB6L26Y#0000</v>
      </c>
      <c r="F126" s="13" t="e">
        <f>_xll.qlRateHelperQuoteValue($E126,Trigger)</f>
        <v>#NUM!</v>
      </c>
      <c r="G126" s="13">
        <f>_xll.qlSwapRateHelperSpread($E126,Trigger)</f>
        <v>0</v>
      </c>
      <c r="H126" s="12" t="b">
        <v>0</v>
      </c>
      <c r="I126" s="12">
        <v>50</v>
      </c>
      <c r="J126" s="12">
        <v>1</v>
      </c>
      <c r="K126" s="11">
        <f>_xll.qlRateHelperEarliestDate($E126,Trigger)</f>
        <v>41656</v>
      </c>
      <c r="L126" s="10">
        <f>_xll.qlRateHelperLatestDate($E126,Trigger)</f>
        <v>51152</v>
      </c>
      <c r="N126" s="17" t="e">
        <f t="shared" si="8"/>
        <v>#NUM!</v>
      </c>
    </row>
    <row r="127" spans="2:14" x14ac:dyDescent="0.2">
      <c r="B127" s="16" t="str">
        <f t="shared" si="6"/>
        <v>SB</v>
      </c>
      <c r="C127" s="15" t="str">
        <f t="shared" si="7"/>
        <v>6L</v>
      </c>
      <c r="D127" s="14" t="s">
        <v>7</v>
      </c>
      <c r="E127" s="14" t="str">
        <f>STD_Swaps!L35</f>
        <v>GBP_YCSTDRH_SB6L27Y#0000</v>
      </c>
      <c r="F127" s="13" t="e">
        <f>_xll.qlRateHelperQuoteValue($E127,Trigger)</f>
        <v>#NUM!</v>
      </c>
      <c r="G127" s="13">
        <f>_xll.qlSwapRateHelperSpread($E127,Trigger)</f>
        <v>0</v>
      </c>
      <c r="H127" s="12" t="b">
        <v>0</v>
      </c>
      <c r="I127" s="12">
        <v>50</v>
      </c>
      <c r="J127" s="12">
        <v>1</v>
      </c>
      <c r="K127" s="11">
        <f>_xll.qlRateHelperEarliestDate($E127,Trigger)</f>
        <v>41656</v>
      </c>
      <c r="L127" s="10">
        <f>_xll.qlRateHelperLatestDate($E127,Trigger)</f>
        <v>51518</v>
      </c>
      <c r="N127" s="17" t="e">
        <f t="shared" si="8"/>
        <v>#NUM!</v>
      </c>
    </row>
    <row r="128" spans="2:14" x14ac:dyDescent="0.2">
      <c r="B128" s="16" t="str">
        <f t="shared" si="6"/>
        <v>SB</v>
      </c>
      <c r="C128" s="15" t="str">
        <f t="shared" si="7"/>
        <v>6L</v>
      </c>
      <c r="D128" s="14" t="s">
        <v>6</v>
      </c>
      <c r="E128" s="14" t="str">
        <f>STD_Swaps!L36</f>
        <v>GBP_YCSTDRH_SB6L28Y#0000</v>
      </c>
      <c r="F128" s="13" t="e">
        <f>_xll.qlRateHelperQuoteValue($E128,Trigger)</f>
        <v>#NUM!</v>
      </c>
      <c r="G128" s="13">
        <f>_xll.qlSwapRateHelperSpread($E128,Trigger)</f>
        <v>0</v>
      </c>
      <c r="H128" s="12" t="b">
        <v>0</v>
      </c>
      <c r="I128" s="12">
        <v>50</v>
      </c>
      <c r="J128" s="12">
        <v>1</v>
      </c>
      <c r="K128" s="11">
        <f>_xll.qlRateHelperEarliestDate($E128,Trigger)</f>
        <v>41656</v>
      </c>
      <c r="L128" s="10">
        <f>_xll.qlRateHelperLatestDate($E128,Trigger)</f>
        <v>51883</v>
      </c>
      <c r="N128" s="17" t="e">
        <f t="shared" si="8"/>
        <v>#NUM!</v>
      </c>
    </row>
    <row r="129" spans="2:14" x14ac:dyDescent="0.2">
      <c r="B129" s="16" t="str">
        <f t="shared" si="6"/>
        <v>SB</v>
      </c>
      <c r="C129" s="15" t="str">
        <f t="shared" si="7"/>
        <v>6L</v>
      </c>
      <c r="D129" s="14" t="s">
        <v>5</v>
      </c>
      <c r="E129" s="14" t="str">
        <f>STD_Swaps!L37</f>
        <v>GBP_YCSTDRH_SB6L29Y#0000</v>
      </c>
      <c r="F129" s="13" t="e">
        <f>_xll.qlRateHelperQuoteValue($E129,Trigger)</f>
        <v>#NUM!</v>
      </c>
      <c r="G129" s="13">
        <f>_xll.qlSwapRateHelperSpread($E129,Trigger)</f>
        <v>0</v>
      </c>
      <c r="H129" s="12" t="b">
        <v>0</v>
      </c>
      <c r="I129" s="12">
        <v>50</v>
      </c>
      <c r="J129" s="12">
        <v>1</v>
      </c>
      <c r="K129" s="11">
        <f>_xll.qlRateHelperEarliestDate($E129,Trigger)</f>
        <v>41656</v>
      </c>
      <c r="L129" s="10">
        <f>_xll.qlRateHelperLatestDate($E129,Trigger)</f>
        <v>52250</v>
      </c>
      <c r="N129" s="17" t="e">
        <f t="shared" si="8"/>
        <v>#NUM!</v>
      </c>
    </row>
    <row r="130" spans="2:14" x14ac:dyDescent="0.2">
      <c r="B130" s="16" t="str">
        <f t="shared" ref="B130:B161" si="9">SwapFixedFreq</f>
        <v>SB</v>
      </c>
      <c r="C130" s="15" t="str">
        <f t="shared" si="7"/>
        <v>6L</v>
      </c>
      <c r="D130" s="14" t="s">
        <v>4</v>
      </c>
      <c r="E130" s="14" t="str">
        <f>STD_Swaps!L38</f>
        <v>GBP_YCSTDRH_SB6L30Y#0000</v>
      </c>
      <c r="F130" s="13">
        <f>_xll.qlRateHelperQuoteValue($E130,Trigger)</f>
        <v>2.9575000000000001E-2</v>
      </c>
      <c r="G130" s="13">
        <f>_xll.qlSwapRateHelperSpread($E130,Trigger)</f>
        <v>0</v>
      </c>
      <c r="H130" s="12" t="b">
        <v>1</v>
      </c>
      <c r="I130" s="12">
        <v>50</v>
      </c>
      <c r="J130" s="12">
        <v>1</v>
      </c>
      <c r="K130" s="11">
        <f>_xll.qlRateHelperEarliestDate($E130,Trigger)</f>
        <v>41656</v>
      </c>
      <c r="L130" s="10">
        <f>_xll.qlRateHelperLatestDate($E130,Trigger)</f>
        <v>52614</v>
      </c>
      <c r="N130" s="17" t="e">
        <f t="shared" si="8"/>
        <v>#NUM!</v>
      </c>
    </row>
    <row r="131" spans="2:14" x14ac:dyDescent="0.2">
      <c r="B131" s="16" t="str">
        <f t="shared" si="9"/>
        <v>SB</v>
      </c>
      <c r="C131" s="15" t="str">
        <f t="shared" si="7"/>
        <v>6L</v>
      </c>
      <c r="D131" s="14" t="s">
        <v>3</v>
      </c>
      <c r="E131" s="14" t="str">
        <f>STD_Swaps!L39</f>
        <v>GBP_YCSTDRH_SB6L35Y#0000</v>
      </c>
      <c r="F131" s="13" t="e">
        <f>_xll.qlRateHelperQuoteValue($E131,Trigger)</f>
        <v>#NUM!</v>
      </c>
      <c r="G131" s="13">
        <f>_xll.qlSwapRateHelperSpread($E131,Trigger)</f>
        <v>0</v>
      </c>
      <c r="H131" s="12" t="b">
        <v>0</v>
      </c>
      <c r="I131" s="12">
        <v>50</v>
      </c>
      <c r="J131" s="12">
        <v>1</v>
      </c>
      <c r="K131" s="11">
        <f>_xll.qlRateHelperEarliestDate($E131,Trigger)</f>
        <v>41656</v>
      </c>
      <c r="L131" s="10">
        <f>_xll.qlRateHelperLatestDate($E131,Trigger)</f>
        <v>54441</v>
      </c>
      <c r="N131" s="17" t="e">
        <f t="shared" si="8"/>
        <v>#NUM!</v>
      </c>
    </row>
    <row r="132" spans="2:14" x14ac:dyDescent="0.2">
      <c r="B132" s="16" t="str">
        <f t="shared" si="9"/>
        <v>SB</v>
      </c>
      <c r="C132" s="15" t="str">
        <f t="shared" si="7"/>
        <v>6L</v>
      </c>
      <c r="D132" s="14" t="s">
        <v>2</v>
      </c>
      <c r="E132" s="14" t="str">
        <f>STD_Swaps!L40</f>
        <v>GBP_YCSTDRH_SB6L40Y#0000</v>
      </c>
      <c r="F132" s="13">
        <f>_xll.qlRateHelperQuoteValue($E132,Trigger)</f>
        <v>3.0374999999999999E-2</v>
      </c>
      <c r="G132" s="13">
        <f>_xll.qlSwapRateHelperSpread($E132,Trigger)</f>
        <v>0</v>
      </c>
      <c r="H132" s="12" t="b">
        <v>1</v>
      </c>
      <c r="I132" s="12">
        <v>50</v>
      </c>
      <c r="J132" s="12">
        <v>1</v>
      </c>
      <c r="K132" s="11">
        <f>_xll.qlRateHelperEarliestDate($E132,Trigger)</f>
        <v>41656</v>
      </c>
      <c r="L132" s="10">
        <f>_xll.qlRateHelperLatestDate($E132,Trigger)</f>
        <v>56268</v>
      </c>
      <c r="N132" s="17" t="e">
        <f t="shared" si="8"/>
        <v>#NUM!</v>
      </c>
    </row>
    <row r="133" spans="2:14" x14ac:dyDescent="0.2">
      <c r="B133" s="16" t="str">
        <f t="shared" si="9"/>
        <v>SB</v>
      </c>
      <c r="C133" s="15" t="str">
        <f t="shared" si="7"/>
        <v>6L</v>
      </c>
      <c r="D133" s="14" t="s">
        <v>1</v>
      </c>
      <c r="E133" s="14" t="str">
        <f>STD_Swaps!L41</f>
        <v>GBP_YCSTDRH_SB6L50Y#0000</v>
      </c>
      <c r="F133" s="13">
        <f>_xll.qlRateHelperQuoteValue($E133,Trigger)</f>
        <v>3.0550000000000001E-2</v>
      </c>
      <c r="G133" s="13">
        <f>_xll.qlSwapRateHelperSpread($E133,Trigger)</f>
        <v>0</v>
      </c>
      <c r="H133" s="12" t="b">
        <v>1</v>
      </c>
      <c r="I133" s="12">
        <v>50</v>
      </c>
      <c r="J133" s="12">
        <v>1</v>
      </c>
      <c r="K133" s="11">
        <f>_xll.qlRateHelperEarliestDate($E133,Trigger)</f>
        <v>41656</v>
      </c>
      <c r="L133" s="10">
        <f>_xll.qlRateHelperLatestDate($E133,Trigger)</f>
        <v>59918</v>
      </c>
      <c r="N133" s="17" t="e">
        <f t="shared" si="8"/>
        <v>#NUM!</v>
      </c>
    </row>
    <row r="134" spans="2:14" x14ac:dyDescent="0.2">
      <c r="B134" s="9" t="str">
        <f t="shared" si="9"/>
        <v>SB</v>
      </c>
      <c r="C134" s="8" t="str">
        <f t="shared" si="7"/>
        <v>6L</v>
      </c>
      <c r="D134" s="7" t="s">
        <v>0</v>
      </c>
      <c r="E134" s="7" t="str">
        <f>STD_Swaps!L42</f>
        <v>GBP_YCSTDRH_SB6L60Y#0000</v>
      </c>
      <c r="F134" s="6">
        <f>_xll.qlRateHelperQuoteValue($E134,Trigger)</f>
        <v>3.0800000000000001E-2</v>
      </c>
      <c r="G134" s="6">
        <f>_xll.qlSwapRateHelperSpread($E134,Trigger)</f>
        <v>0</v>
      </c>
      <c r="H134" s="5" t="b">
        <v>1</v>
      </c>
      <c r="I134" s="5">
        <v>50</v>
      </c>
      <c r="J134" s="5">
        <v>1</v>
      </c>
      <c r="K134" s="4">
        <f>_xll.qlRateHelperEarliestDate($E134,Trigger)</f>
        <v>41656</v>
      </c>
      <c r="L134" s="3">
        <f>_xll.qlRateHelperLatestDate($E134,Trigger)</f>
        <v>63571</v>
      </c>
      <c r="N134" s="17" t="e">
        <f t="shared" si="8"/>
        <v>#NUM!</v>
      </c>
    </row>
    <row r="135" spans="2:14" x14ac:dyDescent="0.2">
      <c r="B135" s="16" t="str">
        <f t="shared" si="9"/>
        <v>SB</v>
      </c>
      <c r="C135" s="15" t="str">
        <f t="shared" ref="C135:C171" si="10">IborType&amp;"BASIS"</f>
        <v>6LBASIS</v>
      </c>
      <c r="D135" s="14" t="s">
        <v>36</v>
      </c>
      <c r="E135" s="14" t="str">
        <f t="shared" ref="E135:E159" si="11">RateHelperPrefix&amp;"_"&amp;$B135&amp;$C135&amp;$D135</f>
        <v>GBP_YCSTDRH_SB6LBASIS1Y</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4" x14ac:dyDescent="0.2">
      <c r="B136" s="16" t="str">
        <f t="shared" si="9"/>
        <v>SB</v>
      </c>
      <c r="C136" s="15" t="str">
        <f t="shared" si="10"/>
        <v>6LBASIS</v>
      </c>
      <c r="D136" s="14" t="s">
        <v>35</v>
      </c>
      <c r="E136" s="14" t="str">
        <f t="shared" si="11"/>
        <v>GBP_YCSTDRH_SB6LBASIS15M</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4" x14ac:dyDescent="0.2">
      <c r="B137" s="16" t="str">
        <f t="shared" si="9"/>
        <v>SB</v>
      </c>
      <c r="C137" s="15" t="str">
        <f t="shared" si="10"/>
        <v>6LBASIS</v>
      </c>
      <c r="D137" s="14" t="s">
        <v>34</v>
      </c>
      <c r="E137" s="14" t="str">
        <f t="shared" si="11"/>
        <v>GBP_YCSTDRH_SB6LBASIS18M</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9"/>
        <v>SB</v>
      </c>
      <c r="C138" s="15" t="str">
        <f t="shared" si="10"/>
        <v>6LBASIS</v>
      </c>
      <c r="D138" s="14" t="s">
        <v>33</v>
      </c>
      <c r="E138" s="14" t="str">
        <f t="shared" si="11"/>
        <v>GBP_YCSTDRH_SB6LBASIS21M</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9"/>
        <v>SB</v>
      </c>
      <c r="C139" s="15" t="str">
        <f t="shared" si="10"/>
        <v>6LBASIS</v>
      </c>
      <c r="D139" s="14" t="s">
        <v>32</v>
      </c>
      <c r="E139" s="14" t="str">
        <f t="shared" si="11"/>
        <v>GBP_YCSTDRH_SB6LBASIS2Y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9"/>
        <v>SB</v>
      </c>
      <c r="C140" s="15" t="str">
        <f t="shared" si="10"/>
        <v>6LBASIS</v>
      </c>
      <c r="D140" s="14" t="s">
        <v>31</v>
      </c>
      <c r="E140" s="14" t="str">
        <f t="shared" si="11"/>
        <v>GBP_YCSTDRH_SB6LBASIS3Y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9"/>
        <v>SB</v>
      </c>
      <c r="C141" s="15" t="str">
        <f t="shared" si="10"/>
        <v>6LBASIS</v>
      </c>
      <c r="D141" s="14" t="s">
        <v>30</v>
      </c>
      <c r="E141" s="14" t="str">
        <f t="shared" si="11"/>
        <v>GBP_YCSTDRH_SB6LBASIS4Y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9"/>
        <v>SB</v>
      </c>
      <c r="C142" s="15" t="str">
        <f t="shared" si="10"/>
        <v>6LBASIS</v>
      </c>
      <c r="D142" s="14" t="s">
        <v>29</v>
      </c>
      <c r="E142" s="14" t="str">
        <f t="shared" si="11"/>
        <v>GBP_YCSTDRH_SB6LBASIS5Y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9"/>
        <v>SB</v>
      </c>
      <c r="C143" s="15" t="str">
        <f t="shared" si="10"/>
        <v>6LBASIS</v>
      </c>
      <c r="D143" s="14" t="s">
        <v>28</v>
      </c>
      <c r="E143" s="14" t="str">
        <f t="shared" si="11"/>
        <v>GBP_YCSTDRH_SB6LBASIS6Y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9"/>
        <v>SB</v>
      </c>
      <c r="C144" s="15" t="str">
        <f t="shared" si="10"/>
        <v>6LBASIS</v>
      </c>
      <c r="D144" s="14" t="s">
        <v>27</v>
      </c>
      <c r="E144" s="14" t="str">
        <f t="shared" si="11"/>
        <v>GBP_YCSTDRH_SB6LBASIS7Y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9"/>
        <v>SB</v>
      </c>
      <c r="C145" s="15" t="str">
        <f t="shared" si="10"/>
        <v>6LBASIS</v>
      </c>
      <c r="D145" s="14" t="s">
        <v>26</v>
      </c>
      <c r="E145" s="14" t="str">
        <f t="shared" si="11"/>
        <v>GBP_YCSTDRH_SB6LBASIS8Y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9"/>
        <v>SB</v>
      </c>
      <c r="C146" s="15" t="str">
        <f t="shared" si="10"/>
        <v>6LBASIS</v>
      </c>
      <c r="D146" s="14" t="s">
        <v>25</v>
      </c>
      <c r="E146" s="14" t="str">
        <f t="shared" si="11"/>
        <v>GBP_YCSTDRH_SB6LBASIS9Y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9"/>
        <v>SB</v>
      </c>
      <c r="C147" s="15" t="str">
        <f t="shared" si="10"/>
        <v>6LBASIS</v>
      </c>
      <c r="D147" s="14" t="s">
        <v>24</v>
      </c>
      <c r="E147" s="14" t="str">
        <f t="shared" si="11"/>
        <v>GBP_YCSTDRH_SB6LBASIS10Y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9"/>
        <v>SB</v>
      </c>
      <c r="C148" s="15" t="str">
        <f t="shared" si="10"/>
        <v>6LBASIS</v>
      </c>
      <c r="D148" s="14" t="s">
        <v>23</v>
      </c>
      <c r="E148" s="14" t="str">
        <f t="shared" si="11"/>
        <v>GBP_YCSTDRH_SB6LBASIS11Y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9"/>
        <v>SB</v>
      </c>
      <c r="C149" s="15" t="str">
        <f t="shared" si="10"/>
        <v>6LBASIS</v>
      </c>
      <c r="D149" s="14" t="s">
        <v>22</v>
      </c>
      <c r="E149" s="14" t="str">
        <f t="shared" si="11"/>
        <v>GBP_YCSTDRH_SB6LBASIS12Y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9"/>
        <v>SB</v>
      </c>
      <c r="C150" s="15" t="str">
        <f t="shared" si="10"/>
        <v>6LBASIS</v>
      </c>
      <c r="D150" s="14" t="s">
        <v>21</v>
      </c>
      <c r="E150" s="14" t="str">
        <f t="shared" si="11"/>
        <v>GBP_YCSTDRH_SB6LBASIS13Y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9"/>
        <v>SB</v>
      </c>
      <c r="C151" s="15" t="str">
        <f t="shared" si="10"/>
        <v>6LBASIS</v>
      </c>
      <c r="D151" s="14" t="s">
        <v>20</v>
      </c>
      <c r="E151" s="14" t="str">
        <f t="shared" si="11"/>
        <v>GBP_YCSTDRH_SB6LBASIS14Y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9"/>
        <v>SB</v>
      </c>
      <c r="C152" s="15" t="str">
        <f t="shared" si="10"/>
        <v>6LBASIS</v>
      </c>
      <c r="D152" s="14" t="s">
        <v>19</v>
      </c>
      <c r="E152" s="14" t="str">
        <f t="shared" si="11"/>
        <v>GBP_YCSTDRH_SB6LBASIS15Y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9"/>
        <v>SB</v>
      </c>
      <c r="C153" s="15" t="str">
        <f t="shared" si="10"/>
        <v>6LBASIS</v>
      </c>
      <c r="D153" s="14" t="s">
        <v>18</v>
      </c>
      <c r="E153" s="14" t="str">
        <f t="shared" si="11"/>
        <v>GBP_YCSTDRH_SB6LBASIS16Y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9"/>
        <v>SB</v>
      </c>
      <c r="C154" s="15" t="str">
        <f t="shared" si="10"/>
        <v>6LBASIS</v>
      </c>
      <c r="D154" s="14" t="s">
        <v>17</v>
      </c>
      <c r="E154" s="14" t="str">
        <f t="shared" si="11"/>
        <v>GBP_YCSTDRH_SB6LBASIS17Y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9"/>
        <v>SB</v>
      </c>
      <c r="C155" s="15" t="str">
        <f t="shared" si="10"/>
        <v>6LBASIS</v>
      </c>
      <c r="D155" s="14" t="s">
        <v>16</v>
      </c>
      <c r="E155" s="14" t="str">
        <f t="shared" si="11"/>
        <v>GBP_YCSTDRH_SB6LBASIS18Y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9"/>
        <v>SB</v>
      </c>
      <c r="C156" s="15" t="str">
        <f t="shared" si="10"/>
        <v>6LBASIS</v>
      </c>
      <c r="D156" s="14" t="s">
        <v>15</v>
      </c>
      <c r="E156" s="14" t="str">
        <f t="shared" si="11"/>
        <v>GBP_YCSTDRH_SB6LBASIS19Y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9"/>
        <v>SB</v>
      </c>
      <c r="C157" s="15" t="str">
        <f t="shared" si="10"/>
        <v>6LBASIS</v>
      </c>
      <c r="D157" s="14" t="s">
        <v>14</v>
      </c>
      <c r="E157" s="14" t="str">
        <f t="shared" si="11"/>
        <v>GBP_YCSTDRH_SB6LBASIS20Y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9"/>
        <v>SB</v>
      </c>
      <c r="C158" s="15" t="str">
        <f t="shared" si="10"/>
        <v>6LBASIS</v>
      </c>
      <c r="D158" s="14" t="s">
        <v>13</v>
      </c>
      <c r="E158" s="14" t="str">
        <f t="shared" si="11"/>
        <v>GBP_YCSTDRH_SB6LBASIS21Y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9"/>
        <v>SB</v>
      </c>
      <c r="C159" s="15" t="str">
        <f t="shared" si="10"/>
        <v>6LBASIS</v>
      </c>
      <c r="D159" s="14" t="s">
        <v>12</v>
      </c>
      <c r="E159" s="14" t="str">
        <f t="shared" si="11"/>
        <v>GBP_YCSTDRH_SB6LBASIS22Y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si="9"/>
        <v>SB</v>
      </c>
      <c r="C160" s="15" t="str">
        <f t="shared" si="10"/>
        <v>6LBASIS</v>
      </c>
      <c r="D160" s="14" t="s">
        <v>11</v>
      </c>
      <c r="E160" s="14" t="str">
        <f t="shared" ref="E160:E171" si="12">RateHelperPrefix&amp;"_"&amp;$B160&amp;$C160&amp;$D160</f>
        <v>GBP_YCSTDRH_SB6LBASIS23Y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9"/>
        <v>SB</v>
      </c>
      <c r="C161" s="15" t="str">
        <f t="shared" si="10"/>
        <v>6LBASIS</v>
      </c>
      <c r="D161" s="14" t="s">
        <v>10</v>
      </c>
      <c r="E161" s="14" t="str">
        <f t="shared" si="12"/>
        <v>GBP_YCSTDRH_SB6LBASIS24Y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ref="B162:B171" si="13">SwapFixedFreq</f>
        <v>SB</v>
      </c>
      <c r="C162" s="15" t="str">
        <f t="shared" si="10"/>
        <v>6LBASIS</v>
      </c>
      <c r="D162" s="14" t="s">
        <v>9</v>
      </c>
      <c r="E162" s="14" t="str">
        <f t="shared" si="12"/>
        <v>GBP_YCSTDRH_SB6LBASIS25Y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3"/>
        <v>SB</v>
      </c>
      <c r="C163" s="15" t="str">
        <f t="shared" si="10"/>
        <v>6LBASIS</v>
      </c>
      <c r="D163" s="14" t="s">
        <v>8</v>
      </c>
      <c r="E163" s="14" t="str">
        <f t="shared" si="12"/>
        <v>GBP_YCSTDRH_SB6LBASIS26Y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si="13"/>
        <v>SB</v>
      </c>
      <c r="C164" s="15" t="str">
        <f t="shared" si="10"/>
        <v>6LBASIS</v>
      </c>
      <c r="D164" s="14" t="s">
        <v>7</v>
      </c>
      <c r="E164" s="14" t="str">
        <f t="shared" si="12"/>
        <v>GBP_YCSTDRH_SB6LBASIS27Y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3"/>
        <v>SB</v>
      </c>
      <c r="C165" s="15" t="str">
        <f t="shared" si="10"/>
        <v>6LBASIS</v>
      </c>
      <c r="D165" s="14" t="s">
        <v>6</v>
      </c>
      <c r="E165" s="14" t="str">
        <f t="shared" si="12"/>
        <v>GBP_YCSTDRH_SB6LBASIS28Y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16" t="str">
        <f t="shared" si="13"/>
        <v>SB</v>
      </c>
      <c r="C166" s="15" t="str">
        <f t="shared" si="10"/>
        <v>6LBASIS</v>
      </c>
      <c r="D166" s="14" t="s">
        <v>5</v>
      </c>
      <c r="E166" s="14" t="str">
        <f t="shared" si="12"/>
        <v>GBP_YCSTDRH_SB6LBASIS29Y</v>
      </c>
      <c r="F166" s="13" t="e">
        <f>_xll.qlRateHelperQuoteValue($E166,Trigger)</f>
        <v>#NUM!</v>
      </c>
      <c r="G166" s="13" t="e">
        <f>_xll.qlSwapRateHelperSpread($E166,Trigger)</f>
        <v>#NUM!</v>
      </c>
      <c r="H166" s="12" t="b">
        <v>0</v>
      </c>
      <c r="I166" s="12">
        <v>40</v>
      </c>
      <c r="J166" s="12">
        <v>1</v>
      </c>
      <c r="K166" s="11" t="e">
        <f>_xll.qlRateHelperEarliestDate($E166,Trigger)</f>
        <v>#NUM!</v>
      </c>
      <c r="L166" s="10" t="e">
        <f>_xll.qlRateHelperLatestDate($E166,Trigger)</f>
        <v>#NUM!</v>
      </c>
    </row>
    <row r="167" spans="2:12" x14ac:dyDescent="0.2">
      <c r="B167" s="16" t="str">
        <f t="shared" si="13"/>
        <v>SB</v>
      </c>
      <c r="C167" s="15" t="str">
        <f t="shared" si="10"/>
        <v>6LBASIS</v>
      </c>
      <c r="D167" s="14" t="s">
        <v>4</v>
      </c>
      <c r="E167" s="14" t="str">
        <f t="shared" si="12"/>
        <v>GBP_YCSTDRH_SB6LBASIS30Y</v>
      </c>
      <c r="F167" s="13" t="e">
        <f>_xll.qlRateHelperQuoteValue($E167,Trigger)</f>
        <v>#NUM!</v>
      </c>
      <c r="G167" s="13" t="e">
        <f>_xll.qlSwapRateHelperSpread($E167,Trigger)</f>
        <v>#NUM!</v>
      </c>
      <c r="H167" s="12" t="b">
        <v>0</v>
      </c>
      <c r="I167" s="12">
        <v>40</v>
      </c>
      <c r="J167" s="12">
        <v>1</v>
      </c>
      <c r="K167" s="11" t="e">
        <f>_xll.qlRateHelperEarliestDate($E167,Trigger)</f>
        <v>#NUM!</v>
      </c>
      <c r="L167" s="10" t="e">
        <f>_xll.qlRateHelperLatestDate($E167,Trigger)</f>
        <v>#NUM!</v>
      </c>
    </row>
    <row r="168" spans="2:12" x14ac:dyDescent="0.2">
      <c r="B168" s="16" t="str">
        <f t="shared" si="13"/>
        <v>SB</v>
      </c>
      <c r="C168" s="15" t="str">
        <f t="shared" si="10"/>
        <v>6LBASIS</v>
      </c>
      <c r="D168" s="14" t="s">
        <v>3</v>
      </c>
      <c r="E168" s="14" t="str">
        <f t="shared" si="12"/>
        <v>GBP_YCSTDRH_SB6LBASIS35Y</v>
      </c>
      <c r="F168" s="13" t="e">
        <f>_xll.qlRateHelperQuoteValue($E168,Trigger)</f>
        <v>#NUM!</v>
      </c>
      <c r="G168" s="13" t="e">
        <f>_xll.qlSwapRateHelperSpread($E168,Trigger)</f>
        <v>#NUM!</v>
      </c>
      <c r="H168" s="12" t="b">
        <v>0</v>
      </c>
      <c r="I168" s="12">
        <v>40</v>
      </c>
      <c r="J168" s="12">
        <v>1</v>
      </c>
      <c r="K168" s="11" t="e">
        <f>_xll.qlRateHelperEarliestDate($E168,Trigger)</f>
        <v>#NUM!</v>
      </c>
      <c r="L168" s="10" t="e">
        <f>_xll.qlRateHelperLatestDate($E168,Trigger)</f>
        <v>#NUM!</v>
      </c>
    </row>
    <row r="169" spans="2:12" x14ac:dyDescent="0.2">
      <c r="B169" s="16" t="str">
        <f t="shared" si="13"/>
        <v>SB</v>
      </c>
      <c r="C169" s="15" t="str">
        <f t="shared" si="10"/>
        <v>6LBASIS</v>
      </c>
      <c r="D169" s="14" t="s">
        <v>2</v>
      </c>
      <c r="E169" s="14" t="str">
        <f t="shared" si="12"/>
        <v>GBP_YCSTDRH_SB6LBASIS40Y</v>
      </c>
      <c r="F169" s="13" t="e">
        <f>_xll.qlRateHelperQuoteValue($E169,Trigger)</f>
        <v>#NUM!</v>
      </c>
      <c r="G169" s="13" t="e">
        <f>_xll.qlSwapRateHelperSpread($E169,Trigger)</f>
        <v>#NUM!</v>
      </c>
      <c r="H169" s="12" t="b">
        <v>0</v>
      </c>
      <c r="I169" s="12">
        <v>40</v>
      </c>
      <c r="J169" s="12">
        <v>1</v>
      </c>
      <c r="K169" s="11" t="e">
        <f>_xll.qlRateHelperEarliestDate($E169,Trigger)</f>
        <v>#NUM!</v>
      </c>
      <c r="L169" s="10" t="e">
        <f>_xll.qlRateHelperLatestDate($E169,Trigger)</f>
        <v>#NUM!</v>
      </c>
    </row>
    <row r="170" spans="2:12" x14ac:dyDescent="0.2">
      <c r="B170" s="16" t="str">
        <f t="shared" si="13"/>
        <v>SB</v>
      </c>
      <c r="C170" s="15" t="str">
        <f t="shared" si="10"/>
        <v>6LBASIS</v>
      </c>
      <c r="D170" s="14" t="s">
        <v>1</v>
      </c>
      <c r="E170" s="14" t="str">
        <f t="shared" si="12"/>
        <v>GBP_YCSTDRH_SB6LBASIS50Y</v>
      </c>
      <c r="F170" s="13" t="e">
        <f>_xll.qlRateHelperQuoteValue($E170,Trigger)</f>
        <v>#NUM!</v>
      </c>
      <c r="G170" s="13" t="e">
        <f>_xll.qlSwapRateHelperSpread($E170,Trigger)</f>
        <v>#NUM!</v>
      </c>
      <c r="H170" s="12" t="b">
        <v>0</v>
      </c>
      <c r="I170" s="12">
        <v>40</v>
      </c>
      <c r="J170" s="12">
        <v>1</v>
      </c>
      <c r="K170" s="11" t="e">
        <f>_xll.qlRateHelperEarliestDate($E170,Trigger)</f>
        <v>#NUM!</v>
      </c>
      <c r="L170" s="10" t="e">
        <f>_xll.qlRateHelperLatestDate($E170,Trigger)</f>
        <v>#NUM!</v>
      </c>
    </row>
    <row r="171" spans="2:12" x14ac:dyDescent="0.2">
      <c r="B171" s="9" t="str">
        <f t="shared" si="13"/>
        <v>SB</v>
      </c>
      <c r="C171" s="8" t="str">
        <f t="shared" si="10"/>
        <v>6LBASIS</v>
      </c>
      <c r="D171" s="7" t="s">
        <v>0</v>
      </c>
      <c r="E171" s="7" t="str">
        <f t="shared" si="12"/>
        <v>GBP_YCSTDRH_SB6LBASIS60Y</v>
      </c>
      <c r="F171" s="6" t="e">
        <f>_xll.qlRateHelperQuoteValue($E171,Trigger)</f>
        <v>#NUM!</v>
      </c>
      <c r="G171" s="6" t="e">
        <f>_xll.qlSwapRateHelperSpread($E171,Trigger)</f>
        <v>#NUM!</v>
      </c>
      <c r="H171" s="5" t="b">
        <v>0</v>
      </c>
      <c r="I171" s="5">
        <v>40</v>
      </c>
      <c r="J171" s="5">
        <v>1</v>
      </c>
      <c r="K171" s="4" t="e">
        <f>_xll.qlRateHelperEarliestDate($E171,Trigger)</f>
        <v>#NUM!</v>
      </c>
      <c r="L171" s="3" t="e">
        <f>_xll.qlRateHelperLatestDate($E171,Trigger)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M126"/>
  <sheetViews>
    <sheetView workbookViewId="0">
      <selection activeCell="E9" sqref="E9"/>
    </sheetView>
  </sheetViews>
  <sheetFormatPr defaultRowHeight="11.25" x14ac:dyDescent="0.2"/>
  <cols>
    <col min="1" max="1" width="38" style="1" bestFit="1" customWidth="1"/>
    <col min="2" max="2" width="41" style="1" bestFit="1" customWidth="1"/>
    <col min="3" max="3" width="5.28515625" style="1" customWidth="1"/>
    <col min="4" max="4" width="20.28515625" style="2" bestFit="1" customWidth="1"/>
    <col min="5" max="5" width="9" style="2" bestFit="1" customWidth="1"/>
    <col min="6" max="6" width="8" style="2" bestFit="1" customWidth="1"/>
    <col min="7" max="8" width="17.28515625" style="2" bestFit="1" customWidth="1"/>
    <col min="9" max="9" width="7" style="1" bestFit="1" customWidth="1"/>
    <col min="10" max="10" width="8" style="1" bestFit="1" customWidth="1"/>
    <col min="11" max="11" width="9.140625" style="1"/>
    <col min="12" max="12" width="20.28515625" style="1" bestFit="1" customWidth="1"/>
    <col min="13" max="16384" width="9.140625" style="1"/>
  </cols>
  <sheetData>
    <row r="1" spans="1:13" ht="23.25" thickBot="1" x14ac:dyDescent="0.25">
      <c r="A1" s="217" t="s">
        <v>86</v>
      </c>
      <c r="B1" s="218"/>
      <c r="D1" s="56" t="s">
        <v>85</v>
      </c>
      <c r="E1" s="55" t="s">
        <v>84</v>
      </c>
      <c r="F1" s="55"/>
      <c r="G1" s="55" t="s">
        <v>70</v>
      </c>
      <c r="H1" s="54" t="s">
        <v>69</v>
      </c>
      <c r="I1" s="37">
        <f t="array" ref="I1:I126">_xll.qlPiecewiseYieldCurveData(YieldCurve)</f>
        <v>4.7999053175556972E-3</v>
      </c>
    </row>
    <row r="2" spans="1:13" x14ac:dyDescent="0.2">
      <c r="A2" s="53" t="s">
        <v>83</v>
      </c>
      <c r="B2" s="52">
        <v>6</v>
      </c>
      <c r="D2" s="45" t="str">
        <f t="array" ref="D2:D126">_xll.qlRateHelperSelection(_xll.ohFilter(RateHelpers,RateHelpersIncluded),_xll.ohFilter(RateHelpersPriority,RateHelpersIncluded),nIMMFutures,nSerialFutures,FrontFuturesRollingDays,DepoInclusionCriteria,_xll.ohFilter(MinDistance,RateHelpersIncluded),Trigger)</f>
        <v>GBP_YCSTDRH_OND</v>
      </c>
      <c r="E2" s="44">
        <f>_xll.qlRateHelperRate($D2)</f>
        <v>4.7999999999999996E-3</v>
      </c>
      <c r="F2" s="44" t="str">
        <f>IF(ISERROR(_xll.qlSwapRateHelperSpread($D2)),IF(ISERROR(_xll.qlFuturesRateHelperConvexityAdjustment($D2)),"--",_xll.qlFuturesRateHelperConvexityAdjustment($D2)),_xll.qlSwapRateHelperSpread($D2))</f>
        <v>--</v>
      </c>
      <c r="G2" s="43">
        <f>_xll.qlRateHelperEarliestDate($D2)</f>
        <v>41656</v>
      </c>
      <c r="H2" s="42">
        <f>_xll.qlRateHelperLatestDate($D2)</f>
        <v>41659</v>
      </c>
      <c r="I2" s="37">
        <v>4.7999053175556972E-3</v>
      </c>
      <c r="L2" s="96" t="s">
        <v>117</v>
      </c>
      <c r="M2" s="98">
        <v>4.7809999999999997E-3</v>
      </c>
    </row>
    <row r="3" spans="1:13" x14ac:dyDescent="0.2">
      <c r="A3" s="49" t="s">
        <v>82</v>
      </c>
      <c r="B3" s="51">
        <v>0</v>
      </c>
      <c r="D3" s="45" t="str">
        <v>GBP_YCSTDRH_SWD</v>
      </c>
      <c r="E3" s="44">
        <f>_xll.qlRateHelperRate($D3)</f>
        <v>4.8687999999999995E-3</v>
      </c>
      <c r="F3" s="44" t="str">
        <f>IF(ISERROR(_xll.qlSwapRateHelperSpread($D3)),IF(ISERROR(_xll.qlFuturesRateHelperConvexityAdjustment($D3)),"--",_xll.qlFuturesRateHelperConvexityAdjustment($D3)),_xll.qlSwapRateHelperSpread($D3))</f>
        <v>--</v>
      </c>
      <c r="G3" s="43">
        <f>_xll.qlRateHelperEarliestDate($D3)</f>
        <v>41656</v>
      </c>
      <c r="H3" s="42">
        <f>_xll.qlRateHelperLatestDate($D3)</f>
        <v>41663</v>
      </c>
      <c r="I3" s="37">
        <v>4.8685727038845633E-3</v>
      </c>
      <c r="J3" s="1">
        <f t="shared" ref="J3:J36" si="0">H3-H2</f>
        <v>4</v>
      </c>
      <c r="L3" s="96" t="s">
        <v>118</v>
      </c>
      <c r="M3" s="98">
        <v>4.875E-3</v>
      </c>
    </row>
    <row r="4" spans="1:13" x14ac:dyDescent="0.2">
      <c r="A4" s="49" t="s">
        <v>81</v>
      </c>
      <c r="B4" s="51">
        <v>5</v>
      </c>
      <c r="D4" s="45" t="str">
        <v>GBP_YCSTDRH_1MD</v>
      </c>
      <c r="E4" s="44">
        <f>_xll.qlRateHelperRate($D4)</f>
        <v>4.9249999999999997E-3</v>
      </c>
      <c r="F4" s="44" t="str">
        <f>IF(ISERROR(_xll.qlSwapRateHelperSpread($D4)),IF(ISERROR(_xll.qlFuturesRateHelperConvexityAdjustment($D4)),"--",_xll.qlFuturesRateHelperConvexityAdjustment($D4)),_xll.qlSwapRateHelperSpread($D4))</f>
        <v>--</v>
      </c>
      <c r="G4" s="43">
        <f>_xll.qlRateHelperEarliestDate($D4)</f>
        <v>41656</v>
      </c>
      <c r="H4" s="42">
        <f>_xll.qlRateHelperLatestDate($D4)</f>
        <v>41687</v>
      </c>
      <c r="I4" s="37">
        <v>4.9239702537528483E-3</v>
      </c>
      <c r="J4" s="1">
        <f t="shared" si="0"/>
        <v>24</v>
      </c>
      <c r="L4" s="96" t="s">
        <v>119</v>
      </c>
      <c r="M4" s="98">
        <v>4.9379999999999997E-3</v>
      </c>
    </row>
    <row r="5" spans="1:13" x14ac:dyDescent="0.2">
      <c r="A5" s="49" t="s">
        <v>80</v>
      </c>
      <c r="B5" s="50" t="s">
        <v>79</v>
      </c>
      <c r="D5" s="45" t="str">
        <v>GBP_YCSTDRH_2MD</v>
      </c>
      <c r="E5" s="44">
        <f>_xll.qlRateHelperRate($D5)</f>
        <v>4.9838E-3</v>
      </c>
      <c r="F5" s="44" t="str">
        <f>IF(ISERROR(_xll.qlSwapRateHelperSpread($D5)),IF(ISERROR(_xll.qlFuturesRateHelperConvexityAdjustment($D5)),"--",_xll.qlFuturesRateHelperConvexityAdjustment($D5)),_xll.qlSwapRateHelperSpread($D5))</f>
        <v>--</v>
      </c>
      <c r="G5" s="43">
        <f>_xll.qlRateHelperEarliestDate($D5)</f>
        <v>41656</v>
      </c>
      <c r="H5" s="42">
        <f>_xll.qlRateHelperLatestDate($D5)</f>
        <v>41715</v>
      </c>
      <c r="I5" s="37">
        <v>4.9817936016808596E-3</v>
      </c>
      <c r="J5" s="1">
        <f t="shared" si="0"/>
        <v>28</v>
      </c>
      <c r="L5" s="96" t="s">
        <v>120</v>
      </c>
      <c r="M5" s="98">
        <v>4.9880000000000002E-3</v>
      </c>
    </row>
    <row r="6" spans="1:13" x14ac:dyDescent="0.2">
      <c r="A6" s="49" t="s">
        <v>78</v>
      </c>
      <c r="B6" s="48" t="str">
        <f>_xll.ohRangeRetrieveError(Selected!D2)</f>
        <v/>
      </c>
      <c r="D6" s="45" t="str">
        <v>GBP_YCSTDRH_3MD</v>
      </c>
      <c r="E6" s="44">
        <f>_xll.qlRateHelperRate($D6)</f>
        <v>5.0812999999999995E-3</v>
      </c>
      <c r="F6" s="44" t="str">
        <f>IF(ISERROR(_xll.qlSwapRateHelperSpread($D6)),IF(ISERROR(_xll.qlFuturesRateHelperConvexityAdjustment($D6)),"--",_xll.qlFuturesRateHelperConvexityAdjustment($D6)),_xll.qlSwapRateHelperSpread($D6))</f>
        <v>--</v>
      </c>
      <c r="G6" s="43">
        <f>_xll.qlRateHelperEarliestDate($D6)</f>
        <v>41656</v>
      </c>
      <c r="H6" s="42">
        <f>_xll.qlRateHelperLatestDate($D6)</f>
        <v>41746</v>
      </c>
      <c r="I6" s="37">
        <v>5.078119416856805E-3</v>
      </c>
      <c r="J6" s="1">
        <f t="shared" si="0"/>
        <v>31</v>
      </c>
      <c r="L6" s="96" t="s">
        <v>121</v>
      </c>
      <c r="M6" s="98">
        <v>5.0959999999999998E-3</v>
      </c>
    </row>
    <row r="7" spans="1:13" ht="12" thickBot="1" x14ac:dyDescent="0.25">
      <c r="A7" s="47" t="str">
        <f>_xll.ohGroup(RateHelperPrefix&amp;"_RateHelpersSelected",_xll.ohPack(Selected!D2:D126),TRUE,,ObjectOverwrite)</f>
        <v>GBP_YCSTDRH_RateHelpersSelected#0006</v>
      </c>
      <c r="B7" s="46" t="str">
        <f>_xll.ohRangeRetrieveError(RateHelpersSelected)</f>
        <v/>
      </c>
      <c r="D7" s="45" t="str">
        <v>GBP_YCSTDRH_6MD</v>
      </c>
      <c r="E7" s="44">
        <f>_xll.qlRateHelperRate($D7)</f>
        <v>5.9175E-3</v>
      </c>
      <c r="F7" s="44" t="str">
        <f>IF(ISERROR(_xll.qlSwapRateHelperSpread($D7)),IF(ISERROR(_xll.qlFuturesRateHelperConvexityAdjustment($D7)),"--",_xll.qlFuturesRateHelperConvexityAdjustment($D7)),_xll.qlSwapRateHelperSpread($D7))</f>
        <v>--</v>
      </c>
      <c r="G7" s="43">
        <f>_xll.qlRateHelperEarliestDate($D7)</f>
        <v>41656</v>
      </c>
      <c r="H7" s="42">
        <f>_xll.qlRateHelperLatestDate($D7)</f>
        <v>41837</v>
      </c>
      <c r="I7" s="37">
        <v>5.9088346983129283E-3</v>
      </c>
      <c r="J7" s="1">
        <f t="shared" si="0"/>
        <v>91</v>
      </c>
      <c r="L7" s="96" t="s">
        <v>122</v>
      </c>
      <c r="M7" s="98">
        <v>5.9049999999999997E-3</v>
      </c>
    </row>
    <row r="8" spans="1:13" x14ac:dyDescent="0.2">
      <c r="D8" s="45" t="str">
        <v>GBP_YCSTDRH_1YD</v>
      </c>
      <c r="E8" s="44">
        <f>_xll.qlRateHelperRate($D8)</f>
        <v>8.7938000000000009E-3</v>
      </c>
      <c r="F8" s="44" t="str">
        <f>IF(ISERROR(_xll.qlSwapRateHelperSpread($D8)),IF(ISERROR(_xll.qlFuturesRateHelperConvexityAdjustment($D8)),"--",_xll.qlFuturesRateHelperConvexityAdjustment($D8)),_xll.qlSwapRateHelperSpread($D8))</f>
        <v>--</v>
      </c>
      <c r="G8" s="43">
        <f>_xll.qlRateHelperEarliestDate($D8)</f>
        <v>41656</v>
      </c>
      <c r="H8" s="42">
        <f>_xll.qlRateHelperLatestDate($D8)</f>
        <v>42023</v>
      </c>
      <c r="I8" s="37">
        <v>8.7551503346799901E-3</v>
      </c>
      <c r="J8" s="1">
        <f t="shared" si="0"/>
        <v>186</v>
      </c>
      <c r="L8" s="96" t="s">
        <v>123</v>
      </c>
      <c r="M8" s="98">
        <v>5.6299999999999996E-3</v>
      </c>
    </row>
    <row r="9" spans="1:13" x14ac:dyDescent="0.2">
      <c r="D9" s="45" t="str">
        <v>GBP_YCSTDRH_FUT3MH5</v>
      </c>
      <c r="E9" s="44">
        <f>_xll.qlRateHelperRate($D9)</f>
        <v>5.2190274734915092E-3</v>
      </c>
      <c r="F9" s="44">
        <f>IF(ISERROR(_xll.qlSwapRateHelperSpread($D9)),IF(ISERROR(_xll.qlFuturesRateHelperConvexityAdjustment($D9)),"--",_xll.qlFuturesRateHelperConvexityAdjustment($D9)),_xll.qlSwapRateHelperSpread($D9))</f>
        <v>3.0972526508578707E-5</v>
      </c>
      <c r="G9" s="43">
        <f>_xll.qlRateHelperEarliestDate($D9)</f>
        <v>42081</v>
      </c>
      <c r="H9" s="42">
        <f>_xll.qlRateHelperLatestDate($D9)</f>
        <v>42173</v>
      </c>
      <c r="I9" s="37">
        <v>7.8317887818617361E-3</v>
      </c>
      <c r="J9" s="1">
        <f t="shared" si="0"/>
        <v>150</v>
      </c>
      <c r="L9" s="96" t="s">
        <v>124</v>
      </c>
      <c r="M9" s="98">
        <v>8.6999999999999994E-3</v>
      </c>
    </row>
    <row r="10" spans="1:13" x14ac:dyDescent="0.2">
      <c r="D10" s="45" t="str">
        <v>GBP_YCSTDRH_FUT3MM5</v>
      </c>
      <c r="E10" s="44">
        <f>_xll.qlRateHelperRate($D10)</f>
        <v>5.407087860353545E-3</v>
      </c>
      <c r="F10" s="44">
        <f>IF(ISERROR(_xll.qlSwapRateHelperSpread($D10)),IF(ISERROR(_xll.qlFuturesRateHelperConvexityAdjustment($D10)),"--",_xll.qlFuturesRateHelperConvexityAdjustment($D10)),_xll.qlSwapRateHelperSpread($D10))</f>
        <v>4.2912139646520461E-5</v>
      </c>
      <c r="G10" s="43">
        <f>_xll.qlRateHelperEarliestDate($D10)</f>
        <v>42172</v>
      </c>
      <c r="H10" s="42">
        <f>_xll.qlRateHelperLatestDate($D10)</f>
        <v>42264</v>
      </c>
      <c r="I10" s="37">
        <v>7.4695604961648662E-3</v>
      </c>
      <c r="J10" s="1">
        <f t="shared" si="0"/>
        <v>91</v>
      </c>
      <c r="L10" s="96" t="s">
        <v>125</v>
      </c>
      <c r="M10" s="98">
        <v>5.9160000000000003E-3</v>
      </c>
    </row>
    <row r="11" spans="1:13" x14ac:dyDescent="0.2">
      <c r="D11" s="45" t="str">
        <v>GBP_YCSTDRH_FUT3MU5</v>
      </c>
      <c r="E11" s="44">
        <f>_xll.qlRateHelperRate($D11)</f>
        <v>5.7935077032211339E-3</v>
      </c>
      <c r="F11" s="44">
        <f>IF(ISERROR(_xll.qlSwapRateHelperSpread($D11)),IF(ISERROR(_xll.qlFuturesRateHelperConvexityAdjustment($D11)),"--",_xll.qlFuturesRateHelperConvexityAdjustment($D11)),_xll.qlSwapRateHelperSpread($D11))</f>
        <v>5.6492296778776739E-5</v>
      </c>
      <c r="G11" s="43">
        <f>_xll.qlRateHelperEarliestDate($D11)</f>
        <v>42263</v>
      </c>
      <c r="H11" s="42">
        <f>_xll.qlRateHelperLatestDate($D11)</f>
        <v>42354</v>
      </c>
      <c r="I11" s="37">
        <v>7.2539659279298764E-3</v>
      </c>
      <c r="J11" s="1">
        <f t="shared" si="0"/>
        <v>90</v>
      </c>
      <c r="L11" s="96" t="s">
        <v>126</v>
      </c>
      <c r="M11" s="98">
        <v>6.1000000000000004E-3</v>
      </c>
    </row>
    <row r="12" spans="1:13" x14ac:dyDescent="0.2">
      <c r="D12" s="45" t="str">
        <v>GBP_YCSTDRH_FUT3MZ5</v>
      </c>
      <c r="E12" s="44">
        <f>_xll.qlRateHelperRate($D12)</f>
        <v>6.1780671429005089E-3</v>
      </c>
      <c r="F12" s="44">
        <f>IF(ISERROR(_xll.qlSwapRateHelperSpread($D12)),IF(ISERROR(_xll.qlFuturesRateHelperConvexityAdjustment($D12)),"--",_xll.qlFuturesRateHelperConvexityAdjustment($D12)),_xll.qlSwapRateHelperSpread($D12))</f>
        <v>7.1932857099468806E-5</v>
      </c>
      <c r="G12" s="43">
        <f>_xll.qlRateHelperEarliestDate($D12)</f>
        <v>42354</v>
      </c>
      <c r="H12" s="42">
        <f>_xll.qlRateHelperLatestDate($D12)</f>
        <v>42445</v>
      </c>
      <c r="I12" s="37">
        <v>7.1293280032073544E-3</v>
      </c>
      <c r="J12" s="1">
        <f t="shared" si="0"/>
        <v>91</v>
      </c>
      <c r="L12" s="96" t="s">
        <v>127</v>
      </c>
      <c r="M12" s="98">
        <v>6.4809999999999998E-3</v>
      </c>
    </row>
    <row r="13" spans="1:13" x14ac:dyDescent="0.2">
      <c r="D13" s="45" t="str">
        <v>GBP_YCSTDRH_FUT3MH6</v>
      </c>
      <c r="E13" s="44">
        <f>_xll.qlRateHelperRate($D13)</f>
        <v>6.6607441691747434E-3</v>
      </c>
      <c r="F13" s="44">
        <f>IF(ISERROR(_xll.qlSwapRateHelperSpread($D13)),IF(ISERROR(_xll.qlFuturesRateHelperConvexityAdjustment($D13)),"--",_xll.qlFuturesRateHelperConvexityAdjustment($D13)),_xll.qlSwapRateHelperSpread($D13))</f>
        <v>8.925583082517931E-5</v>
      </c>
      <c r="G13" s="43">
        <f>_xll.qlRateHelperEarliestDate($D13)</f>
        <v>42445</v>
      </c>
      <c r="H13" s="42">
        <f>_xll.qlRateHelperLatestDate($D13)</f>
        <v>42537</v>
      </c>
      <c r="I13" s="37">
        <v>7.0798120731180737E-3</v>
      </c>
      <c r="J13" s="1">
        <f t="shared" si="0"/>
        <v>92</v>
      </c>
      <c r="L13" s="96" t="s">
        <v>128</v>
      </c>
      <c r="M13" s="98">
        <v>7.0590000000000002E-3</v>
      </c>
    </row>
    <row r="14" spans="1:13" x14ac:dyDescent="0.2">
      <c r="D14" s="45" t="str">
        <v>GBP_YCSTDRH_FUT3MM6</v>
      </c>
      <c r="E14" s="44">
        <f>_xll.qlRateHelperRate($D14)</f>
        <v>7.1419203424053189E-3</v>
      </c>
      <c r="F14" s="44">
        <f>IF(ISERROR(_xll.qlSwapRateHelperSpread($D14)),IF(ISERROR(_xll.qlFuturesRateHelperConvexityAdjustment($D14)),"--",_xll.qlFuturesRateHelperConvexityAdjustment($D14)),_xll.qlSwapRateHelperSpread($D14))</f>
        <v>1.0807965759465941E-4</v>
      </c>
      <c r="G14" s="43">
        <f>_xll.qlRateHelperEarliestDate($D14)</f>
        <v>42536</v>
      </c>
      <c r="H14" s="42">
        <f>_xll.qlRateHelperLatestDate($D14)</f>
        <v>42628</v>
      </c>
      <c r="I14" s="37">
        <v>7.0855701986590946E-3</v>
      </c>
      <c r="J14" s="1">
        <f t="shared" si="0"/>
        <v>91</v>
      </c>
      <c r="L14" s="96" t="s">
        <v>129</v>
      </c>
      <c r="M14" s="98">
        <v>7.8340000000000007E-3</v>
      </c>
    </row>
    <row r="15" spans="1:13" x14ac:dyDescent="0.2">
      <c r="D15" s="45" t="str">
        <v>GBP_YCSTDRH_SB6L3Y</v>
      </c>
      <c r="E15" s="44">
        <f>_xll.qlRateHelperRate($D15)</f>
        <v>7.3250000000000008E-3</v>
      </c>
      <c r="F15" s="44">
        <f>IF(ISERROR(_xll.qlSwapRateHelperSpread($D15)),IF(ISERROR(_xll.qlFuturesRateHelperConvexityAdjustment($D15)),"--",_xll.qlFuturesRateHelperConvexityAdjustment($D15)),_xll.qlSwapRateHelperSpread($D15))</f>
        <v>0</v>
      </c>
      <c r="G15" s="43">
        <f>_xll.qlRateHelperEarliestDate($D15)</f>
        <v>41656</v>
      </c>
      <c r="H15" s="42">
        <f>_xll.qlRateHelperLatestDate($D15)</f>
        <v>42752</v>
      </c>
      <c r="I15" s="37">
        <v>7.3108612474053463E-3</v>
      </c>
      <c r="J15" s="1">
        <f t="shared" si="0"/>
        <v>124</v>
      </c>
      <c r="L15" s="96" t="s">
        <v>130</v>
      </c>
      <c r="M15" s="98">
        <v>8.3400000000000002E-3</v>
      </c>
    </row>
    <row r="16" spans="1:13" x14ac:dyDescent="0.2">
      <c r="D16" s="45" t="str">
        <v>GBP_YCSTDRH_SB6L4Y</v>
      </c>
      <c r="E16" s="44">
        <f>_xll.qlRateHelperRate($D16)</f>
        <v>8.4499999999999992E-3</v>
      </c>
      <c r="F16" s="44">
        <f>IF(ISERROR(_xll.qlSwapRateHelperSpread($D16)),IF(ISERROR(_xll.qlFuturesRateHelperConvexityAdjustment($D16)),"--",_xll.qlFuturesRateHelperConvexityAdjustment($D16)),_xll.qlSwapRateHelperSpread($D16))</f>
        <v>0</v>
      </c>
      <c r="G16" s="43">
        <f>_xll.qlRateHelperEarliestDate($D16)</f>
        <v>41656</v>
      </c>
      <c r="H16" s="42">
        <f>_xll.qlRateHelperLatestDate($D16)</f>
        <v>43117</v>
      </c>
      <c r="I16" s="37">
        <v>8.4461824588743899E-3</v>
      </c>
      <c r="J16" s="1">
        <f t="shared" si="0"/>
        <v>365</v>
      </c>
      <c r="L16" s="96" t="s">
        <v>131</v>
      </c>
      <c r="M16" s="98">
        <v>1.0619999999999999E-2</v>
      </c>
    </row>
    <row r="17" spans="4:13" x14ac:dyDescent="0.2">
      <c r="D17" s="45" t="str">
        <v>GBP_YCSTDRH_SB6L5Y</v>
      </c>
      <c r="E17" s="44">
        <f>_xll.qlRateHelperRate($D17)</f>
        <v>9.9500000000000005E-3</v>
      </c>
      <c r="F17" s="44">
        <f>IF(ISERROR(_xll.qlSwapRateHelperSpread($D17)),IF(ISERROR(_xll.qlFuturesRateHelperConvexityAdjustment($D17)),"--",_xll.qlFuturesRateHelperConvexityAdjustment($D17)),_xll.qlSwapRateHelperSpread($D17))</f>
        <v>0</v>
      </c>
      <c r="G17" s="43">
        <f>_xll.qlRateHelperEarliestDate($D17)</f>
        <v>41656</v>
      </c>
      <c r="H17" s="42">
        <f>_xll.qlRateHelperLatestDate($D17)</f>
        <v>43482</v>
      </c>
      <c r="I17" s="37">
        <v>9.9691371383871259E-3</v>
      </c>
      <c r="J17" s="1">
        <f t="shared" si="0"/>
        <v>365</v>
      </c>
      <c r="L17" s="96" t="s">
        <v>132</v>
      </c>
      <c r="M17" s="98">
        <v>1.312E-2</v>
      </c>
    </row>
    <row r="18" spans="4:13" x14ac:dyDescent="0.2">
      <c r="D18" s="45" t="str">
        <v>GBP_YCSTDRH_SB6L6Y</v>
      </c>
      <c r="E18" s="44">
        <f>_xll.qlRateHelperRate($D18)</f>
        <v>1.1650000000000001E-2</v>
      </c>
      <c r="F18" s="44">
        <f>IF(ISERROR(_xll.qlSwapRateHelperSpread($D18)),IF(ISERROR(_xll.qlFuturesRateHelperConvexityAdjustment($D18)),"--",_xll.qlFuturesRateHelperConvexityAdjustment($D18)),_xll.qlSwapRateHelperSpread($D18))</f>
        <v>0</v>
      </c>
      <c r="G18" s="43">
        <f>_xll.qlRateHelperEarliestDate($D18)</f>
        <v>41656</v>
      </c>
      <c r="H18" s="42">
        <f>_xll.qlRateHelperLatestDate($D18)</f>
        <v>43847</v>
      </c>
      <c r="I18" s="37">
        <v>1.1710107009052137E-2</v>
      </c>
      <c r="J18" s="1">
        <f t="shared" si="0"/>
        <v>365</v>
      </c>
      <c r="L18" s="96" t="s">
        <v>133</v>
      </c>
      <c r="M18" s="98">
        <v>1.558E-2</v>
      </c>
    </row>
    <row r="19" spans="4:13" x14ac:dyDescent="0.2">
      <c r="D19" s="45" t="str">
        <v>GBP_YCSTDRH_SB6L7Y</v>
      </c>
      <c r="E19" s="44">
        <f>_xll.qlRateHelperRate($D19)</f>
        <v>1.3474999999999999E-2</v>
      </c>
      <c r="F19" s="44">
        <f>IF(ISERROR(_xll.qlSwapRateHelperSpread($D19)),IF(ISERROR(_xll.qlFuturesRateHelperConvexityAdjustment($D19)),"--",_xll.qlFuturesRateHelperConvexityAdjustment($D19)),_xll.qlSwapRateHelperSpread($D19))</f>
        <v>0</v>
      </c>
      <c r="G19" s="43">
        <f>_xll.qlRateHelperEarliestDate($D19)</f>
        <v>41656</v>
      </c>
      <c r="H19" s="42">
        <f>_xll.qlRateHelperLatestDate($D19)</f>
        <v>44214</v>
      </c>
      <c r="I19" s="37">
        <v>1.3599924087613647E-2</v>
      </c>
      <c r="J19" s="1">
        <f t="shared" si="0"/>
        <v>367</v>
      </c>
      <c r="L19" s="96" t="s">
        <v>134</v>
      </c>
      <c r="M19" s="98">
        <v>1.796E-2</v>
      </c>
    </row>
    <row r="20" spans="4:13" x14ac:dyDescent="0.2">
      <c r="D20" s="45" t="str">
        <v>GBP_YCSTDRH_SB6L8Y</v>
      </c>
      <c r="E20" s="44">
        <f>_xll.qlRateHelperRate($D20)</f>
        <v>1.5300000000000001E-2</v>
      </c>
      <c r="F20" s="44">
        <f>IF(ISERROR(_xll.qlSwapRateHelperSpread($D20)),IF(ISERROR(_xll.qlFuturesRateHelperConvexityAdjustment($D20)),"--",_xll.qlFuturesRateHelperConvexityAdjustment($D20)),_xll.qlSwapRateHelperSpread($D20))</f>
        <v>0</v>
      </c>
      <c r="G20" s="43">
        <f>_xll.qlRateHelperEarliestDate($D20)</f>
        <v>41656</v>
      </c>
      <c r="H20" s="42">
        <f>_xll.qlRateHelperLatestDate($D20)</f>
        <v>44578</v>
      </c>
      <c r="I20" s="37">
        <v>1.5514796465323841E-2</v>
      </c>
      <c r="J20" s="1">
        <f t="shared" si="0"/>
        <v>364</v>
      </c>
      <c r="L20" s="96" t="s">
        <v>135</v>
      </c>
      <c r="M20" s="98">
        <v>2.009E-2</v>
      </c>
    </row>
    <row r="21" spans="4:13" x14ac:dyDescent="0.2">
      <c r="D21" s="45" t="str">
        <v>GBP_YCSTDRH_SB6L9Y</v>
      </c>
      <c r="E21" s="44">
        <f>_xll.qlRateHelperRate($D21)</f>
        <v>1.7075E-2</v>
      </c>
      <c r="F21" s="44">
        <f>IF(ISERROR(_xll.qlSwapRateHelperSpread($D21)),IF(ISERROR(_xll.qlFuturesRateHelperConvexityAdjustment($D21)),"--",_xll.qlFuturesRateHelperConvexityAdjustment($D21)),_xll.qlSwapRateHelperSpread($D21))</f>
        <v>0</v>
      </c>
      <c r="G21" s="43">
        <f>_xll.qlRateHelperEarliestDate($D21)</f>
        <v>41656</v>
      </c>
      <c r="H21" s="42">
        <f>_xll.qlRateHelperLatestDate($D21)</f>
        <v>44943</v>
      </c>
      <c r="I21" s="37">
        <v>1.7404638196344184E-2</v>
      </c>
      <c r="J21" s="1">
        <f t="shared" si="0"/>
        <v>365</v>
      </c>
      <c r="L21" s="96" t="s">
        <v>136</v>
      </c>
      <c r="M21" s="98">
        <v>2.1930000000000002E-2</v>
      </c>
    </row>
    <row r="22" spans="4:13" x14ac:dyDescent="0.2">
      <c r="D22" s="45" t="str">
        <v>GBP_YCSTDRH_SB6L10Y</v>
      </c>
      <c r="E22" s="44">
        <f>_xll.qlRateHelperRate($D22)</f>
        <v>1.8725000000000002E-2</v>
      </c>
      <c r="F22" s="44">
        <f>IF(ISERROR(_xll.qlSwapRateHelperSpread($D22)),IF(ISERROR(_xll.qlFuturesRateHelperConvexityAdjustment($D22)),"--",_xll.qlFuturesRateHelperConvexityAdjustment($D22)),_xll.qlSwapRateHelperSpread($D22))</f>
        <v>0</v>
      </c>
      <c r="G22" s="43">
        <f>_xll.qlRateHelperEarliestDate($D22)</f>
        <v>41656</v>
      </c>
      <c r="H22" s="42">
        <f>_xll.qlRateHelperLatestDate($D22)</f>
        <v>45308</v>
      </c>
      <c r="I22" s="37">
        <v>1.9188467809024719E-2</v>
      </c>
      <c r="J22" s="1">
        <f t="shared" si="0"/>
        <v>365</v>
      </c>
      <c r="L22" s="96" t="s">
        <v>137</v>
      </c>
      <c r="M22" s="98">
        <v>2.3480000000000001E-2</v>
      </c>
    </row>
    <row r="23" spans="4:13" x14ac:dyDescent="0.2">
      <c r="D23" s="45" t="str">
        <v>GBP_YCSTDRH_SB6L12Y</v>
      </c>
      <c r="E23" s="44">
        <f>_xll.qlRateHelperRate($D23)</f>
        <v>2.1425E-2</v>
      </c>
      <c r="F23" s="44">
        <f>IF(ISERROR(_xll.qlSwapRateHelperSpread($D23)),IF(ISERROR(_xll.qlFuturesRateHelperConvexityAdjustment($D23)),"--",_xll.qlFuturesRateHelperConvexityAdjustment($D23)),_xll.qlSwapRateHelperSpread($D23))</f>
        <v>0</v>
      </c>
      <c r="G23" s="43">
        <f>_xll.qlRateHelperEarliestDate($D23)</f>
        <v>41656</v>
      </c>
      <c r="H23" s="42">
        <f>_xll.qlRateHelperLatestDate($D23)</f>
        <v>46041</v>
      </c>
      <c r="I23" s="37">
        <v>2.2168475256587234E-2</v>
      </c>
      <c r="J23" s="1">
        <f t="shared" si="0"/>
        <v>733</v>
      </c>
      <c r="L23" s="96" t="s">
        <v>138</v>
      </c>
      <c r="M23" s="98">
        <v>2.5919999999999999E-2</v>
      </c>
    </row>
    <row r="24" spans="4:13" x14ac:dyDescent="0.2">
      <c r="D24" s="45" t="str">
        <v>GBP_YCSTDRH_SB6L15Y</v>
      </c>
      <c r="E24" s="44">
        <f>_xll.qlRateHelperRate($D24)</f>
        <v>2.4324999999999999E-2</v>
      </c>
      <c r="F24" s="44">
        <f>IF(ISERROR(_xll.qlSwapRateHelperSpread($D24)),IF(ISERROR(_xll.qlFuturesRateHelperConvexityAdjustment($D24)),"--",_xll.qlFuturesRateHelperConvexityAdjustment($D24)),_xll.qlSwapRateHelperSpread($D24))</f>
        <v>0</v>
      </c>
      <c r="G24" s="43">
        <f>_xll.qlRateHelperEarliestDate($D24)</f>
        <v>41656</v>
      </c>
      <c r="H24" s="42">
        <f>_xll.qlRateHelperLatestDate($D24)</f>
        <v>47135</v>
      </c>
      <c r="I24" s="37">
        <v>2.5474489703663783E-2</v>
      </c>
      <c r="J24" s="1">
        <f t="shared" si="0"/>
        <v>1094</v>
      </c>
      <c r="L24" s="96" t="s">
        <v>139</v>
      </c>
      <c r="M24" s="98">
        <v>2.8369999999999999E-2</v>
      </c>
    </row>
    <row r="25" spans="4:13" x14ac:dyDescent="0.2">
      <c r="D25" s="45" t="str">
        <v>GBP_YCSTDRH_SB6L20Y</v>
      </c>
      <c r="E25" s="44">
        <f>_xll.qlRateHelperRate($D25)</f>
        <v>2.7300000000000001E-2</v>
      </c>
      <c r="F25" s="44">
        <f>IF(ISERROR(_xll.qlSwapRateHelperSpread($D25)),IF(ISERROR(_xll.qlFuturesRateHelperConvexityAdjustment($D25)),"--",_xll.qlFuturesRateHelperConvexityAdjustment($D25)),_xll.qlSwapRateHelperSpread($D25))</f>
        <v>0</v>
      </c>
      <c r="G25" s="43">
        <f>_xll.qlRateHelperEarliestDate($D25)</f>
        <v>41656</v>
      </c>
      <c r="H25" s="42">
        <f>_xll.qlRateHelperLatestDate($D25)</f>
        <v>48961</v>
      </c>
      <c r="I25" s="37">
        <v>2.9021489425513563E-2</v>
      </c>
      <c r="J25" s="1">
        <f t="shared" si="0"/>
        <v>1826</v>
      </c>
      <c r="L25" s="96" t="s">
        <v>140</v>
      </c>
      <c r="M25" s="98">
        <v>3.0859999999999999E-2</v>
      </c>
    </row>
    <row r="26" spans="4:13" x14ac:dyDescent="0.2">
      <c r="D26" s="45" t="str">
        <v>GBP_YCSTDRH_SB6L25Y</v>
      </c>
      <c r="E26" s="44">
        <f>_xll.qlRateHelperRate($D26)</f>
        <v>2.8875000000000001E-2</v>
      </c>
      <c r="F26" s="44">
        <f>IF(ISERROR(_xll.qlSwapRateHelperSpread($D26)),IF(ISERROR(_xll.qlFuturesRateHelperConvexityAdjustment($D26)),"--",_xll.qlFuturesRateHelperConvexityAdjustment($D26)),_xll.qlSwapRateHelperSpread($D26))</f>
        <v>0</v>
      </c>
      <c r="G26" s="43">
        <f>_xll.qlRateHelperEarliestDate($D26)</f>
        <v>41656</v>
      </c>
      <c r="H26" s="42">
        <f>_xll.qlRateHelperLatestDate($D26)</f>
        <v>50787</v>
      </c>
      <c r="I26" s="37">
        <v>3.0943026261865438E-2</v>
      </c>
      <c r="J26" s="1">
        <f t="shared" si="0"/>
        <v>1826</v>
      </c>
      <c r="L26" s="96" t="s">
        <v>141</v>
      </c>
      <c r="M26" s="98">
        <v>3.2079999999999997E-2</v>
      </c>
    </row>
    <row r="27" spans="4:13" x14ac:dyDescent="0.2">
      <c r="D27" s="45" t="str">
        <v>GBP_YCSTDRH_SB6L30Y</v>
      </c>
      <c r="E27" s="44">
        <f>_xll.qlRateHelperRate($D27)</f>
        <v>2.9575000000000001E-2</v>
      </c>
      <c r="F27" s="44">
        <f>IF(ISERROR(_xll.qlSwapRateHelperSpread($D27)),IF(ISERROR(_xll.qlFuturesRateHelperConvexityAdjustment($D27)),"--",_xll.qlFuturesRateHelperConvexityAdjustment($D27)),_xll.qlSwapRateHelperSpread($D27))</f>
        <v>0</v>
      </c>
      <c r="G27" s="43">
        <f>_xll.qlRateHelperEarliestDate($D27)</f>
        <v>41656</v>
      </c>
      <c r="H27" s="42">
        <f>_xll.qlRateHelperLatestDate($D27)</f>
        <v>52614</v>
      </c>
      <c r="I27" s="37">
        <v>3.1704326244959745E-2</v>
      </c>
      <c r="J27" s="1">
        <f t="shared" si="0"/>
        <v>1827</v>
      </c>
      <c r="L27" s="96" t="s">
        <v>142</v>
      </c>
      <c r="M27" s="98">
        <v>3.2649999999999998E-2</v>
      </c>
    </row>
    <row r="28" spans="4:13" x14ac:dyDescent="0.2">
      <c r="D28" s="45" t="str">
        <v>GBP_YCSTDRH_SB6L40Y</v>
      </c>
      <c r="E28" s="44">
        <f>_xll.qlRateHelperRate($D28)</f>
        <v>3.0374999999999999E-2</v>
      </c>
      <c r="F28" s="44">
        <f>IF(ISERROR(_xll.qlSwapRateHelperSpread($D28)),IF(ISERROR(_xll.qlFuturesRateHelperConvexityAdjustment($D28)),"--",_xll.qlFuturesRateHelperConvexityAdjustment($D28)),_xll.qlSwapRateHelperSpread($D28))</f>
        <v>0</v>
      </c>
      <c r="G28" s="43">
        <f>_xll.qlRateHelperEarliestDate($D28)</f>
        <v>41656</v>
      </c>
      <c r="H28" s="42">
        <f>_xll.qlRateHelperLatestDate($D28)</f>
        <v>56268</v>
      </c>
      <c r="I28" s="37">
        <v>3.25916937436347E-2</v>
      </c>
      <c r="J28" s="1">
        <f t="shared" si="0"/>
        <v>3654</v>
      </c>
      <c r="L28" s="96" t="s">
        <v>143</v>
      </c>
      <c r="M28" s="98">
        <v>3.288E-2</v>
      </c>
    </row>
    <row r="29" spans="4:13" x14ac:dyDescent="0.2">
      <c r="D29" s="45" t="str">
        <v>GBP_YCSTDRH_SB6L50Y</v>
      </c>
      <c r="E29" s="44">
        <f>_xll.qlRateHelperRate($D29)</f>
        <v>3.0550000000000001E-2</v>
      </c>
      <c r="F29" s="44">
        <f>IF(ISERROR(_xll.qlSwapRateHelperSpread($D29)),IF(ISERROR(_xll.qlFuturesRateHelperConvexityAdjustment($D29)),"--",_xll.qlFuturesRateHelperConvexityAdjustment($D29)),_xll.qlSwapRateHelperSpread($D29))</f>
        <v>0</v>
      </c>
      <c r="G29" s="43">
        <f>_xll.qlRateHelperEarliestDate($D29)</f>
        <v>41656</v>
      </c>
      <c r="H29" s="42">
        <f>_xll.qlRateHelperLatestDate($D29)</f>
        <v>59918</v>
      </c>
      <c r="I29" s="37">
        <v>3.249546753489941E-2</v>
      </c>
      <c r="J29" s="1">
        <f t="shared" si="0"/>
        <v>3650</v>
      </c>
      <c r="L29" s="96" t="s">
        <v>144</v>
      </c>
      <c r="M29" s="98">
        <v>3.2730000000000002E-2</v>
      </c>
    </row>
    <row r="30" spans="4:13" x14ac:dyDescent="0.2">
      <c r="D30" s="45" t="str">
        <v>GBP_YCSTDRH_SB6L60Y</v>
      </c>
      <c r="E30" s="44">
        <f>_xll.qlRateHelperRate($D30)</f>
        <v>3.0800000000000001E-2</v>
      </c>
      <c r="F30" s="44">
        <f>IF(ISERROR(_xll.qlSwapRateHelperSpread($D30)),IF(ISERROR(_xll.qlFuturesRateHelperConvexityAdjustment($D30)),"--",_xll.qlFuturesRateHelperConvexityAdjustment($D30)),_xll.qlSwapRateHelperSpread($D30))</f>
        <v>0</v>
      </c>
      <c r="G30" s="43">
        <f>_xll.qlRateHelperEarliestDate($D30)</f>
        <v>41656</v>
      </c>
      <c r="H30" s="42">
        <f>_xll.qlRateHelperLatestDate($D30)</f>
        <v>63571</v>
      </c>
      <c r="I30" s="37">
        <v>3.2829539655675546E-2</v>
      </c>
      <c r="J30" s="1">
        <f t="shared" si="0"/>
        <v>3653</v>
      </c>
      <c r="L30" s="96" t="s">
        <v>145</v>
      </c>
      <c r="M30" s="98">
        <v>3.2840000000000001E-2</v>
      </c>
    </row>
    <row r="31" spans="4:13" x14ac:dyDescent="0.2">
      <c r="D31" s="45" t="e">
        <v>#N/A</v>
      </c>
      <c r="E31" s="44" t="e">
        <f>_xll.qlRateHelperRate($D31)</f>
        <v>#VALUE!</v>
      </c>
      <c r="F31" s="44" t="str">
        <f>IF(ISERROR(_xll.qlSwapRateHelperSpread($D31)),IF(ISERROR(_xll.qlFuturesRateHelperConvexityAdjustment($D31)),"--",_xll.qlFuturesRateHelperConvexityAdjustment($D31)),_xll.qlSwapRateHelperSpread($D31))</f>
        <v>--</v>
      </c>
      <c r="G31" s="43" t="e">
        <f>_xll.qlRateHelperEarliestDate($D31)</f>
        <v>#VALUE!</v>
      </c>
      <c r="H31" s="42" t="e">
        <f>_xll.qlRateHelperLatestDate($D31)</f>
        <v>#VALUE!</v>
      </c>
      <c r="I31" s="37" t="e">
        <v>#N/A</v>
      </c>
      <c r="J31" s="1" t="e">
        <f t="shared" si="0"/>
        <v>#VALUE!</v>
      </c>
    </row>
    <row r="32" spans="4:13" x14ac:dyDescent="0.2">
      <c r="D32" s="45" t="e">
        <v>#N/A</v>
      </c>
      <c r="E32" s="44" t="e">
        <f>_xll.qlRateHelperRate($D32)</f>
        <v>#VALUE!</v>
      </c>
      <c r="F32" s="44" t="str">
        <f>IF(ISERROR(_xll.qlSwapRateHelperSpread($D32)),IF(ISERROR(_xll.qlFuturesRateHelperConvexityAdjustment($D32)),"--",_xll.qlFuturesRateHelperConvexityAdjustment($D32)),_xll.qlSwapRateHelperSpread($D32))</f>
        <v>--</v>
      </c>
      <c r="G32" s="43" t="e">
        <f>_xll.qlRateHelperEarliestDate($D32)</f>
        <v>#VALUE!</v>
      </c>
      <c r="H32" s="42" t="e">
        <f>_xll.qlRateHelperLatestDate($D32)</f>
        <v>#VALUE!</v>
      </c>
      <c r="I32" s="37" t="e">
        <v>#N/A</v>
      </c>
      <c r="J32" s="1" t="e">
        <f t="shared" si="0"/>
        <v>#VALUE!</v>
      </c>
    </row>
    <row r="33" spans="4:10" x14ac:dyDescent="0.2">
      <c r="D33" s="45" t="e">
        <v>#N/A</v>
      </c>
      <c r="E33" s="44" t="e">
        <f>_xll.qlRateHelperRate($D33)</f>
        <v>#VALUE!</v>
      </c>
      <c r="F33" s="44" t="str">
        <f>IF(ISERROR(_xll.qlSwapRateHelperSpread($D33)),IF(ISERROR(_xll.qlFuturesRateHelperConvexityAdjustment($D33)),"--",_xll.qlFuturesRateHelperConvexityAdjustment($D33)),_xll.qlSwapRateHelperSpread($D33))</f>
        <v>--</v>
      </c>
      <c r="G33" s="43" t="e">
        <f>_xll.qlRateHelperEarliestDate($D33)</f>
        <v>#VALUE!</v>
      </c>
      <c r="H33" s="42" t="e">
        <f>_xll.qlRateHelperLatestDate($D33)</f>
        <v>#VALUE!</v>
      </c>
      <c r="I33" s="37" t="e">
        <v>#N/A</v>
      </c>
      <c r="J33" s="1" t="e">
        <f t="shared" si="0"/>
        <v>#VALUE!</v>
      </c>
    </row>
    <row r="34" spans="4:10" x14ac:dyDescent="0.2">
      <c r="D34" s="45" t="e">
        <v>#N/A</v>
      </c>
      <c r="E34" s="44" t="e">
        <f>_xll.qlRateHelperRate($D34)</f>
        <v>#VALUE!</v>
      </c>
      <c r="F34" s="44" t="str">
        <f>IF(ISERROR(_xll.qlSwapRateHelperSpread($D34)),IF(ISERROR(_xll.qlFuturesRateHelperConvexityAdjustment($D34)),"--",_xll.qlFuturesRateHelperConvexityAdjustment($D34)),_xll.qlSwapRateHelperSpread($D34))</f>
        <v>--</v>
      </c>
      <c r="G34" s="43" t="e">
        <f>_xll.qlRateHelperEarliestDate($D34)</f>
        <v>#VALUE!</v>
      </c>
      <c r="H34" s="42" t="e">
        <f>_xll.qlRateHelperLatestDate($D34)</f>
        <v>#VALUE!</v>
      </c>
      <c r="I34" s="37" t="e">
        <v>#N/A</v>
      </c>
      <c r="J34" s="1" t="e">
        <f t="shared" si="0"/>
        <v>#VALUE!</v>
      </c>
    </row>
    <row r="35" spans="4:10" x14ac:dyDescent="0.2">
      <c r="D35" s="45" t="e">
        <v>#N/A</v>
      </c>
      <c r="E35" s="44" t="e">
        <f>_xll.qlRateHelperRate($D35)</f>
        <v>#VALUE!</v>
      </c>
      <c r="F35" s="44" t="str">
        <f>IF(ISERROR(_xll.qlSwapRateHelperSpread($D35)),IF(ISERROR(_xll.qlFuturesRateHelperConvexityAdjustment($D35)),"--",_xll.qlFuturesRateHelperConvexityAdjustment($D35)),_xll.qlSwapRateHelperSpread($D35))</f>
        <v>--</v>
      </c>
      <c r="G35" s="43" t="e">
        <f>_xll.qlRateHelperEarliestDate($D35)</f>
        <v>#VALUE!</v>
      </c>
      <c r="H35" s="42" t="e">
        <f>_xll.qlRateHelperLatestDate($D35)</f>
        <v>#VALUE!</v>
      </c>
      <c r="I35" s="37" t="e">
        <v>#N/A</v>
      </c>
      <c r="J35" s="1" t="e">
        <f t="shared" si="0"/>
        <v>#VALUE!</v>
      </c>
    </row>
    <row r="36" spans="4:10" x14ac:dyDescent="0.2">
      <c r="D36" s="45" t="e">
        <v>#N/A</v>
      </c>
      <c r="E36" s="44" t="e">
        <f>_xll.qlRateHelperRate($D36)</f>
        <v>#VALUE!</v>
      </c>
      <c r="F36" s="44" t="str">
        <f>IF(ISERROR(_xll.qlSwapRateHelperSpread($D36)),IF(ISERROR(_xll.qlFuturesRateHelperConvexityAdjustment($D36)),"--",_xll.qlFuturesRateHelperConvexityAdjustment($D36)),_xll.qlSwapRateHelperSpread($D36))</f>
        <v>--</v>
      </c>
      <c r="G36" s="43" t="e">
        <f>_xll.qlRateHelperEarliestDate($D36)</f>
        <v>#VALUE!</v>
      </c>
      <c r="H36" s="42" t="e">
        <f>_xll.qlRateHelperLatestDate($D36)</f>
        <v>#VALUE!</v>
      </c>
      <c r="I36" s="37" t="e">
        <v>#N/A</v>
      </c>
      <c r="J36" s="1" t="e">
        <f t="shared" si="0"/>
        <v>#VALUE!</v>
      </c>
    </row>
    <row r="37" spans="4:10" x14ac:dyDescent="0.2">
      <c r="D37" s="45" t="e">
        <v>#N/A</v>
      </c>
      <c r="E37" s="44" t="e">
        <f>_xll.qlRateHelperRate($D37)</f>
        <v>#VALUE!</v>
      </c>
      <c r="F37" s="44" t="str">
        <f>IF(ISERROR(_xll.qlSwapRateHelperSpread($D37)),IF(ISERROR(_xll.qlFuturesRateHelperConvexityAdjustment($D37)),"--",_xll.qlFuturesRateHelperConvexityAdjustment($D37)),_xll.qlSwapRateHelperSpread($D37))</f>
        <v>--</v>
      </c>
      <c r="G37" s="43" t="e">
        <f>_xll.qlRateHelperEarliestDate($D37)</f>
        <v>#VALUE!</v>
      </c>
      <c r="H37" s="42" t="e">
        <f>_xll.qlRateHelperLatestDate($D37)</f>
        <v>#VALUE!</v>
      </c>
      <c r="I37" s="37" t="e">
        <v>#N/A</v>
      </c>
    </row>
    <row r="38" spans="4:10" x14ac:dyDescent="0.2">
      <c r="D38" s="45" t="e">
        <v>#N/A</v>
      </c>
      <c r="E38" s="44" t="e">
        <f>_xll.qlRateHelperRate($D38)</f>
        <v>#VALUE!</v>
      </c>
      <c r="F38" s="44" t="str">
        <f>IF(ISERROR(_xll.qlSwapRateHelperSpread($D38)),IF(ISERROR(_xll.qlFuturesRateHelperConvexityAdjustment($D38)),"--",_xll.qlFuturesRateHelperConvexityAdjustment($D38)),_xll.qlSwapRateHelperSpread($D38))</f>
        <v>--</v>
      </c>
      <c r="G38" s="43" t="e">
        <f>_xll.qlRateHelperEarliestDate($D38)</f>
        <v>#VALUE!</v>
      </c>
      <c r="H38" s="42" t="e">
        <f>_xll.qlRateHelperLatestDate($D38)</f>
        <v>#VALUE!</v>
      </c>
      <c r="I38" s="37" t="e">
        <v>#N/A</v>
      </c>
    </row>
    <row r="39" spans="4:10" x14ac:dyDescent="0.2">
      <c r="D39" s="45" t="e">
        <v>#N/A</v>
      </c>
      <c r="E39" s="44" t="e">
        <f>_xll.qlRateHelperRate($D39)</f>
        <v>#VALUE!</v>
      </c>
      <c r="F39" s="44" t="str">
        <f>IF(ISERROR(_xll.qlSwapRateHelperSpread($D39)),IF(ISERROR(_xll.qlFuturesRateHelperConvexityAdjustment($D39)),"--",_xll.qlFuturesRateHelperConvexityAdjustment($D39)),_xll.qlSwapRateHelperSpread($D39))</f>
        <v>--</v>
      </c>
      <c r="G39" s="43" t="e">
        <f>_xll.qlRateHelperEarliestDate($D39)</f>
        <v>#VALUE!</v>
      </c>
      <c r="H39" s="42" t="e">
        <f>_xll.qlRateHelperLatestDate($D39)</f>
        <v>#VALUE!</v>
      </c>
      <c r="I39" s="37" t="e">
        <v>#N/A</v>
      </c>
    </row>
    <row r="40" spans="4:10" x14ac:dyDescent="0.2">
      <c r="D40" s="45" t="e">
        <v>#N/A</v>
      </c>
      <c r="E40" s="44" t="e">
        <f>_xll.qlRateHelperRate($D40)</f>
        <v>#VALUE!</v>
      </c>
      <c r="F40" s="44" t="str">
        <f>IF(ISERROR(_xll.qlSwapRateHelperSpread($D40)),IF(ISERROR(_xll.qlFuturesRateHelperConvexityAdjustment($D40)),"--",_xll.qlFuturesRateHelperConvexityAdjustment($D40)),_xll.qlSwapRateHelperSpread($D40))</f>
        <v>--</v>
      </c>
      <c r="G40" s="43" t="e">
        <f>_xll.qlRateHelperEarliestDate($D40)</f>
        <v>#VALUE!</v>
      </c>
      <c r="H40" s="42" t="e">
        <f>_xll.qlRateHelperLatestDate($D40)</f>
        <v>#VALUE!</v>
      </c>
      <c r="I40" s="37" t="e">
        <v>#N/A</v>
      </c>
    </row>
    <row r="41" spans="4:10" x14ac:dyDescent="0.2">
      <c r="D41" s="45" t="e">
        <v>#N/A</v>
      </c>
      <c r="E41" s="44" t="e">
        <f>_xll.qlRateHelperRate($D41)</f>
        <v>#VALUE!</v>
      </c>
      <c r="F41" s="44" t="str">
        <f>IF(ISERROR(_xll.qlSwapRateHelperSpread($D41)),IF(ISERROR(_xll.qlFuturesRateHelperConvexityAdjustment($D41)),"--",_xll.qlFuturesRateHelperConvexityAdjustment($D41)),_xll.qlSwapRateHelperSpread($D41))</f>
        <v>--</v>
      </c>
      <c r="G41" s="43" t="e">
        <f>_xll.qlRateHelperEarliestDate($D41)</f>
        <v>#VALUE!</v>
      </c>
      <c r="H41" s="42" t="e">
        <f>_xll.qlRateHelperLatestDate($D41)</f>
        <v>#VALUE!</v>
      </c>
      <c r="I41" s="37" t="e">
        <v>#N/A</v>
      </c>
    </row>
    <row r="42" spans="4:10" x14ac:dyDescent="0.2">
      <c r="D42" s="45" t="e">
        <v>#N/A</v>
      </c>
      <c r="E42" s="44" t="e">
        <f>_xll.qlRateHelperRate($D42)</f>
        <v>#VALUE!</v>
      </c>
      <c r="F42" s="44" t="str">
        <f>IF(ISERROR(_xll.qlSwapRateHelperSpread($D42)),IF(ISERROR(_xll.qlFuturesRateHelperConvexityAdjustment($D42)),"--",_xll.qlFuturesRateHelperConvexityAdjustment($D42)),_xll.qlSwapRateHelperSpread($D42))</f>
        <v>--</v>
      </c>
      <c r="G42" s="43" t="e">
        <f>_xll.qlRateHelperEarliestDate($D42)</f>
        <v>#VALUE!</v>
      </c>
      <c r="H42" s="42" t="e">
        <f>_xll.qlRateHelperLatestDate($D42)</f>
        <v>#VALUE!</v>
      </c>
      <c r="I42" s="37" t="e">
        <v>#N/A</v>
      </c>
    </row>
    <row r="43" spans="4:10" x14ac:dyDescent="0.2">
      <c r="D43" s="45" t="e">
        <v>#N/A</v>
      </c>
      <c r="E43" s="44" t="e">
        <f>_xll.qlRateHelperRate($D43)</f>
        <v>#VALUE!</v>
      </c>
      <c r="F43" s="44" t="str">
        <f>IF(ISERROR(_xll.qlSwapRateHelperSpread($D43)),IF(ISERROR(_xll.qlFuturesRateHelperConvexityAdjustment($D43)),"--",_xll.qlFuturesRateHelperConvexityAdjustment($D43)),_xll.qlSwapRateHelperSpread($D43))</f>
        <v>--</v>
      </c>
      <c r="G43" s="43" t="e">
        <f>_xll.qlRateHelperEarliestDate($D43)</f>
        <v>#VALUE!</v>
      </c>
      <c r="H43" s="42" t="e">
        <f>_xll.qlRateHelperLatestDate($D43)</f>
        <v>#VALUE!</v>
      </c>
      <c r="I43" s="37" t="e">
        <v>#N/A</v>
      </c>
    </row>
    <row r="44" spans="4:10" x14ac:dyDescent="0.2">
      <c r="D44" s="45" t="e">
        <v>#N/A</v>
      </c>
      <c r="E44" s="44" t="e">
        <f>_xll.qlRateHelperRate($D44)</f>
        <v>#VALUE!</v>
      </c>
      <c r="F44" s="44" t="str">
        <f>IF(ISERROR(_xll.qlSwapRateHelperSpread($D44)),IF(ISERROR(_xll.qlFuturesRateHelperConvexityAdjustment($D44)),"--",_xll.qlFuturesRateHelperConvexityAdjustment($D44)),_xll.qlSwapRateHelperSpread($D44))</f>
        <v>--</v>
      </c>
      <c r="G44" s="43" t="e">
        <f>_xll.qlRateHelperEarliestDate($D44)</f>
        <v>#VALUE!</v>
      </c>
      <c r="H44" s="42" t="e">
        <f>_xll.qlRateHelperLatestDate($D44)</f>
        <v>#VALUE!</v>
      </c>
      <c r="I44" s="37" t="e">
        <v>#N/A</v>
      </c>
    </row>
    <row r="45" spans="4:10" x14ac:dyDescent="0.2">
      <c r="D45" s="45" t="e">
        <v>#N/A</v>
      </c>
      <c r="E45" s="44" t="e">
        <f>_xll.qlRateHelperRate($D45)</f>
        <v>#VALUE!</v>
      </c>
      <c r="F45" s="44" t="str">
        <f>IF(ISERROR(_xll.qlSwapRateHelperSpread($D45)),IF(ISERROR(_xll.qlFuturesRateHelperConvexityAdjustment($D45)),"--",_xll.qlFuturesRateHelperConvexityAdjustment($D45)),_xll.qlSwapRateHelperSpread($D45))</f>
        <v>--</v>
      </c>
      <c r="G45" s="43" t="e">
        <f>_xll.qlRateHelperEarliestDate($D45)</f>
        <v>#VALUE!</v>
      </c>
      <c r="H45" s="42" t="e">
        <f>_xll.qlRateHelperLatestDate($D45)</f>
        <v>#VALUE!</v>
      </c>
      <c r="I45" s="37" t="e">
        <v>#N/A</v>
      </c>
    </row>
    <row r="46" spans="4:10" x14ac:dyDescent="0.2">
      <c r="D46" s="45" t="e">
        <v>#N/A</v>
      </c>
      <c r="E46" s="44" t="e">
        <f>_xll.qlRateHelperRate($D46)</f>
        <v>#VALUE!</v>
      </c>
      <c r="F46" s="44" t="str">
        <f>IF(ISERROR(_xll.qlSwapRateHelperSpread($D46)),IF(ISERROR(_xll.qlFuturesRateHelperConvexityAdjustment($D46)),"--",_xll.qlFuturesRateHelperConvexityAdjustment($D46)),_xll.qlSwapRateHelperSpread($D46))</f>
        <v>--</v>
      </c>
      <c r="G46" s="43" t="e">
        <f>_xll.qlRateHelperEarliestDate($D46)</f>
        <v>#VALUE!</v>
      </c>
      <c r="H46" s="42" t="e">
        <f>_xll.qlRateHelperLatestDate($D46)</f>
        <v>#VALUE!</v>
      </c>
      <c r="I46" s="37" t="e">
        <v>#N/A</v>
      </c>
    </row>
    <row r="47" spans="4:10" x14ac:dyDescent="0.2">
      <c r="D47" s="45" t="e">
        <v>#N/A</v>
      </c>
      <c r="E47" s="44" t="e">
        <f>_xll.qlRateHelperRate($D47)</f>
        <v>#VALUE!</v>
      </c>
      <c r="F47" s="44" t="str">
        <f>IF(ISERROR(_xll.qlSwapRateHelperSpread($D47)),IF(ISERROR(_xll.qlFuturesRateHelperConvexityAdjustment($D47)),"--",_xll.qlFuturesRateHelperConvexityAdjustment($D47)),_xll.qlSwapRateHelperSpread($D47))</f>
        <v>--</v>
      </c>
      <c r="G47" s="43" t="e">
        <f>_xll.qlRateHelperEarliestDate($D47)</f>
        <v>#VALUE!</v>
      </c>
      <c r="H47" s="42" t="e">
        <f>_xll.qlRateHelperLatestDate($D47)</f>
        <v>#VALUE!</v>
      </c>
      <c r="I47" s="37" t="e">
        <v>#N/A</v>
      </c>
    </row>
    <row r="48" spans="4:10" x14ac:dyDescent="0.2">
      <c r="D48" s="45" t="e">
        <v>#N/A</v>
      </c>
      <c r="E48" s="44" t="e">
        <f>_xll.qlRateHelperRate($D48)</f>
        <v>#VALUE!</v>
      </c>
      <c r="F48" s="44" t="str">
        <f>IF(ISERROR(_xll.qlSwapRateHelperSpread($D48)),IF(ISERROR(_xll.qlFuturesRateHelperConvexityAdjustment($D48)),"--",_xll.qlFuturesRateHelperConvexityAdjustment($D48)),_xll.qlSwapRateHelperSpread($D48))</f>
        <v>--</v>
      </c>
      <c r="G48" s="43" t="e">
        <f>_xll.qlRateHelperEarliestDate($D48)</f>
        <v>#VALUE!</v>
      </c>
      <c r="H48" s="42" t="e">
        <f>_xll.qlRateHelperLatestDate($D48)</f>
        <v>#VALUE!</v>
      </c>
      <c r="I48" s="37" t="e">
        <v>#N/A</v>
      </c>
    </row>
    <row r="49" spans="4:9" x14ac:dyDescent="0.2">
      <c r="D49" s="45" t="e">
        <v>#N/A</v>
      </c>
      <c r="E49" s="44" t="e">
        <f>_xll.qlRateHelperRate($D49)</f>
        <v>#VALUE!</v>
      </c>
      <c r="F49" s="44" t="str">
        <f>IF(ISERROR(_xll.qlSwapRateHelperSpread($D49)),IF(ISERROR(_xll.qlFuturesRateHelperConvexityAdjustment($D49)),"--",_xll.qlFuturesRateHelperConvexityAdjustment($D49)),_xll.qlSwapRateHelperSpread($D49))</f>
        <v>--</v>
      </c>
      <c r="G49" s="43" t="e">
        <f>_xll.qlRateHelperEarliestDate($D49)</f>
        <v>#VALUE!</v>
      </c>
      <c r="H49" s="42" t="e">
        <f>_xll.qlRateHelperLatestDate($D49)</f>
        <v>#VALUE!</v>
      </c>
      <c r="I49" s="37" t="e">
        <v>#N/A</v>
      </c>
    </row>
    <row r="50" spans="4:9" x14ac:dyDescent="0.2">
      <c r="D50" s="45" t="e">
        <v>#N/A</v>
      </c>
      <c r="E50" s="44" t="e">
        <f>_xll.qlRateHelperRate($D50)</f>
        <v>#VALUE!</v>
      </c>
      <c r="F50" s="44" t="str">
        <f>IF(ISERROR(_xll.qlSwapRateHelperSpread($D50)),IF(ISERROR(_xll.qlFuturesRateHelperConvexityAdjustment($D50)),"--",_xll.qlFuturesRateHelperConvexityAdjustment($D50)),_xll.qlSwapRateHelperSpread($D50))</f>
        <v>--</v>
      </c>
      <c r="G50" s="43" t="e">
        <f>_xll.qlRateHelperEarliestDate($D50)</f>
        <v>#VALUE!</v>
      </c>
      <c r="H50" s="42" t="e">
        <f>_xll.qlRateHelperLatestDate($D50)</f>
        <v>#VALUE!</v>
      </c>
      <c r="I50" s="37" t="e">
        <v>#N/A</v>
      </c>
    </row>
    <row r="51" spans="4:9" x14ac:dyDescent="0.2">
      <c r="D51" s="45" t="e">
        <v>#N/A</v>
      </c>
      <c r="E51" s="44" t="e">
        <f>_xll.qlRateHelperRate($D51)</f>
        <v>#VALUE!</v>
      </c>
      <c r="F51" s="44" t="str">
        <f>IF(ISERROR(_xll.qlSwapRateHelperSpread($D51)),IF(ISERROR(_xll.qlFuturesRateHelperConvexityAdjustment($D51)),"--",_xll.qlFuturesRateHelperConvexityAdjustment($D51)),_xll.qlSwapRateHelperSpread($D51))</f>
        <v>--</v>
      </c>
      <c r="G51" s="43" t="e">
        <f>_xll.qlRateHelperEarliestDate($D51)</f>
        <v>#VALUE!</v>
      </c>
      <c r="H51" s="42" t="e">
        <f>_xll.qlRateHelperLatestDate($D51)</f>
        <v>#VALUE!</v>
      </c>
      <c r="I51" s="37" t="e">
        <v>#N/A</v>
      </c>
    </row>
    <row r="52" spans="4:9" x14ac:dyDescent="0.2">
      <c r="D52" s="45" t="e">
        <v>#N/A</v>
      </c>
      <c r="E52" s="44" t="e">
        <f>_xll.qlRateHelperRate($D52)</f>
        <v>#VALUE!</v>
      </c>
      <c r="F52" s="44" t="str">
        <f>IF(ISERROR(_xll.qlSwapRateHelperSpread($D52)),IF(ISERROR(_xll.qlFuturesRateHelperConvexityAdjustment($D52)),"--",_xll.qlFuturesRateHelperConvexityAdjustment($D52)),_xll.qlSwapRateHelperSpread($D52))</f>
        <v>--</v>
      </c>
      <c r="G52" s="43" t="e">
        <f>_xll.qlRateHelperEarliestDate($D52)</f>
        <v>#VALUE!</v>
      </c>
      <c r="H52" s="42" t="e">
        <f>_xll.qlRateHelperLatestDate($D52)</f>
        <v>#VALUE!</v>
      </c>
      <c r="I52" s="37" t="e">
        <v>#N/A</v>
      </c>
    </row>
    <row r="53" spans="4:9" x14ac:dyDescent="0.2">
      <c r="D53" s="45" t="e">
        <v>#N/A</v>
      </c>
      <c r="E53" s="44" t="e">
        <f>_xll.qlRateHelperRate($D53)</f>
        <v>#VALUE!</v>
      </c>
      <c r="F53" s="44" t="str">
        <f>IF(ISERROR(_xll.qlSwapRateHelperSpread($D53)),IF(ISERROR(_xll.qlFuturesRateHelperConvexityAdjustment($D53)),"--",_xll.qlFuturesRateHelperConvexityAdjustment($D53)),_xll.qlSwapRateHelperSpread($D53))</f>
        <v>--</v>
      </c>
      <c r="G53" s="43" t="e">
        <f>_xll.qlRateHelperEarliestDate($D53)</f>
        <v>#VALUE!</v>
      </c>
      <c r="H53" s="42" t="e">
        <f>_xll.qlRateHelperLatestDate($D53)</f>
        <v>#VALUE!</v>
      </c>
      <c r="I53" s="37" t="e">
        <v>#N/A</v>
      </c>
    </row>
    <row r="54" spans="4:9" x14ac:dyDescent="0.2">
      <c r="D54" s="45" t="e">
        <v>#N/A</v>
      </c>
      <c r="E54" s="44" t="e">
        <f>_xll.qlRateHelperRate($D54)</f>
        <v>#VALUE!</v>
      </c>
      <c r="F54" s="44" t="str">
        <f>IF(ISERROR(_xll.qlSwapRateHelperSpread($D54)),IF(ISERROR(_xll.qlFuturesRateHelperConvexityAdjustment($D54)),"--",_xll.qlFuturesRateHelperConvexityAdjustment($D54)),_xll.qlSwapRateHelperSpread($D54))</f>
        <v>--</v>
      </c>
      <c r="G54" s="43" t="e">
        <f>_xll.qlRateHelperEarliestDate($D54)</f>
        <v>#VALUE!</v>
      </c>
      <c r="H54" s="42" t="e">
        <f>_xll.qlRateHelperLatestDate($D54)</f>
        <v>#VALUE!</v>
      </c>
      <c r="I54" s="37" t="e">
        <v>#N/A</v>
      </c>
    </row>
    <row r="55" spans="4:9" x14ac:dyDescent="0.2">
      <c r="D55" s="45" t="e">
        <v>#N/A</v>
      </c>
      <c r="E55" s="44" t="e">
        <f>_xll.qlRateHelperRate($D55)</f>
        <v>#VALUE!</v>
      </c>
      <c r="F55" s="44" t="str">
        <f>IF(ISERROR(_xll.qlSwapRateHelperSpread($D55)),IF(ISERROR(_xll.qlFuturesRateHelperConvexityAdjustment($D55)),"--",_xll.qlFuturesRateHelperConvexityAdjustment($D55)),_xll.qlSwapRateHelperSpread($D55))</f>
        <v>--</v>
      </c>
      <c r="G55" s="43" t="e">
        <f>_xll.qlRateHelperEarliestDate($D55)</f>
        <v>#VALUE!</v>
      </c>
      <c r="H55" s="42" t="e">
        <f>_xll.qlRateHelperLatestDate($D55)</f>
        <v>#VALUE!</v>
      </c>
      <c r="I55" s="37" t="e">
        <v>#N/A</v>
      </c>
    </row>
    <row r="56" spans="4:9" x14ac:dyDescent="0.2">
      <c r="D56" s="45" t="e">
        <v>#N/A</v>
      </c>
      <c r="E56" s="44" t="e">
        <f>_xll.qlRateHelperRate($D56)</f>
        <v>#VALUE!</v>
      </c>
      <c r="F56" s="44" t="str">
        <f>IF(ISERROR(_xll.qlSwapRateHelperSpread($D56)),IF(ISERROR(_xll.qlFuturesRateHelperConvexityAdjustment($D56)),"--",_xll.qlFuturesRateHelperConvexityAdjustment($D56)),_xll.qlSwapRateHelperSpread($D56))</f>
        <v>--</v>
      </c>
      <c r="G56" s="43" t="e">
        <f>_xll.qlRateHelperEarliestDate($D56)</f>
        <v>#VALUE!</v>
      </c>
      <c r="H56" s="42" t="e">
        <f>_xll.qlRateHelperLatestDate($D56)</f>
        <v>#VALUE!</v>
      </c>
      <c r="I56" s="37" t="e">
        <v>#N/A</v>
      </c>
    </row>
    <row r="57" spans="4:9" x14ac:dyDescent="0.2">
      <c r="D57" s="45" t="e">
        <v>#N/A</v>
      </c>
      <c r="E57" s="44" t="e">
        <f>_xll.qlRateHelperRate($D57)</f>
        <v>#VALUE!</v>
      </c>
      <c r="F57" s="44" t="str">
        <f>IF(ISERROR(_xll.qlSwapRateHelperSpread($D57)),IF(ISERROR(_xll.qlFuturesRateHelperConvexityAdjustment($D57)),"--",_xll.qlFuturesRateHelperConvexityAdjustment($D57)),_xll.qlSwapRateHelperSpread($D57))</f>
        <v>--</v>
      </c>
      <c r="G57" s="43" t="e">
        <f>_xll.qlRateHelperEarliestDate($D57)</f>
        <v>#VALUE!</v>
      </c>
      <c r="H57" s="42" t="e">
        <f>_xll.qlRateHelperLatestDate($D57)</f>
        <v>#VALUE!</v>
      </c>
      <c r="I57" s="37" t="e">
        <v>#N/A</v>
      </c>
    </row>
    <row r="58" spans="4:9" x14ac:dyDescent="0.2">
      <c r="D58" s="45" t="e">
        <v>#N/A</v>
      </c>
      <c r="E58" s="44" t="e">
        <f>_xll.qlRateHelperRate($D58)</f>
        <v>#VALUE!</v>
      </c>
      <c r="F58" s="44" t="str">
        <f>IF(ISERROR(_xll.qlSwapRateHelperSpread($D58)),IF(ISERROR(_xll.qlFuturesRateHelperConvexityAdjustment($D58)),"--",_xll.qlFuturesRateHelperConvexityAdjustment($D58)),_xll.qlSwapRateHelperSpread($D58))</f>
        <v>--</v>
      </c>
      <c r="G58" s="43" t="e">
        <f>_xll.qlRateHelperEarliestDate($D58)</f>
        <v>#VALUE!</v>
      </c>
      <c r="H58" s="42" t="e">
        <f>_xll.qlRateHelperLatestDate($D58)</f>
        <v>#VALUE!</v>
      </c>
      <c r="I58" s="37" t="e">
        <v>#N/A</v>
      </c>
    </row>
    <row r="59" spans="4:9" x14ac:dyDescent="0.2">
      <c r="D59" s="45" t="e">
        <v>#N/A</v>
      </c>
      <c r="E59" s="44" t="e">
        <f>_xll.qlRateHelperRate($D59)</f>
        <v>#VALUE!</v>
      </c>
      <c r="F59" s="44" t="str">
        <f>IF(ISERROR(_xll.qlSwapRateHelperSpread($D59)),IF(ISERROR(_xll.qlFuturesRateHelperConvexityAdjustment($D59)),"--",_xll.qlFuturesRateHelperConvexityAdjustment($D59)),_xll.qlSwapRateHelperSpread($D59))</f>
        <v>--</v>
      </c>
      <c r="G59" s="43" t="e">
        <f>_xll.qlRateHelperEarliestDate($D59)</f>
        <v>#VALUE!</v>
      </c>
      <c r="H59" s="42" t="e">
        <f>_xll.qlRateHelperLatestDate($D59)</f>
        <v>#VALUE!</v>
      </c>
      <c r="I59" s="37" t="e">
        <v>#N/A</v>
      </c>
    </row>
    <row r="60" spans="4:9" x14ac:dyDescent="0.2">
      <c r="D60" s="45" t="e">
        <v>#N/A</v>
      </c>
      <c r="E60" s="44" t="e">
        <f>_xll.qlRateHelperRate($D60)</f>
        <v>#VALUE!</v>
      </c>
      <c r="F60" s="44" t="str">
        <f>IF(ISERROR(_xll.qlSwapRateHelperSpread($D60)),IF(ISERROR(_xll.qlFuturesRateHelperConvexityAdjustment($D60)),"--",_xll.qlFuturesRateHelperConvexityAdjustment($D60)),_xll.qlSwapRateHelperSpread($D60))</f>
        <v>--</v>
      </c>
      <c r="G60" s="43" t="e">
        <f>_xll.qlRateHelperEarliestDate($D60)</f>
        <v>#VALUE!</v>
      </c>
      <c r="H60" s="42" t="e">
        <f>_xll.qlRateHelperLatestDate($D60)</f>
        <v>#VALUE!</v>
      </c>
      <c r="I60" s="37" t="e">
        <v>#N/A</v>
      </c>
    </row>
    <row r="61" spans="4:9" x14ac:dyDescent="0.2">
      <c r="D61" s="45" t="e">
        <v>#N/A</v>
      </c>
      <c r="E61" s="44" t="e">
        <f>_xll.qlRateHelperRate($D61)</f>
        <v>#VALUE!</v>
      </c>
      <c r="F61" s="44" t="str">
        <f>IF(ISERROR(_xll.qlSwapRateHelperSpread($D61)),IF(ISERROR(_xll.qlFuturesRateHelperConvexityAdjustment($D61)),"--",_xll.qlFuturesRateHelperConvexityAdjustment($D61)),_xll.qlSwapRateHelperSpread($D61))</f>
        <v>--</v>
      </c>
      <c r="G61" s="43" t="e">
        <f>_xll.qlRateHelperEarliestDate($D61)</f>
        <v>#VALUE!</v>
      </c>
      <c r="H61" s="42" t="e">
        <f>_xll.qlRateHelperLatestDate($D61)</f>
        <v>#VALUE!</v>
      </c>
      <c r="I61" s="37" t="e">
        <v>#N/A</v>
      </c>
    </row>
    <row r="62" spans="4:9" x14ac:dyDescent="0.2">
      <c r="D62" s="45" t="e">
        <v>#N/A</v>
      </c>
      <c r="E62" s="44" t="e">
        <f>_xll.qlRateHelperRate($D62)</f>
        <v>#VALUE!</v>
      </c>
      <c r="F62" s="44" t="str">
        <f>IF(ISERROR(_xll.qlSwapRateHelperSpread($D62)),IF(ISERROR(_xll.qlFuturesRateHelperConvexityAdjustment($D62)),"--",_xll.qlFuturesRateHelperConvexityAdjustment($D62)),_xll.qlSwapRateHelperSpread($D62))</f>
        <v>--</v>
      </c>
      <c r="G62" s="43" t="e">
        <f>_xll.qlRateHelperEarliestDate($D62)</f>
        <v>#VALUE!</v>
      </c>
      <c r="H62" s="42" t="e">
        <f>_xll.qlRateHelperLatestDate($D62)</f>
        <v>#VALUE!</v>
      </c>
      <c r="I62" s="37" t="e">
        <v>#N/A</v>
      </c>
    </row>
    <row r="63" spans="4:9" x14ac:dyDescent="0.2">
      <c r="D63" s="45" t="e">
        <v>#N/A</v>
      </c>
      <c r="E63" s="44" t="e">
        <f>_xll.qlRateHelperRate($D63)</f>
        <v>#VALUE!</v>
      </c>
      <c r="F63" s="44" t="str">
        <f>IF(ISERROR(_xll.qlSwapRateHelperSpread($D63)),IF(ISERROR(_xll.qlFuturesRateHelperConvexityAdjustment($D63)),"--",_xll.qlFuturesRateHelperConvexityAdjustment($D63)),_xll.qlSwapRateHelperSpread($D63))</f>
        <v>--</v>
      </c>
      <c r="G63" s="43" t="e">
        <f>_xll.qlRateHelperEarliestDate($D63)</f>
        <v>#VALUE!</v>
      </c>
      <c r="H63" s="42" t="e">
        <f>_xll.qlRateHelperLatestDate($D63)</f>
        <v>#VALUE!</v>
      </c>
      <c r="I63" s="37" t="e">
        <v>#N/A</v>
      </c>
    </row>
    <row r="64" spans="4:9" x14ac:dyDescent="0.2">
      <c r="D64" s="45" t="e">
        <v>#N/A</v>
      </c>
      <c r="E64" s="44" t="e">
        <f>_xll.qlRateHelperRate($D64)</f>
        <v>#VALUE!</v>
      </c>
      <c r="F64" s="44" t="str">
        <f>IF(ISERROR(_xll.qlSwapRateHelperSpread($D64)),IF(ISERROR(_xll.qlFuturesRateHelperConvexityAdjustment($D64)),"--",_xll.qlFuturesRateHelperConvexityAdjustment($D64)),_xll.qlSwapRateHelperSpread($D64))</f>
        <v>--</v>
      </c>
      <c r="G64" s="43" t="e">
        <f>_xll.qlRateHelperEarliestDate($D64)</f>
        <v>#VALUE!</v>
      </c>
      <c r="H64" s="42" t="e">
        <f>_xll.qlRateHelperLatestDate($D64)</f>
        <v>#VALUE!</v>
      </c>
      <c r="I64" s="37" t="e">
        <v>#N/A</v>
      </c>
    </row>
    <row r="65" spans="4:9" x14ac:dyDescent="0.2">
      <c r="D65" s="45" t="e">
        <v>#N/A</v>
      </c>
      <c r="E65" s="44" t="e">
        <f>_xll.qlRateHelperRate($D65)</f>
        <v>#VALUE!</v>
      </c>
      <c r="F65" s="44" t="str">
        <f>IF(ISERROR(_xll.qlSwapRateHelperSpread($D65)),IF(ISERROR(_xll.qlFuturesRateHelperConvexityAdjustment($D65)),"--",_xll.qlFuturesRateHelperConvexityAdjustment($D65)),_xll.qlSwapRateHelperSpread($D65))</f>
        <v>--</v>
      </c>
      <c r="G65" s="43" t="e">
        <f>_xll.qlRateHelperEarliestDate($D65)</f>
        <v>#VALUE!</v>
      </c>
      <c r="H65" s="42" t="e">
        <f>_xll.qlRateHelperLatestDate($D65)</f>
        <v>#VALUE!</v>
      </c>
      <c r="I65" s="37" t="e">
        <v>#N/A</v>
      </c>
    </row>
    <row r="66" spans="4:9" x14ac:dyDescent="0.2">
      <c r="D66" s="45" t="e">
        <v>#N/A</v>
      </c>
      <c r="E66" s="44" t="e">
        <f>_xll.qlRateHelperRate($D66)</f>
        <v>#VALUE!</v>
      </c>
      <c r="F66" s="44" t="str">
        <f>IF(ISERROR(_xll.qlSwapRateHelperSpread($D66)),IF(ISERROR(_xll.qlFuturesRateHelperConvexityAdjustment($D66)),"--",_xll.qlFuturesRateHelperConvexityAdjustment($D66)),_xll.qlSwapRateHelperSpread($D66))</f>
        <v>--</v>
      </c>
      <c r="G66" s="43" t="e">
        <f>_xll.qlRateHelperEarliestDate($D66)</f>
        <v>#VALUE!</v>
      </c>
      <c r="H66" s="42" t="e">
        <f>_xll.qlRateHelperLatestDate($D66)</f>
        <v>#VALUE!</v>
      </c>
      <c r="I66" s="37" t="e">
        <v>#N/A</v>
      </c>
    </row>
    <row r="67" spans="4:9" x14ac:dyDescent="0.2">
      <c r="D67" s="45" t="e">
        <v>#N/A</v>
      </c>
      <c r="E67" s="44" t="e">
        <f>_xll.qlRateHelperRate($D67)</f>
        <v>#VALUE!</v>
      </c>
      <c r="F67" s="44" t="str">
        <f>IF(ISERROR(_xll.qlSwapRateHelperSpread($D67)),IF(ISERROR(_xll.qlFuturesRateHelperConvexityAdjustment($D67)),"--",_xll.qlFuturesRateHelperConvexityAdjustment($D67)),_xll.qlSwapRateHelperSpread($D67))</f>
        <v>--</v>
      </c>
      <c r="G67" s="43" t="e">
        <f>_xll.qlRateHelperEarliestDate($D67)</f>
        <v>#VALUE!</v>
      </c>
      <c r="H67" s="42" t="e">
        <f>_xll.qlRateHelperLatestDate($D67)</f>
        <v>#VALUE!</v>
      </c>
      <c r="I67" s="37" t="e">
        <v>#N/A</v>
      </c>
    </row>
    <row r="68" spans="4:9" x14ac:dyDescent="0.2">
      <c r="D68" s="45" t="e">
        <v>#N/A</v>
      </c>
      <c r="E68" s="44" t="e">
        <f>_xll.qlRateHelperRate($D68)</f>
        <v>#VALUE!</v>
      </c>
      <c r="F68" s="44" t="str">
        <f>IF(ISERROR(_xll.qlSwapRateHelperSpread($D68)),IF(ISERROR(_xll.qlFuturesRateHelperConvexityAdjustment($D68)),"--",_xll.qlFuturesRateHelperConvexityAdjustment($D68)),_xll.qlSwapRateHelperSpread($D68))</f>
        <v>--</v>
      </c>
      <c r="G68" s="43" t="e">
        <f>_xll.qlRateHelperEarliestDate($D68)</f>
        <v>#VALUE!</v>
      </c>
      <c r="H68" s="42" t="e">
        <f>_xll.qlRateHelperLatestDate($D68)</f>
        <v>#VALUE!</v>
      </c>
      <c r="I68" s="37" t="e">
        <v>#N/A</v>
      </c>
    </row>
    <row r="69" spans="4:9" x14ac:dyDescent="0.2">
      <c r="D69" s="45" t="e">
        <v>#N/A</v>
      </c>
      <c r="E69" s="44" t="e">
        <f>_xll.qlRateHelperRate($D69)</f>
        <v>#VALUE!</v>
      </c>
      <c r="F69" s="44" t="str">
        <f>IF(ISERROR(_xll.qlSwapRateHelperSpread($D69)),IF(ISERROR(_xll.qlFuturesRateHelperConvexityAdjustment($D69)),"--",_xll.qlFuturesRateHelperConvexityAdjustment($D69)),_xll.qlSwapRateHelperSpread($D69))</f>
        <v>--</v>
      </c>
      <c r="G69" s="43" t="e">
        <f>_xll.qlRateHelperEarliestDate($D69)</f>
        <v>#VALUE!</v>
      </c>
      <c r="H69" s="42" t="e">
        <f>_xll.qlRateHelperLatestDate($D69)</f>
        <v>#VALUE!</v>
      </c>
      <c r="I69" s="37" t="e">
        <v>#N/A</v>
      </c>
    </row>
    <row r="70" spans="4:9" x14ac:dyDescent="0.2">
      <c r="D70" s="45" t="e">
        <v>#N/A</v>
      </c>
      <c r="E70" s="44" t="e">
        <f>_xll.qlRateHelperRate($D70)</f>
        <v>#VALUE!</v>
      </c>
      <c r="F70" s="44" t="str">
        <f>IF(ISERROR(_xll.qlSwapRateHelperSpread($D70)),IF(ISERROR(_xll.qlFuturesRateHelperConvexityAdjustment($D70)),"--",_xll.qlFuturesRateHelperConvexityAdjustment($D70)),_xll.qlSwapRateHelperSpread($D70))</f>
        <v>--</v>
      </c>
      <c r="G70" s="43" t="e">
        <f>_xll.qlRateHelperEarliestDate($D70)</f>
        <v>#VALUE!</v>
      </c>
      <c r="H70" s="42" t="e">
        <f>_xll.qlRateHelperLatestDate($D70)</f>
        <v>#VALUE!</v>
      </c>
      <c r="I70" s="37" t="e">
        <v>#N/A</v>
      </c>
    </row>
    <row r="71" spans="4:9" x14ac:dyDescent="0.2">
      <c r="D71" s="45" t="e">
        <v>#N/A</v>
      </c>
      <c r="E71" s="44" t="e">
        <f>_xll.qlRateHelperRate($D71)</f>
        <v>#VALUE!</v>
      </c>
      <c r="F71" s="44" t="str">
        <f>IF(ISERROR(_xll.qlSwapRateHelperSpread($D71)),IF(ISERROR(_xll.qlFuturesRateHelperConvexityAdjustment($D71)),"--",_xll.qlFuturesRateHelperConvexityAdjustment($D71)),_xll.qlSwapRateHelperSpread($D71))</f>
        <v>--</v>
      </c>
      <c r="G71" s="43" t="e">
        <f>_xll.qlRateHelperEarliestDate($D71)</f>
        <v>#VALUE!</v>
      </c>
      <c r="H71" s="42" t="e">
        <f>_xll.qlRateHelperLatestDate($D71)</f>
        <v>#VALUE!</v>
      </c>
      <c r="I71" s="37" t="e">
        <v>#N/A</v>
      </c>
    </row>
    <row r="72" spans="4:9" x14ac:dyDescent="0.2">
      <c r="D72" s="45" t="e">
        <v>#N/A</v>
      </c>
      <c r="E72" s="44" t="e">
        <f>_xll.qlRateHelperRate($D72)</f>
        <v>#VALUE!</v>
      </c>
      <c r="F72" s="44" t="str">
        <f>IF(ISERROR(_xll.qlSwapRateHelperSpread($D72)),IF(ISERROR(_xll.qlFuturesRateHelperConvexityAdjustment($D72)),"--",_xll.qlFuturesRateHelperConvexityAdjustment($D72)),_xll.qlSwapRateHelperSpread($D72))</f>
        <v>--</v>
      </c>
      <c r="G72" s="43" t="e">
        <f>_xll.qlRateHelperEarliestDate($D72)</f>
        <v>#VALUE!</v>
      </c>
      <c r="H72" s="42" t="e">
        <f>_xll.qlRateHelperLatestDate($D72)</f>
        <v>#VALUE!</v>
      </c>
      <c r="I72" s="37" t="e">
        <v>#N/A</v>
      </c>
    </row>
    <row r="73" spans="4:9" x14ac:dyDescent="0.2">
      <c r="D73" s="45" t="e">
        <v>#N/A</v>
      </c>
      <c r="E73" s="44" t="e">
        <f>_xll.qlRateHelperRate($D73)</f>
        <v>#VALUE!</v>
      </c>
      <c r="F73" s="44" t="str">
        <f>IF(ISERROR(_xll.qlSwapRateHelperSpread($D73)),IF(ISERROR(_xll.qlFuturesRateHelperConvexityAdjustment($D73)),"--",_xll.qlFuturesRateHelperConvexityAdjustment($D73)),_xll.qlSwapRateHelperSpread($D73))</f>
        <v>--</v>
      </c>
      <c r="G73" s="43" t="e">
        <f>_xll.qlRateHelperEarliestDate($D73)</f>
        <v>#VALUE!</v>
      </c>
      <c r="H73" s="42" t="e">
        <f>_xll.qlRateHelperLatestDate($D73)</f>
        <v>#VALUE!</v>
      </c>
      <c r="I73" s="37" t="e">
        <v>#N/A</v>
      </c>
    </row>
    <row r="74" spans="4:9" x14ac:dyDescent="0.2">
      <c r="D74" s="45" t="e">
        <v>#N/A</v>
      </c>
      <c r="E74" s="44" t="e">
        <f>_xll.qlRateHelperRate($D74)</f>
        <v>#VALUE!</v>
      </c>
      <c r="F74" s="44" t="str">
        <f>IF(ISERROR(_xll.qlSwapRateHelperSpread($D74)),IF(ISERROR(_xll.qlFuturesRateHelperConvexityAdjustment($D74)),"--",_xll.qlFuturesRateHelperConvexityAdjustment($D74)),_xll.qlSwapRateHelperSpread($D74))</f>
        <v>--</v>
      </c>
      <c r="G74" s="43" t="e">
        <f>_xll.qlRateHelperEarliestDate($D74)</f>
        <v>#VALUE!</v>
      </c>
      <c r="H74" s="42" t="e">
        <f>_xll.qlRateHelperLatestDate($D74)</f>
        <v>#VALUE!</v>
      </c>
      <c r="I74" s="37" t="e">
        <v>#N/A</v>
      </c>
    </row>
    <row r="75" spans="4:9" x14ac:dyDescent="0.2">
      <c r="D75" s="45" t="e">
        <v>#N/A</v>
      </c>
      <c r="E75" s="44" t="e">
        <f>_xll.qlRateHelperRate($D75)</f>
        <v>#VALUE!</v>
      </c>
      <c r="F75" s="44" t="str">
        <f>IF(ISERROR(_xll.qlSwapRateHelperSpread($D75)),IF(ISERROR(_xll.qlFuturesRateHelperConvexityAdjustment($D75)),"--",_xll.qlFuturesRateHelperConvexityAdjustment($D75)),_xll.qlSwapRateHelperSpread($D75))</f>
        <v>--</v>
      </c>
      <c r="G75" s="43" t="e">
        <f>_xll.qlRateHelperEarliestDate($D75)</f>
        <v>#VALUE!</v>
      </c>
      <c r="H75" s="42" t="e">
        <f>_xll.qlRateHelperLatestDate($D75)</f>
        <v>#VALUE!</v>
      </c>
      <c r="I75" s="37" t="e">
        <v>#N/A</v>
      </c>
    </row>
    <row r="76" spans="4:9" x14ac:dyDescent="0.2">
      <c r="D76" s="45" t="e">
        <v>#N/A</v>
      </c>
      <c r="E76" s="44" t="e">
        <f>_xll.qlRateHelperRate($D76)</f>
        <v>#VALUE!</v>
      </c>
      <c r="F76" s="44" t="str">
        <f>IF(ISERROR(_xll.qlSwapRateHelperSpread($D76)),IF(ISERROR(_xll.qlFuturesRateHelperConvexityAdjustment($D76)),"--",_xll.qlFuturesRateHelperConvexityAdjustment($D76)),_xll.qlSwapRateHelperSpread($D76))</f>
        <v>--</v>
      </c>
      <c r="G76" s="43" t="e">
        <f>_xll.qlRateHelperEarliestDate($D76)</f>
        <v>#VALUE!</v>
      </c>
      <c r="H76" s="42" t="e">
        <f>_xll.qlRateHelperLatestDate($D76)</f>
        <v>#VALUE!</v>
      </c>
      <c r="I76" s="37" t="e">
        <v>#N/A</v>
      </c>
    </row>
    <row r="77" spans="4:9" x14ac:dyDescent="0.2">
      <c r="D77" s="45" t="e">
        <v>#N/A</v>
      </c>
      <c r="E77" s="44" t="e">
        <f>_xll.qlRateHelperRate($D77)</f>
        <v>#VALUE!</v>
      </c>
      <c r="F77" s="44" t="str">
        <f>IF(ISERROR(_xll.qlSwapRateHelperSpread($D77)),IF(ISERROR(_xll.qlFuturesRateHelperConvexityAdjustment($D77)),"--",_xll.qlFuturesRateHelperConvexityAdjustment($D77)),_xll.qlSwapRateHelperSpread($D77))</f>
        <v>--</v>
      </c>
      <c r="G77" s="43" t="e">
        <f>_xll.qlRateHelperEarliestDate($D77)</f>
        <v>#VALUE!</v>
      </c>
      <c r="H77" s="42" t="e">
        <f>_xll.qlRateHelperLatestDate($D77)</f>
        <v>#VALUE!</v>
      </c>
      <c r="I77" s="37" t="e">
        <v>#N/A</v>
      </c>
    </row>
    <row r="78" spans="4:9" x14ac:dyDescent="0.2">
      <c r="D78" s="45" t="e">
        <v>#N/A</v>
      </c>
      <c r="E78" s="44" t="e">
        <f>_xll.qlRateHelperRate($D78)</f>
        <v>#VALUE!</v>
      </c>
      <c r="F78" s="44" t="str">
        <f>IF(ISERROR(_xll.qlSwapRateHelperSpread($D78)),IF(ISERROR(_xll.qlFuturesRateHelperConvexityAdjustment($D78)),"--",_xll.qlFuturesRateHelperConvexityAdjustment($D78)),_xll.qlSwapRateHelperSpread($D78))</f>
        <v>--</v>
      </c>
      <c r="G78" s="43" t="e">
        <f>_xll.qlRateHelperEarliestDate($D78)</f>
        <v>#VALUE!</v>
      </c>
      <c r="H78" s="42" t="e">
        <f>_xll.qlRateHelperLatestDate($D78)</f>
        <v>#VALUE!</v>
      </c>
      <c r="I78" s="37" t="e">
        <v>#N/A</v>
      </c>
    </row>
    <row r="79" spans="4:9" x14ac:dyDescent="0.2">
      <c r="D79" s="45" t="e">
        <v>#N/A</v>
      </c>
      <c r="E79" s="44" t="e">
        <f>_xll.qlRateHelperRate($D79)</f>
        <v>#VALUE!</v>
      </c>
      <c r="F79" s="44" t="str">
        <f>IF(ISERROR(_xll.qlSwapRateHelperSpread($D79)),IF(ISERROR(_xll.qlFuturesRateHelperConvexityAdjustment($D79)),"--",_xll.qlFuturesRateHelperConvexityAdjustment($D79)),_xll.qlSwapRateHelperSpread($D79))</f>
        <v>--</v>
      </c>
      <c r="G79" s="43" t="e">
        <f>_xll.qlRateHelperEarliestDate($D79)</f>
        <v>#VALUE!</v>
      </c>
      <c r="H79" s="42" t="e">
        <f>_xll.qlRateHelperLatestDate($D79)</f>
        <v>#VALUE!</v>
      </c>
      <c r="I79" s="37" t="e">
        <v>#N/A</v>
      </c>
    </row>
    <row r="80" spans="4:9" x14ac:dyDescent="0.2">
      <c r="D80" s="45" t="e">
        <v>#N/A</v>
      </c>
      <c r="E80" s="44" t="e">
        <f>_xll.qlRateHelperRate($D80)</f>
        <v>#VALUE!</v>
      </c>
      <c r="F80" s="44" t="str">
        <f>IF(ISERROR(_xll.qlSwapRateHelperSpread($D80)),IF(ISERROR(_xll.qlFuturesRateHelperConvexityAdjustment($D80)),"--",_xll.qlFuturesRateHelperConvexityAdjustment($D80)),_xll.qlSwapRateHelperSpread($D80))</f>
        <v>--</v>
      </c>
      <c r="G80" s="43" t="e">
        <f>_xll.qlRateHelperEarliestDate($D80)</f>
        <v>#VALUE!</v>
      </c>
      <c r="H80" s="42" t="e">
        <f>_xll.qlRateHelperLatestDate($D80)</f>
        <v>#VALUE!</v>
      </c>
      <c r="I80" s="37" t="e">
        <v>#N/A</v>
      </c>
    </row>
    <row r="81" spans="4:9" x14ac:dyDescent="0.2">
      <c r="D81" s="45" t="e">
        <v>#N/A</v>
      </c>
      <c r="E81" s="44" t="e">
        <f>_xll.qlRateHelperRate($D81)</f>
        <v>#VALUE!</v>
      </c>
      <c r="F81" s="44" t="str">
        <f>IF(ISERROR(_xll.qlSwapRateHelperSpread($D81)),IF(ISERROR(_xll.qlFuturesRateHelperConvexityAdjustment($D81)),"--",_xll.qlFuturesRateHelperConvexityAdjustment($D81)),_xll.qlSwapRateHelperSpread($D81))</f>
        <v>--</v>
      </c>
      <c r="G81" s="43" t="e">
        <f>_xll.qlRateHelperEarliestDate($D81)</f>
        <v>#VALUE!</v>
      </c>
      <c r="H81" s="42" t="e">
        <f>_xll.qlRateHelperLatestDate($D81)</f>
        <v>#VALUE!</v>
      </c>
      <c r="I81" s="37" t="e">
        <v>#N/A</v>
      </c>
    </row>
    <row r="82" spans="4:9" x14ac:dyDescent="0.2">
      <c r="D82" s="45" t="e">
        <v>#N/A</v>
      </c>
      <c r="E82" s="44" t="e">
        <f>_xll.qlRateHelperRate($D82)</f>
        <v>#VALUE!</v>
      </c>
      <c r="F82" s="44" t="str">
        <f>IF(ISERROR(_xll.qlSwapRateHelperSpread($D82)),IF(ISERROR(_xll.qlFuturesRateHelperConvexityAdjustment($D82)),"--",_xll.qlFuturesRateHelperConvexityAdjustment($D82)),_xll.qlSwapRateHelperSpread($D82))</f>
        <v>--</v>
      </c>
      <c r="G82" s="43" t="e">
        <f>_xll.qlRateHelperEarliestDate($D82)</f>
        <v>#VALUE!</v>
      </c>
      <c r="H82" s="42" t="e">
        <f>_xll.qlRateHelperLatestDate($D82)</f>
        <v>#VALUE!</v>
      </c>
      <c r="I82" s="37" t="e">
        <v>#N/A</v>
      </c>
    </row>
    <row r="83" spans="4:9" x14ac:dyDescent="0.2">
      <c r="D83" s="45" t="e">
        <v>#N/A</v>
      </c>
      <c r="E83" s="44" t="e">
        <f>_xll.qlRateHelperRate($D83)</f>
        <v>#VALUE!</v>
      </c>
      <c r="F83" s="44" t="str">
        <f>IF(ISERROR(_xll.qlSwapRateHelperSpread($D83)),IF(ISERROR(_xll.qlFuturesRateHelperConvexityAdjustment($D83)),"--",_xll.qlFuturesRateHelperConvexityAdjustment($D83)),_xll.qlSwapRateHelperSpread($D83))</f>
        <v>--</v>
      </c>
      <c r="G83" s="43" t="e">
        <f>_xll.qlRateHelperEarliestDate($D83)</f>
        <v>#VALUE!</v>
      </c>
      <c r="H83" s="42" t="e">
        <f>_xll.qlRateHelperLatestDate($D83)</f>
        <v>#VALUE!</v>
      </c>
      <c r="I83" s="37" t="e">
        <v>#N/A</v>
      </c>
    </row>
    <row r="84" spans="4:9" x14ac:dyDescent="0.2">
      <c r="D84" s="45" t="e">
        <v>#N/A</v>
      </c>
      <c r="E84" s="44" t="e">
        <f>_xll.qlRateHelperRate($D84)</f>
        <v>#VALUE!</v>
      </c>
      <c r="F84" s="44" t="str">
        <f>IF(ISERROR(_xll.qlSwapRateHelperSpread($D84)),IF(ISERROR(_xll.qlFuturesRateHelperConvexityAdjustment($D84)),"--",_xll.qlFuturesRateHelperConvexityAdjustment($D84)),_xll.qlSwapRateHelperSpread($D84))</f>
        <v>--</v>
      </c>
      <c r="G84" s="43" t="e">
        <f>_xll.qlRateHelperEarliestDate($D84)</f>
        <v>#VALUE!</v>
      </c>
      <c r="H84" s="42" t="e">
        <f>_xll.qlRateHelperLatestDate($D84)</f>
        <v>#VALUE!</v>
      </c>
      <c r="I84" s="37" t="e">
        <v>#N/A</v>
      </c>
    </row>
    <row r="85" spans="4:9" x14ac:dyDescent="0.2">
      <c r="D85" s="45" t="e">
        <v>#N/A</v>
      </c>
      <c r="E85" s="44" t="e">
        <f>_xll.qlRateHelperRate($D85)</f>
        <v>#VALUE!</v>
      </c>
      <c r="F85" s="44" t="str">
        <f>IF(ISERROR(_xll.qlSwapRateHelperSpread($D85)),IF(ISERROR(_xll.qlFuturesRateHelperConvexityAdjustment($D85)),"--",_xll.qlFuturesRateHelperConvexityAdjustment($D85)),_xll.qlSwapRateHelperSpread($D85))</f>
        <v>--</v>
      </c>
      <c r="G85" s="43" t="e">
        <f>_xll.qlRateHelperEarliestDate($D85)</f>
        <v>#VALUE!</v>
      </c>
      <c r="H85" s="42" t="e">
        <f>_xll.qlRateHelperLatestDate($D85)</f>
        <v>#VALUE!</v>
      </c>
      <c r="I85" s="37" t="e">
        <v>#N/A</v>
      </c>
    </row>
    <row r="86" spans="4:9" x14ac:dyDescent="0.2">
      <c r="D86" s="45" t="e">
        <v>#N/A</v>
      </c>
      <c r="E86" s="44" t="e">
        <f>_xll.qlRateHelperRate($D86)</f>
        <v>#VALUE!</v>
      </c>
      <c r="F86" s="44" t="str">
        <f>IF(ISERROR(_xll.qlSwapRateHelperSpread($D86)),IF(ISERROR(_xll.qlFuturesRateHelperConvexityAdjustment($D86)),"--",_xll.qlFuturesRateHelperConvexityAdjustment($D86)),_xll.qlSwapRateHelperSpread($D86))</f>
        <v>--</v>
      </c>
      <c r="G86" s="43" t="e">
        <f>_xll.qlRateHelperEarliestDate($D86)</f>
        <v>#VALUE!</v>
      </c>
      <c r="H86" s="42" t="e">
        <f>_xll.qlRateHelperLatestDate($D86)</f>
        <v>#VALUE!</v>
      </c>
      <c r="I86" s="37" t="e">
        <v>#N/A</v>
      </c>
    </row>
    <row r="87" spans="4:9" x14ac:dyDescent="0.2">
      <c r="D87" s="45" t="e">
        <v>#N/A</v>
      </c>
      <c r="E87" s="44" t="e">
        <f>_xll.qlRateHelperRate($D87)</f>
        <v>#VALUE!</v>
      </c>
      <c r="F87" s="44" t="str">
        <f>IF(ISERROR(_xll.qlSwapRateHelperSpread($D87)),IF(ISERROR(_xll.qlFuturesRateHelperConvexityAdjustment($D87)),"--",_xll.qlFuturesRateHelperConvexityAdjustment($D87)),_xll.qlSwapRateHelperSpread($D87))</f>
        <v>--</v>
      </c>
      <c r="G87" s="43" t="e">
        <f>_xll.qlRateHelperEarliestDate($D87)</f>
        <v>#VALUE!</v>
      </c>
      <c r="H87" s="42" t="e">
        <f>_xll.qlRateHelperLatestDate($D87)</f>
        <v>#VALUE!</v>
      </c>
      <c r="I87" s="37" t="e">
        <v>#N/A</v>
      </c>
    </row>
    <row r="88" spans="4:9" x14ac:dyDescent="0.2">
      <c r="D88" s="45" t="e">
        <v>#N/A</v>
      </c>
      <c r="E88" s="44" t="e">
        <f>_xll.qlRateHelperRate($D88)</f>
        <v>#VALUE!</v>
      </c>
      <c r="F88" s="44" t="str">
        <f>IF(ISERROR(_xll.qlSwapRateHelperSpread($D88)),IF(ISERROR(_xll.qlFuturesRateHelperConvexityAdjustment($D88)),"--",_xll.qlFuturesRateHelperConvexityAdjustment($D88)),_xll.qlSwapRateHelperSpread($D88))</f>
        <v>--</v>
      </c>
      <c r="G88" s="43" t="e">
        <f>_xll.qlRateHelperEarliestDate($D88)</f>
        <v>#VALUE!</v>
      </c>
      <c r="H88" s="42" t="e">
        <f>_xll.qlRateHelperLatestDate($D88)</f>
        <v>#VALUE!</v>
      </c>
      <c r="I88" s="37" t="e">
        <v>#N/A</v>
      </c>
    </row>
    <row r="89" spans="4:9" x14ac:dyDescent="0.2">
      <c r="D89" s="45" t="e">
        <v>#N/A</v>
      </c>
      <c r="E89" s="44" t="e">
        <f>_xll.qlRateHelperRate($D89)</f>
        <v>#VALUE!</v>
      </c>
      <c r="F89" s="44" t="str">
        <f>IF(ISERROR(_xll.qlSwapRateHelperSpread($D89)),IF(ISERROR(_xll.qlFuturesRateHelperConvexityAdjustment($D89)),"--",_xll.qlFuturesRateHelperConvexityAdjustment($D89)),_xll.qlSwapRateHelperSpread($D89))</f>
        <v>--</v>
      </c>
      <c r="G89" s="43" t="e">
        <f>_xll.qlRateHelperEarliestDate($D89)</f>
        <v>#VALUE!</v>
      </c>
      <c r="H89" s="42" t="e">
        <f>_xll.qlRateHelperLatestDate($D89)</f>
        <v>#VALUE!</v>
      </c>
      <c r="I89" s="37" t="e">
        <v>#N/A</v>
      </c>
    </row>
    <row r="90" spans="4:9" x14ac:dyDescent="0.2">
      <c r="D90" s="45" t="e">
        <v>#N/A</v>
      </c>
      <c r="E90" s="44" t="e">
        <f>_xll.qlRateHelperRate($D90)</f>
        <v>#VALUE!</v>
      </c>
      <c r="F90" s="44" t="str">
        <f>IF(ISERROR(_xll.qlSwapRateHelperSpread($D90)),IF(ISERROR(_xll.qlFuturesRateHelperConvexityAdjustment($D90)),"--",_xll.qlFuturesRateHelperConvexityAdjustment($D90)),_xll.qlSwapRateHelperSpread($D90))</f>
        <v>--</v>
      </c>
      <c r="G90" s="43" t="e">
        <f>_xll.qlRateHelperEarliestDate($D90)</f>
        <v>#VALUE!</v>
      </c>
      <c r="H90" s="42" t="e">
        <f>_xll.qlRateHelperLatestDate($D90)</f>
        <v>#VALUE!</v>
      </c>
      <c r="I90" s="37" t="e">
        <v>#N/A</v>
      </c>
    </row>
    <row r="91" spans="4:9" x14ac:dyDescent="0.2">
      <c r="D91" s="45" t="e">
        <v>#N/A</v>
      </c>
      <c r="E91" s="44" t="e">
        <f>_xll.qlRateHelperRate($D91)</f>
        <v>#VALUE!</v>
      </c>
      <c r="F91" s="44" t="str">
        <f>IF(ISERROR(_xll.qlSwapRateHelperSpread($D91)),IF(ISERROR(_xll.qlFuturesRateHelperConvexityAdjustment($D91)),"--",_xll.qlFuturesRateHelperConvexityAdjustment($D91)),_xll.qlSwapRateHelperSpread($D91))</f>
        <v>--</v>
      </c>
      <c r="G91" s="43" t="e">
        <f>_xll.qlRateHelperEarliestDate($D91)</f>
        <v>#VALUE!</v>
      </c>
      <c r="H91" s="42" t="e">
        <f>_xll.qlRateHelperLatestDate($D91)</f>
        <v>#VALUE!</v>
      </c>
      <c r="I91" s="37" t="e">
        <v>#N/A</v>
      </c>
    </row>
    <row r="92" spans="4:9" x14ac:dyDescent="0.2">
      <c r="D92" s="45" t="e">
        <v>#N/A</v>
      </c>
      <c r="E92" s="44" t="e">
        <f>_xll.qlRateHelperRate($D92)</f>
        <v>#VALUE!</v>
      </c>
      <c r="F92" s="44" t="str">
        <f>IF(ISERROR(_xll.qlSwapRateHelperSpread($D92)),IF(ISERROR(_xll.qlFuturesRateHelperConvexityAdjustment($D92)),"--",_xll.qlFuturesRateHelperConvexityAdjustment($D92)),_xll.qlSwapRateHelperSpread($D92))</f>
        <v>--</v>
      </c>
      <c r="G92" s="43" t="e">
        <f>_xll.qlRateHelperEarliestDate($D92)</f>
        <v>#VALUE!</v>
      </c>
      <c r="H92" s="42" t="e">
        <f>_xll.qlRateHelperLatestDate($D92)</f>
        <v>#VALUE!</v>
      </c>
      <c r="I92" s="37" t="e">
        <v>#N/A</v>
      </c>
    </row>
    <row r="93" spans="4:9" x14ac:dyDescent="0.2">
      <c r="D93" s="45" t="e">
        <v>#N/A</v>
      </c>
      <c r="E93" s="44" t="e">
        <f>_xll.qlRateHelperRate($D93)</f>
        <v>#VALUE!</v>
      </c>
      <c r="F93" s="44" t="str">
        <f>IF(ISERROR(_xll.qlSwapRateHelperSpread($D93)),IF(ISERROR(_xll.qlFuturesRateHelperConvexityAdjustment($D93)),"--",_xll.qlFuturesRateHelperConvexityAdjustment($D93)),_xll.qlSwapRateHelperSpread($D93))</f>
        <v>--</v>
      </c>
      <c r="G93" s="43" t="e">
        <f>_xll.qlRateHelperEarliestDate($D93)</f>
        <v>#VALUE!</v>
      </c>
      <c r="H93" s="42" t="e">
        <f>_xll.qlRateHelperLatestDate($D93)</f>
        <v>#VALUE!</v>
      </c>
      <c r="I93" s="37" t="e">
        <v>#N/A</v>
      </c>
    </row>
    <row r="94" spans="4:9" x14ac:dyDescent="0.2">
      <c r="D94" s="45" t="e">
        <v>#N/A</v>
      </c>
      <c r="E94" s="44" t="e">
        <f>_xll.qlRateHelperRate($D94)</f>
        <v>#VALUE!</v>
      </c>
      <c r="F94" s="44" t="str">
        <f>IF(ISERROR(_xll.qlSwapRateHelperSpread($D94)),IF(ISERROR(_xll.qlFuturesRateHelperConvexityAdjustment($D94)),"--",_xll.qlFuturesRateHelperConvexityAdjustment($D94)),_xll.qlSwapRateHelperSpread($D94))</f>
        <v>--</v>
      </c>
      <c r="G94" s="43" t="e">
        <f>_xll.qlRateHelperEarliestDate($D94)</f>
        <v>#VALUE!</v>
      </c>
      <c r="H94" s="42" t="e">
        <f>_xll.qlRateHelperLatestDate($D94)</f>
        <v>#VALUE!</v>
      </c>
      <c r="I94" s="37" t="e">
        <v>#N/A</v>
      </c>
    </row>
    <row r="95" spans="4:9" x14ac:dyDescent="0.2">
      <c r="D95" s="45" t="e">
        <v>#N/A</v>
      </c>
      <c r="E95" s="44" t="e">
        <f>_xll.qlRateHelperRate($D95)</f>
        <v>#VALUE!</v>
      </c>
      <c r="F95" s="44" t="str">
        <f>IF(ISERROR(_xll.qlSwapRateHelperSpread($D95)),IF(ISERROR(_xll.qlFuturesRateHelperConvexityAdjustment($D95)),"--",_xll.qlFuturesRateHelperConvexityAdjustment($D95)),_xll.qlSwapRateHelperSpread($D95))</f>
        <v>--</v>
      </c>
      <c r="G95" s="43" t="e">
        <f>_xll.qlRateHelperEarliestDate($D95)</f>
        <v>#VALUE!</v>
      </c>
      <c r="H95" s="42" t="e">
        <f>_xll.qlRateHelperLatestDate($D95)</f>
        <v>#VALUE!</v>
      </c>
      <c r="I95" s="37" t="e">
        <v>#N/A</v>
      </c>
    </row>
    <row r="96" spans="4:9" x14ac:dyDescent="0.2">
      <c r="D96" s="45" t="e">
        <v>#N/A</v>
      </c>
      <c r="E96" s="44" t="e">
        <f>_xll.qlRateHelperRate($D96)</f>
        <v>#VALUE!</v>
      </c>
      <c r="F96" s="44" t="str">
        <f>IF(ISERROR(_xll.qlSwapRateHelperSpread($D96)),IF(ISERROR(_xll.qlFuturesRateHelperConvexityAdjustment($D96)),"--",_xll.qlFuturesRateHelperConvexityAdjustment($D96)),_xll.qlSwapRateHelperSpread($D96))</f>
        <v>--</v>
      </c>
      <c r="G96" s="43" t="e">
        <f>_xll.qlRateHelperEarliestDate($D96)</f>
        <v>#VALUE!</v>
      </c>
      <c r="H96" s="42" t="e">
        <f>_xll.qlRateHelperLatestDate($D96)</f>
        <v>#VALUE!</v>
      </c>
      <c r="I96" s="37" t="e">
        <v>#N/A</v>
      </c>
    </row>
    <row r="97" spans="4:9" x14ac:dyDescent="0.2">
      <c r="D97" s="45" t="e">
        <v>#N/A</v>
      </c>
      <c r="E97" s="44" t="e">
        <f>_xll.qlRateHelperRate($D97)</f>
        <v>#VALUE!</v>
      </c>
      <c r="F97" s="44" t="str">
        <f>IF(ISERROR(_xll.qlSwapRateHelperSpread($D97)),IF(ISERROR(_xll.qlFuturesRateHelperConvexityAdjustment($D97)),"--",_xll.qlFuturesRateHelperConvexityAdjustment($D97)),_xll.qlSwapRateHelperSpread($D97))</f>
        <v>--</v>
      </c>
      <c r="G97" s="43" t="e">
        <f>_xll.qlRateHelperEarliestDate($D97)</f>
        <v>#VALUE!</v>
      </c>
      <c r="H97" s="42" t="e">
        <f>_xll.qlRateHelperLatestDate($D97)</f>
        <v>#VALUE!</v>
      </c>
      <c r="I97" s="37" t="e">
        <v>#N/A</v>
      </c>
    </row>
    <row r="98" spans="4:9" x14ac:dyDescent="0.2">
      <c r="D98" s="45" t="e">
        <v>#N/A</v>
      </c>
      <c r="E98" s="44" t="e">
        <f>_xll.qlRateHelperRate($D98)</f>
        <v>#VALUE!</v>
      </c>
      <c r="F98" s="44" t="str">
        <f>IF(ISERROR(_xll.qlSwapRateHelperSpread($D98)),IF(ISERROR(_xll.qlFuturesRateHelperConvexityAdjustment($D98)),"--",_xll.qlFuturesRateHelperConvexityAdjustment($D98)),_xll.qlSwapRateHelperSpread($D98))</f>
        <v>--</v>
      </c>
      <c r="G98" s="43" t="e">
        <f>_xll.qlRateHelperEarliestDate($D98)</f>
        <v>#VALUE!</v>
      </c>
      <c r="H98" s="42" t="e">
        <f>_xll.qlRateHelperLatestDate($D98)</f>
        <v>#VALUE!</v>
      </c>
      <c r="I98" s="37" t="e">
        <v>#N/A</v>
      </c>
    </row>
    <row r="99" spans="4:9" x14ac:dyDescent="0.2">
      <c r="D99" s="45" t="e">
        <v>#N/A</v>
      </c>
      <c r="E99" s="44" t="e">
        <f>_xll.qlRateHelperRate($D99)</f>
        <v>#VALUE!</v>
      </c>
      <c r="F99" s="44" t="str">
        <f>IF(ISERROR(_xll.qlSwapRateHelperSpread($D99)),IF(ISERROR(_xll.qlFuturesRateHelperConvexityAdjustment($D99)),"--",_xll.qlFuturesRateHelperConvexityAdjustment($D99)),_xll.qlSwapRateHelperSpread($D99))</f>
        <v>--</v>
      </c>
      <c r="G99" s="43" t="e">
        <f>_xll.qlRateHelperEarliestDate($D99)</f>
        <v>#VALUE!</v>
      </c>
      <c r="H99" s="42" t="e">
        <f>_xll.qlRateHelperLatestDate($D99)</f>
        <v>#VALUE!</v>
      </c>
      <c r="I99" s="37" t="e">
        <v>#N/A</v>
      </c>
    </row>
    <row r="100" spans="4:9" x14ac:dyDescent="0.2">
      <c r="D100" s="45" t="e">
        <v>#N/A</v>
      </c>
      <c r="E100" s="44" t="e">
        <f>_xll.qlRateHelperRate($D100)</f>
        <v>#VALUE!</v>
      </c>
      <c r="F100" s="44" t="str">
        <f>IF(ISERROR(_xll.qlSwapRateHelperSpread($D100)),IF(ISERROR(_xll.qlFuturesRateHelperConvexityAdjustment($D100)),"--",_xll.qlFuturesRateHelperConvexityAdjustment($D100)),_xll.qlSwapRateHelperSpread($D100))</f>
        <v>--</v>
      </c>
      <c r="G100" s="43" t="e">
        <f>_xll.qlRateHelperEarliestDate($D100)</f>
        <v>#VALUE!</v>
      </c>
      <c r="H100" s="42" t="e">
        <f>_xll.qlRateHelperLatestDate($D100)</f>
        <v>#VALUE!</v>
      </c>
      <c r="I100" s="37" t="e">
        <v>#N/A</v>
      </c>
    </row>
    <row r="101" spans="4:9" x14ac:dyDescent="0.2">
      <c r="D101" s="45" t="e">
        <v>#N/A</v>
      </c>
      <c r="E101" s="44" t="e">
        <f>_xll.qlRateHelperRate($D101)</f>
        <v>#VALUE!</v>
      </c>
      <c r="F101" s="44" t="str">
        <f>IF(ISERROR(_xll.qlSwapRateHelperSpread($D101)),IF(ISERROR(_xll.qlFuturesRateHelperConvexityAdjustment($D101)),"--",_xll.qlFuturesRateHelperConvexityAdjustment($D101)),_xll.qlSwapRateHelperSpread($D101))</f>
        <v>--</v>
      </c>
      <c r="G101" s="43" t="e">
        <f>_xll.qlRateHelperEarliestDate($D101)</f>
        <v>#VALUE!</v>
      </c>
      <c r="H101" s="42" t="e">
        <f>_xll.qlRateHelperLatestDate($D101)</f>
        <v>#VALUE!</v>
      </c>
      <c r="I101" s="37" t="e">
        <v>#N/A</v>
      </c>
    </row>
    <row r="102" spans="4:9" x14ac:dyDescent="0.2">
      <c r="D102" s="45" t="e">
        <v>#N/A</v>
      </c>
      <c r="E102" s="44" t="e">
        <f>_xll.qlRateHelperRate($D102)</f>
        <v>#VALUE!</v>
      </c>
      <c r="F102" s="44" t="str">
        <f>IF(ISERROR(_xll.qlSwapRateHelperSpread($D102)),IF(ISERROR(_xll.qlFuturesRateHelperConvexityAdjustment($D102)),"--",_xll.qlFuturesRateHelperConvexityAdjustment($D102)),_xll.qlSwapRateHelperSpread($D102))</f>
        <v>--</v>
      </c>
      <c r="G102" s="43" t="e">
        <f>_xll.qlRateHelperEarliestDate($D102)</f>
        <v>#VALUE!</v>
      </c>
      <c r="H102" s="42" t="e">
        <f>_xll.qlRateHelperLatestDate($D102)</f>
        <v>#VALUE!</v>
      </c>
      <c r="I102" s="37" t="e">
        <v>#N/A</v>
      </c>
    </row>
    <row r="103" spans="4:9" x14ac:dyDescent="0.2">
      <c r="D103" s="45" t="e">
        <v>#N/A</v>
      </c>
      <c r="E103" s="44" t="e">
        <f>_xll.qlRateHelperRate($D103)</f>
        <v>#VALUE!</v>
      </c>
      <c r="F103" s="44" t="str">
        <f>IF(ISERROR(_xll.qlSwapRateHelperSpread($D103)),IF(ISERROR(_xll.qlFuturesRateHelperConvexityAdjustment($D103)),"--",_xll.qlFuturesRateHelperConvexityAdjustment($D103)),_xll.qlSwapRateHelperSpread($D103))</f>
        <v>--</v>
      </c>
      <c r="G103" s="43" t="e">
        <f>_xll.qlRateHelperEarliestDate($D103)</f>
        <v>#VALUE!</v>
      </c>
      <c r="H103" s="42" t="e">
        <f>_xll.qlRateHelperLatestDate($D103)</f>
        <v>#VALUE!</v>
      </c>
      <c r="I103" s="37" t="e">
        <v>#N/A</v>
      </c>
    </row>
    <row r="104" spans="4:9" x14ac:dyDescent="0.2">
      <c r="D104" s="45" t="e">
        <v>#N/A</v>
      </c>
      <c r="E104" s="44" t="e">
        <f>_xll.qlRateHelperRate($D104)</f>
        <v>#VALUE!</v>
      </c>
      <c r="F104" s="44" t="str">
        <f>IF(ISERROR(_xll.qlSwapRateHelperSpread($D104)),IF(ISERROR(_xll.qlFuturesRateHelperConvexityAdjustment($D104)),"--",_xll.qlFuturesRateHelperConvexityAdjustment($D104)),_xll.qlSwapRateHelperSpread($D104))</f>
        <v>--</v>
      </c>
      <c r="G104" s="43" t="e">
        <f>_xll.qlRateHelperEarliestDate($D104)</f>
        <v>#VALUE!</v>
      </c>
      <c r="H104" s="42" t="e">
        <f>_xll.qlRateHelperLatestDate($D104)</f>
        <v>#VALUE!</v>
      </c>
      <c r="I104" s="37" t="e">
        <v>#N/A</v>
      </c>
    </row>
    <row r="105" spans="4:9" x14ac:dyDescent="0.2">
      <c r="D105" s="45" t="e">
        <v>#N/A</v>
      </c>
      <c r="E105" s="44" t="e">
        <f>_xll.qlRateHelperRate($D105)</f>
        <v>#VALUE!</v>
      </c>
      <c r="F105" s="44" t="str">
        <f>IF(ISERROR(_xll.qlSwapRateHelperSpread($D105)),IF(ISERROR(_xll.qlFuturesRateHelperConvexityAdjustment($D105)),"--",_xll.qlFuturesRateHelperConvexityAdjustment($D105)),_xll.qlSwapRateHelperSpread($D105))</f>
        <v>--</v>
      </c>
      <c r="G105" s="43" t="e">
        <f>_xll.qlRateHelperEarliestDate($D105)</f>
        <v>#VALUE!</v>
      </c>
      <c r="H105" s="42" t="e">
        <f>_xll.qlRateHelperLatestDate($D105)</f>
        <v>#VALUE!</v>
      </c>
      <c r="I105" s="37" t="e">
        <v>#N/A</v>
      </c>
    </row>
    <row r="106" spans="4:9" x14ac:dyDescent="0.2">
      <c r="D106" s="45" t="e">
        <v>#N/A</v>
      </c>
      <c r="E106" s="44" t="e">
        <f>_xll.qlRateHelperRate($D106)</f>
        <v>#VALUE!</v>
      </c>
      <c r="F106" s="44" t="str">
        <f>IF(ISERROR(_xll.qlSwapRateHelperSpread($D106)),IF(ISERROR(_xll.qlFuturesRateHelperConvexityAdjustment($D106)),"--",_xll.qlFuturesRateHelperConvexityAdjustment($D106)),_xll.qlSwapRateHelperSpread($D106))</f>
        <v>--</v>
      </c>
      <c r="G106" s="43" t="e">
        <f>_xll.qlRateHelperEarliestDate($D106)</f>
        <v>#VALUE!</v>
      </c>
      <c r="H106" s="42" t="e">
        <f>_xll.qlRateHelperLatestDate($D106)</f>
        <v>#VALUE!</v>
      </c>
      <c r="I106" s="37" t="e">
        <v>#N/A</v>
      </c>
    </row>
    <row r="107" spans="4:9" x14ac:dyDescent="0.2">
      <c r="D107" s="45" t="e">
        <v>#N/A</v>
      </c>
      <c r="E107" s="44" t="e">
        <f>_xll.qlRateHelperRate($D107)</f>
        <v>#VALUE!</v>
      </c>
      <c r="F107" s="44" t="str">
        <f>IF(ISERROR(_xll.qlSwapRateHelperSpread($D107)),IF(ISERROR(_xll.qlFuturesRateHelperConvexityAdjustment($D107)),"--",_xll.qlFuturesRateHelperConvexityAdjustment($D107)),_xll.qlSwapRateHelperSpread($D107))</f>
        <v>--</v>
      </c>
      <c r="G107" s="43" t="e">
        <f>_xll.qlRateHelperEarliestDate($D107)</f>
        <v>#VALUE!</v>
      </c>
      <c r="H107" s="42" t="e">
        <f>_xll.qlRateHelperLatestDate($D107)</f>
        <v>#VALUE!</v>
      </c>
      <c r="I107" s="37" t="e">
        <v>#N/A</v>
      </c>
    </row>
    <row r="108" spans="4:9" x14ac:dyDescent="0.2">
      <c r="D108" s="45" t="e">
        <v>#N/A</v>
      </c>
      <c r="E108" s="44" t="e">
        <f>_xll.qlRateHelperRate($D108)</f>
        <v>#VALUE!</v>
      </c>
      <c r="F108" s="44" t="str">
        <f>IF(ISERROR(_xll.qlSwapRateHelperSpread($D108)),IF(ISERROR(_xll.qlFuturesRateHelperConvexityAdjustment($D108)),"--",_xll.qlFuturesRateHelperConvexityAdjustment($D108)),_xll.qlSwapRateHelperSpread($D108))</f>
        <v>--</v>
      </c>
      <c r="G108" s="43" t="e">
        <f>_xll.qlRateHelperEarliestDate($D108)</f>
        <v>#VALUE!</v>
      </c>
      <c r="H108" s="42" t="e">
        <f>_xll.qlRateHelperLatestDate($D108)</f>
        <v>#VALUE!</v>
      </c>
      <c r="I108" s="37" t="e">
        <v>#N/A</v>
      </c>
    </row>
    <row r="109" spans="4:9" x14ac:dyDescent="0.2">
      <c r="D109" s="45" t="e">
        <v>#N/A</v>
      </c>
      <c r="E109" s="44" t="e">
        <f>_xll.qlRateHelperRate($D109)</f>
        <v>#VALUE!</v>
      </c>
      <c r="F109" s="44" t="str">
        <f>IF(ISERROR(_xll.qlSwapRateHelperSpread($D109)),IF(ISERROR(_xll.qlFuturesRateHelperConvexityAdjustment($D109)),"--",_xll.qlFuturesRateHelperConvexityAdjustment($D109)),_xll.qlSwapRateHelperSpread($D109))</f>
        <v>--</v>
      </c>
      <c r="G109" s="43" t="e">
        <f>_xll.qlRateHelperEarliestDate($D109)</f>
        <v>#VALUE!</v>
      </c>
      <c r="H109" s="42" t="e">
        <f>_xll.qlRateHelperLatestDate($D109)</f>
        <v>#VALUE!</v>
      </c>
      <c r="I109" s="37" t="e">
        <v>#N/A</v>
      </c>
    </row>
    <row r="110" spans="4:9" x14ac:dyDescent="0.2">
      <c r="D110" s="45" t="e">
        <v>#N/A</v>
      </c>
      <c r="E110" s="44" t="e">
        <f>_xll.qlRateHelperRate($D110)</f>
        <v>#VALUE!</v>
      </c>
      <c r="F110" s="44" t="str">
        <f>IF(ISERROR(_xll.qlSwapRateHelperSpread($D110)),IF(ISERROR(_xll.qlFuturesRateHelperConvexityAdjustment($D110)),"--",_xll.qlFuturesRateHelperConvexityAdjustment($D110)),_xll.qlSwapRateHelperSpread($D110))</f>
        <v>--</v>
      </c>
      <c r="G110" s="43" t="e">
        <f>_xll.qlRateHelperEarliestDate($D110)</f>
        <v>#VALUE!</v>
      </c>
      <c r="H110" s="42" t="e">
        <f>_xll.qlRateHelperLatestDate($D110)</f>
        <v>#VALUE!</v>
      </c>
      <c r="I110" s="37" t="e">
        <v>#N/A</v>
      </c>
    </row>
    <row r="111" spans="4:9" x14ac:dyDescent="0.2">
      <c r="D111" s="45" t="e">
        <v>#N/A</v>
      </c>
      <c r="E111" s="44" t="e">
        <f>_xll.qlRateHelperRate($D111)</f>
        <v>#VALUE!</v>
      </c>
      <c r="F111" s="44" t="str">
        <f>IF(ISERROR(_xll.qlSwapRateHelperSpread($D111)),IF(ISERROR(_xll.qlFuturesRateHelperConvexityAdjustment($D111)),"--",_xll.qlFuturesRateHelperConvexityAdjustment($D111)),_xll.qlSwapRateHelperSpread($D111))</f>
        <v>--</v>
      </c>
      <c r="G111" s="43" t="e">
        <f>_xll.qlRateHelperEarliestDate($D111)</f>
        <v>#VALUE!</v>
      </c>
      <c r="H111" s="42" t="e">
        <f>_xll.qlRateHelperLatestDate($D111)</f>
        <v>#VALUE!</v>
      </c>
      <c r="I111" s="37" t="e">
        <v>#N/A</v>
      </c>
    </row>
    <row r="112" spans="4:9" x14ac:dyDescent="0.2">
      <c r="D112" s="45" t="e">
        <v>#N/A</v>
      </c>
      <c r="E112" s="44" t="e">
        <f>_xll.qlRateHelperRate($D112)</f>
        <v>#VALUE!</v>
      </c>
      <c r="F112" s="44" t="str">
        <f>IF(ISERROR(_xll.qlSwapRateHelperSpread($D112)),IF(ISERROR(_xll.qlFuturesRateHelperConvexityAdjustment($D112)),"--",_xll.qlFuturesRateHelperConvexityAdjustment($D112)),_xll.qlSwapRateHelperSpread($D112))</f>
        <v>--</v>
      </c>
      <c r="G112" s="43" t="e">
        <f>_xll.qlRateHelperEarliestDate($D112)</f>
        <v>#VALUE!</v>
      </c>
      <c r="H112" s="42" t="e">
        <f>_xll.qlRateHelperLatestDate($D112)</f>
        <v>#VALUE!</v>
      </c>
      <c r="I112" s="37" t="e">
        <v>#N/A</v>
      </c>
    </row>
    <row r="113" spans="4:9" x14ac:dyDescent="0.2">
      <c r="D113" s="45" t="e">
        <v>#N/A</v>
      </c>
      <c r="E113" s="44" t="e">
        <f>_xll.qlRateHelperRate($D113)</f>
        <v>#VALUE!</v>
      </c>
      <c r="F113" s="44" t="str">
        <f>IF(ISERROR(_xll.qlSwapRateHelperSpread($D113)),IF(ISERROR(_xll.qlFuturesRateHelperConvexityAdjustment($D113)),"--",_xll.qlFuturesRateHelperConvexityAdjustment($D113)),_xll.qlSwapRateHelperSpread($D113))</f>
        <v>--</v>
      </c>
      <c r="G113" s="43" t="e">
        <f>_xll.qlRateHelperEarliestDate($D113)</f>
        <v>#VALUE!</v>
      </c>
      <c r="H113" s="42" t="e">
        <f>_xll.qlRateHelperLatestDate($D113)</f>
        <v>#VALUE!</v>
      </c>
      <c r="I113" s="37" t="e">
        <v>#N/A</v>
      </c>
    </row>
    <row r="114" spans="4:9" x14ac:dyDescent="0.2">
      <c r="D114" s="45" t="e">
        <v>#N/A</v>
      </c>
      <c r="E114" s="44" t="e">
        <f>_xll.qlRateHelperRate($D114)</f>
        <v>#VALUE!</v>
      </c>
      <c r="F114" s="44" t="str">
        <f>IF(ISERROR(_xll.qlSwapRateHelperSpread($D114)),IF(ISERROR(_xll.qlFuturesRateHelperConvexityAdjustment($D114)),"--",_xll.qlFuturesRateHelperConvexityAdjustment($D114)),_xll.qlSwapRateHelperSpread($D114))</f>
        <v>--</v>
      </c>
      <c r="G114" s="43" t="e">
        <f>_xll.qlRateHelperEarliestDate($D114)</f>
        <v>#VALUE!</v>
      </c>
      <c r="H114" s="42" t="e">
        <f>_xll.qlRateHelperLatestDate($D114)</f>
        <v>#VALUE!</v>
      </c>
      <c r="I114" s="37" t="e">
        <v>#N/A</v>
      </c>
    </row>
    <row r="115" spans="4:9" x14ac:dyDescent="0.2">
      <c r="D115" s="45" t="e">
        <v>#N/A</v>
      </c>
      <c r="E115" s="44" t="e">
        <f>_xll.qlRateHelperRate($D115)</f>
        <v>#VALUE!</v>
      </c>
      <c r="F115" s="44" t="str">
        <f>IF(ISERROR(_xll.qlSwapRateHelperSpread($D115)),IF(ISERROR(_xll.qlFuturesRateHelperConvexityAdjustment($D115)),"--",_xll.qlFuturesRateHelperConvexityAdjustment($D115)),_xll.qlSwapRateHelperSpread($D115))</f>
        <v>--</v>
      </c>
      <c r="G115" s="43" t="e">
        <f>_xll.qlRateHelperEarliestDate($D115)</f>
        <v>#VALUE!</v>
      </c>
      <c r="H115" s="42" t="e">
        <f>_xll.qlRateHelperLatestDate($D115)</f>
        <v>#VALUE!</v>
      </c>
      <c r="I115" s="37" t="e">
        <v>#N/A</v>
      </c>
    </row>
    <row r="116" spans="4:9" x14ac:dyDescent="0.2">
      <c r="D116" s="45" t="e">
        <v>#N/A</v>
      </c>
      <c r="E116" s="44" t="e">
        <f>_xll.qlRateHelperRate($D116)</f>
        <v>#VALUE!</v>
      </c>
      <c r="F116" s="44" t="str">
        <f>IF(ISERROR(_xll.qlSwapRateHelperSpread($D116)),IF(ISERROR(_xll.qlFuturesRateHelperConvexityAdjustment($D116)),"--",_xll.qlFuturesRateHelperConvexityAdjustment($D116)),_xll.qlSwapRateHelperSpread($D116))</f>
        <v>--</v>
      </c>
      <c r="G116" s="43" t="e">
        <f>_xll.qlRateHelperEarliestDate($D116)</f>
        <v>#VALUE!</v>
      </c>
      <c r="H116" s="42" t="e">
        <f>_xll.qlRateHelperLatestDate($D116)</f>
        <v>#VALUE!</v>
      </c>
      <c r="I116" s="37" t="e">
        <v>#N/A</v>
      </c>
    </row>
    <row r="117" spans="4:9" x14ac:dyDescent="0.2">
      <c r="D117" s="45" t="e">
        <v>#N/A</v>
      </c>
      <c r="E117" s="44" t="e">
        <f>_xll.qlRateHelperRate($D117)</f>
        <v>#VALUE!</v>
      </c>
      <c r="F117" s="44" t="str">
        <f>IF(ISERROR(_xll.qlSwapRateHelperSpread($D117)),IF(ISERROR(_xll.qlFuturesRateHelperConvexityAdjustment($D117)),"--",_xll.qlFuturesRateHelperConvexityAdjustment($D117)),_xll.qlSwapRateHelperSpread($D117))</f>
        <v>--</v>
      </c>
      <c r="G117" s="43" t="e">
        <f>_xll.qlRateHelperEarliestDate($D117)</f>
        <v>#VALUE!</v>
      </c>
      <c r="H117" s="42" t="e">
        <f>_xll.qlRateHelperLatestDate($D117)</f>
        <v>#VALUE!</v>
      </c>
      <c r="I117" s="37" t="e">
        <v>#N/A</v>
      </c>
    </row>
    <row r="118" spans="4:9" x14ac:dyDescent="0.2">
      <c r="D118" s="45" t="e">
        <v>#N/A</v>
      </c>
      <c r="E118" s="44" t="e">
        <f>_xll.qlRateHelperRate($D118)</f>
        <v>#VALUE!</v>
      </c>
      <c r="F118" s="44" t="str">
        <f>IF(ISERROR(_xll.qlSwapRateHelperSpread($D118)),IF(ISERROR(_xll.qlFuturesRateHelperConvexityAdjustment($D118)),"--",_xll.qlFuturesRateHelperConvexityAdjustment($D118)),_xll.qlSwapRateHelperSpread($D118))</f>
        <v>--</v>
      </c>
      <c r="G118" s="43" t="e">
        <f>_xll.qlRateHelperEarliestDate($D118)</f>
        <v>#VALUE!</v>
      </c>
      <c r="H118" s="42" t="e">
        <f>_xll.qlRateHelperLatestDate($D118)</f>
        <v>#VALUE!</v>
      </c>
      <c r="I118" s="37" t="e">
        <v>#N/A</v>
      </c>
    </row>
    <row r="119" spans="4:9" x14ac:dyDescent="0.2">
      <c r="D119" s="45" t="e">
        <v>#N/A</v>
      </c>
      <c r="E119" s="44" t="e">
        <f>_xll.qlRateHelperRate($D119)</f>
        <v>#VALUE!</v>
      </c>
      <c r="F119" s="44" t="str">
        <f>IF(ISERROR(_xll.qlSwapRateHelperSpread($D119)),IF(ISERROR(_xll.qlFuturesRateHelperConvexityAdjustment($D119)),"--",_xll.qlFuturesRateHelperConvexityAdjustment($D119)),_xll.qlSwapRateHelperSpread($D119))</f>
        <v>--</v>
      </c>
      <c r="G119" s="43" t="e">
        <f>_xll.qlRateHelperEarliestDate($D119)</f>
        <v>#VALUE!</v>
      </c>
      <c r="H119" s="42" t="e">
        <f>_xll.qlRateHelperLatestDate($D119)</f>
        <v>#VALUE!</v>
      </c>
      <c r="I119" s="37" t="e">
        <v>#N/A</v>
      </c>
    </row>
    <row r="120" spans="4:9" x14ac:dyDescent="0.2">
      <c r="D120" s="45" t="e">
        <v>#N/A</v>
      </c>
      <c r="E120" s="44" t="e">
        <f>_xll.qlRateHelperRate($D120)</f>
        <v>#VALUE!</v>
      </c>
      <c r="F120" s="44" t="str">
        <f>IF(ISERROR(_xll.qlSwapRateHelperSpread($D120)),IF(ISERROR(_xll.qlFuturesRateHelperConvexityAdjustment($D120)),"--",_xll.qlFuturesRateHelperConvexityAdjustment($D120)),_xll.qlSwapRateHelperSpread($D120))</f>
        <v>--</v>
      </c>
      <c r="G120" s="43" t="e">
        <f>_xll.qlRateHelperEarliestDate($D120)</f>
        <v>#VALUE!</v>
      </c>
      <c r="H120" s="42" t="e">
        <f>_xll.qlRateHelperLatestDate($D120)</f>
        <v>#VALUE!</v>
      </c>
      <c r="I120" s="37" t="e">
        <v>#N/A</v>
      </c>
    </row>
    <row r="121" spans="4:9" x14ac:dyDescent="0.2">
      <c r="D121" s="45" t="e">
        <v>#N/A</v>
      </c>
      <c r="E121" s="44" t="e">
        <f>_xll.qlRateHelperRate($D121)</f>
        <v>#VALUE!</v>
      </c>
      <c r="F121" s="44" t="str">
        <f>IF(ISERROR(_xll.qlSwapRateHelperSpread($D121)),IF(ISERROR(_xll.qlFuturesRateHelperConvexityAdjustment($D121)),"--",_xll.qlFuturesRateHelperConvexityAdjustment($D121)),_xll.qlSwapRateHelperSpread($D121))</f>
        <v>--</v>
      </c>
      <c r="G121" s="43" t="e">
        <f>_xll.qlRateHelperEarliestDate($D121)</f>
        <v>#VALUE!</v>
      </c>
      <c r="H121" s="42" t="e">
        <f>_xll.qlRateHelperLatestDate($D121)</f>
        <v>#VALUE!</v>
      </c>
      <c r="I121" s="37" t="e">
        <v>#N/A</v>
      </c>
    </row>
    <row r="122" spans="4:9" x14ac:dyDescent="0.2">
      <c r="D122" s="45" t="e">
        <v>#N/A</v>
      </c>
      <c r="E122" s="44" t="e">
        <f>_xll.qlRateHelperRate($D122)</f>
        <v>#VALUE!</v>
      </c>
      <c r="F122" s="44" t="str">
        <f>IF(ISERROR(_xll.qlSwapRateHelperSpread($D122)),IF(ISERROR(_xll.qlFuturesRateHelperConvexityAdjustment($D122)),"--",_xll.qlFuturesRateHelperConvexityAdjustment($D122)),_xll.qlSwapRateHelperSpread($D122))</f>
        <v>--</v>
      </c>
      <c r="G122" s="43" t="e">
        <f>_xll.qlRateHelperEarliestDate($D122)</f>
        <v>#VALUE!</v>
      </c>
      <c r="H122" s="42" t="e">
        <f>_xll.qlRateHelperLatestDate($D122)</f>
        <v>#VALUE!</v>
      </c>
      <c r="I122" s="37" t="e">
        <v>#N/A</v>
      </c>
    </row>
    <row r="123" spans="4:9" x14ac:dyDescent="0.2">
      <c r="D123" s="45" t="e">
        <v>#N/A</v>
      </c>
      <c r="E123" s="44" t="e">
        <f>_xll.qlRateHelperRate($D123)</f>
        <v>#VALUE!</v>
      </c>
      <c r="F123" s="44" t="str">
        <f>IF(ISERROR(_xll.qlSwapRateHelperSpread($D123)),IF(ISERROR(_xll.qlFuturesRateHelperConvexityAdjustment($D123)),"--",_xll.qlFuturesRateHelperConvexityAdjustment($D123)),_xll.qlSwapRateHelperSpread($D123))</f>
        <v>--</v>
      </c>
      <c r="G123" s="43" t="e">
        <f>_xll.qlRateHelperEarliestDate($D123)</f>
        <v>#VALUE!</v>
      </c>
      <c r="H123" s="42" t="e">
        <f>_xll.qlRateHelperLatestDate($D123)</f>
        <v>#VALUE!</v>
      </c>
      <c r="I123" s="37" t="e">
        <v>#N/A</v>
      </c>
    </row>
    <row r="124" spans="4:9" x14ac:dyDescent="0.2">
      <c r="D124" s="45" t="e">
        <v>#N/A</v>
      </c>
      <c r="E124" s="44" t="e">
        <f>_xll.qlRateHelperRate($D124)</f>
        <v>#VALUE!</v>
      </c>
      <c r="F124" s="44" t="str">
        <f>IF(ISERROR(_xll.qlSwapRateHelperSpread($D124)),IF(ISERROR(_xll.qlFuturesRateHelperConvexityAdjustment($D124)),"--",_xll.qlFuturesRateHelperConvexityAdjustment($D124)),_xll.qlSwapRateHelperSpread($D124))</f>
        <v>--</v>
      </c>
      <c r="G124" s="43" t="e">
        <f>_xll.qlRateHelperEarliestDate($D124)</f>
        <v>#VALUE!</v>
      </c>
      <c r="H124" s="42" t="e">
        <f>_xll.qlRateHelperLatestDate($D124)</f>
        <v>#VALUE!</v>
      </c>
      <c r="I124" s="37" t="e">
        <v>#N/A</v>
      </c>
    </row>
    <row r="125" spans="4:9" x14ac:dyDescent="0.2">
      <c r="D125" s="45" t="e">
        <v>#N/A</v>
      </c>
      <c r="E125" s="44" t="e">
        <f>_xll.qlRateHelperRate($D125)</f>
        <v>#VALUE!</v>
      </c>
      <c r="F125" s="44" t="str">
        <f>IF(ISERROR(_xll.qlSwapRateHelperSpread($D125)),IF(ISERROR(_xll.qlFuturesRateHelperConvexityAdjustment($D125)),"--",_xll.qlFuturesRateHelperConvexityAdjustment($D125)),_xll.qlSwapRateHelperSpread($D125))</f>
        <v>--</v>
      </c>
      <c r="G125" s="43" t="e">
        <f>_xll.qlRateHelperEarliestDate($D125)</f>
        <v>#VALUE!</v>
      </c>
      <c r="H125" s="42" t="e">
        <f>_xll.qlRateHelperLatestDate($D125)</f>
        <v>#VALUE!</v>
      </c>
      <c r="I125" s="37" t="e">
        <v>#N/A</v>
      </c>
    </row>
    <row r="126" spans="4:9" ht="12" thickBot="1" x14ac:dyDescent="0.25">
      <c r="D126" s="41" t="e">
        <v>#N/A</v>
      </c>
      <c r="E126" s="40" t="e">
        <f>_xll.qlRateHelperRate($D126)</f>
        <v>#VALUE!</v>
      </c>
      <c r="F126" s="40" t="str">
        <f>IF(ISERROR(_xll.qlSwapRateHelperSpread($D126)),IF(ISERROR(_xll.qlFuturesRateHelperConvexityAdjustment($D126)),"--",_xll.qlFuturesRateHelperConvexityAdjustment($D126)),_xll.qlSwapRateHelperSpread($D126))</f>
        <v>--</v>
      </c>
      <c r="G126" s="39" t="e">
        <f>_xll.qlRateHelperEarliestDate($D126)</f>
        <v>#VALUE!</v>
      </c>
      <c r="H126" s="38" t="e">
        <f>_xll.qlRateHelperLatestDate($D126)</f>
        <v>#VALUE!</v>
      </c>
      <c r="I126" s="37"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9"/>
  <sheetViews>
    <sheetView workbookViewId="0"/>
  </sheetViews>
  <sheetFormatPr defaultRowHeight="13.5" x14ac:dyDescent="0.25"/>
  <cols>
    <col min="1" max="1" width="3" style="94" customWidth="1"/>
    <col min="2" max="2" width="4" style="94" bestFit="1" customWidth="1"/>
    <col min="3" max="3" width="12" style="94" bestFit="1" customWidth="1"/>
    <col min="4" max="4" width="28.5703125" style="94" bestFit="1" customWidth="1"/>
    <col min="5" max="5" width="26.140625" style="94" bestFit="1" customWidth="1"/>
    <col min="6" max="6" width="22.42578125" style="94" bestFit="1" customWidth="1"/>
    <col min="7" max="7" width="23.140625" style="94" customWidth="1"/>
    <col min="8" max="8" width="4.7109375" style="94" customWidth="1"/>
    <col min="9" max="9" width="9.140625" style="94"/>
    <col min="10" max="10" width="19.5703125" style="94" bestFit="1" customWidth="1"/>
    <col min="11" max="11" width="26.7109375" style="94" bestFit="1" customWidth="1"/>
    <col min="12" max="16384" width="9.140625" style="94"/>
  </cols>
  <sheetData>
    <row r="1" spans="1:10" x14ac:dyDescent="0.25">
      <c r="A1" s="118" t="s">
        <v>192</v>
      </c>
      <c r="B1" s="117"/>
      <c r="C1" s="117"/>
      <c r="D1" s="97" t="s">
        <v>164</v>
      </c>
      <c r="E1" s="116" t="str">
        <f>Currency&amp;"_YC"&amp;$D$1&amp;"RH"</f>
        <v>GBP_YCSTDRH</v>
      </c>
      <c r="F1" s="96"/>
      <c r="G1" s="96"/>
      <c r="H1" s="101"/>
    </row>
    <row r="2" spans="1:10" ht="23.25" customHeight="1" x14ac:dyDescent="0.25">
      <c r="A2" s="107"/>
      <c r="B2" s="115"/>
      <c r="C2" s="115" t="s">
        <v>163</v>
      </c>
      <c r="D2" s="115" t="s">
        <v>162</v>
      </c>
      <c r="E2" s="114" t="str">
        <f>$E$1&amp;"_Deposits.xml"</f>
        <v>GBP_YCSTDRH_Deposits.xml</v>
      </c>
      <c r="F2" s="113">
        <f ca="1">IF(Serialize,_xll.ohObjectSave(F3:F18,SerializationPath&amp;E2,FileOverwrite,Serialize),"---")</f>
        <v>16</v>
      </c>
      <c r="G2" s="112" t="str">
        <f ca="1">_xll.ohRangeRetrieveError(F2)</f>
        <v/>
      </c>
      <c r="H2" s="101"/>
    </row>
    <row r="3" spans="1:10" x14ac:dyDescent="0.25">
      <c r="A3" s="107"/>
      <c r="B3" s="111" t="s">
        <v>161</v>
      </c>
      <c r="C3" s="110" t="s">
        <v>160</v>
      </c>
      <c r="D3" s="109" t="str">
        <f>Currency&amp;$B3&amp;"D"&amp;QuoteSuffix</f>
        <v>GBPOND_Quote</v>
      </c>
      <c r="E3" s="104" t="str">
        <f t="shared" ref="E3:E18" si="0">$E$1&amp;"_"&amp;$B3&amp;"D"</f>
        <v>GBP_YCSTDRH_OND</v>
      </c>
      <c r="F3" s="103" t="str">
        <f>_xll.qlDepositRateHelper(E3,D3,C3,Permanent,Trigger,ObjectOverwrite)</f>
        <v>GBP_YCSTDRH_OND#0000</v>
      </c>
      <c r="G3" s="108" t="str">
        <f>_xll.ohRangeRetrieveError(F3)</f>
        <v/>
      </c>
      <c r="H3" s="101"/>
      <c r="J3" s="100">
        <f>_xll.qlRateHelperEarliestDate(F3)</f>
        <v>41656</v>
      </c>
    </row>
    <row r="4" spans="1:10" x14ac:dyDescent="0.25">
      <c r="A4" s="107"/>
      <c r="B4" s="106" t="s">
        <v>159</v>
      </c>
      <c r="C4" s="104" t="str">
        <f t="shared" ref="C4:C18" si="1">PROPER(Currency)&amp;FamilyName&amp;$B4</f>
        <v>GbpLiborSW</v>
      </c>
      <c r="D4" s="105" t="str">
        <f t="shared" ref="D4:D18" si="2">PROPER(Currency)&amp;FamilyName&amp;B4&amp;"LastFixing"&amp;QuoteSuffix</f>
        <v>GbpLiborSWLastFixing_Quote</v>
      </c>
      <c r="E4" s="104" t="str">
        <f t="shared" si="0"/>
        <v>GBP_YCSTDRH_SWD</v>
      </c>
      <c r="F4" s="103" t="str">
        <f>_xll.qlDepositRateHelper(E4,D4,C4,Permanent,Trigger,ObjectOverwrite)</f>
        <v>GBP_YCSTDRH_SWD#0000</v>
      </c>
      <c r="G4" s="102" t="str">
        <f>_xll.ohRangeRetrieveError(F4)</f>
        <v/>
      </c>
      <c r="H4" s="101"/>
      <c r="J4" s="100">
        <f>_xll.qlRateHelperEarliestDate(F4)</f>
        <v>41656</v>
      </c>
    </row>
    <row r="5" spans="1:10" x14ac:dyDescent="0.25">
      <c r="A5" s="107"/>
      <c r="B5" s="106" t="s">
        <v>158</v>
      </c>
      <c r="C5" s="104" t="str">
        <f t="shared" si="1"/>
        <v>GbpLibor2W</v>
      </c>
      <c r="D5" s="105" t="str">
        <f t="shared" si="2"/>
        <v>GbpLibor2WLastFixing_Quote</v>
      </c>
      <c r="E5" s="104" t="str">
        <f t="shared" si="0"/>
        <v>GBP_YCSTDRH_2WD</v>
      </c>
      <c r="F5" s="103" t="str">
        <f>_xll.qlDepositRateHelper(E5,D5,C5,Permanent,Trigger,ObjectOverwrite)</f>
        <v>GBP_YCSTDRH_2WD#0000</v>
      </c>
      <c r="G5" s="102" t="str">
        <f>_xll.ohRangeRetrieveError(F5)</f>
        <v/>
      </c>
      <c r="H5" s="101"/>
      <c r="J5" s="100">
        <f>_xll.qlRateHelperEarliestDate(F5)</f>
        <v>41656</v>
      </c>
    </row>
    <row r="6" spans="1:10" x14ac:dyDescent="0.25">
      <c r="A6" s="107"/>
      <c r="B6" s="106" t="s">
        <v>157</v>
      </c>
      <c r="C6" s="104" t="str">
        <f t="shared" si="1"/>
        <v>GbpLibor3W</v>
      </c>
      <c r="D6" s="105" t="str">
        <f t="shared" si="2"/>
        <v>GbpLibor3WLastFixing_Quote</v>
      </c>
      <c r="E6" s="104" t="str">
        <f t="shared" si="0"/>
        <v>GBP_YCSTDRH_3WD</v>
      </c>
      <c r="F6" s="103" t="str">
        <f>_xll.qlDepositRateHelper(E6,D6,C6,Permanent,Trigger,ObjectOverwrite)</f>
        <v>GBP_YCSTDRH_3WD#0000</v>
      </c>
      <c r="G6" s="102" t="str">
        <f>_xll.ohRangeRetrieveError(F6)</f>
        <v/>
      </c>
      <c r="H6" s="101"/>
      <c r="J6" s="100">
        <f>_xll.qlRateHelperEarliestDate(F6)</f>
        <v>41656</v>
      </c>
    </row>
    <row r="7" spans="1:10" x14ac:dyDescent="0.25">
      <c r="A7" s="107"/>
      <c r="B7" s="106" t="s">
        <v>156</v>
      </c>
      <c r="C7" s="104" t="str">
        <f t="shared" si="1"/>
        <v>GbpLibor1M</v>
      </c>
      <c r="D7" s="105" t="str">
        <f t="shared" si="2"/>
        <v>GbpLibor1MLastFixing_Quote</v>
      </c>
      <c r="E7" s="104" t="str">
        <f t="shared" si="0"/>
        <v>GBP_YCSTDRH_1MD</v>
      </c>
      <c r="F7" s="103" t="str">
        <f>_xll.qlDepositRateHelper(E7,D7,C7,Permanent,Trigger,ObjectOverwrite)</f>
        <v>GBP_YCSTDRH_1MD#0000</v>
      </c>
      <c r="G7" s="102" t="str">
        <f>_xll.ohRangeRetrieveError(F7)</f>
        <v/>
      </c>
      <c r="H7" s="101"/>
      <c r="J7" s="100">
        <f>_xll.qlRateHelperEarliestDate(F7)</f>
        <v>41656</v>
      </c>
    </row>
    <row r="8" spans="1:10" x14ac:dyDescent="0.25">
      <c r="A8" s="107"/>
      <c r="B8" s="106" t="s">
        <v>155</v>
      </c>
      <c r="C8" s="104" t="str">
        <f t="shared" si="1"/>
        <v>GbpLibor2M</v>
      </c>
      <c r="D8" s="105" t="str">
        <f t="shared" si="2"/>
        <v>GbpLibor2MLastFixing_Quote</v>
      </c>
      <c r="E8" s="104" t="str">
        <f t="shared" si="0"/>
        <v>GBP_YCSTDRH_2MD</v>
      </c>
      <c r="F8" s="103" t="str">
        <f>_xll.qlDepositRateHelper(E8,D8,C8,Permanent,Trigger,ObjectOverwrite)</f>
        <v>GBP_YCSTDRH_2MD#0000</v>
      </c>
      <c r="G8" s="102" t="str">
        <f>_xll.ohRangeRetrieveError(F8)</f>
        <v/>
      </c>
      <c r="H8" s="101"/>
      <c r="J8" s="100">
        <f>_xll.qlRateHelperEarliestDate(F8)</f>
        <v>41656</v>
      </c>
    </row>
    <row r="9" spans="1:10" x14ac:dyDescent="0.25">
      <c r="A9" s="107"/>
      <c r="B9" s="106" t="s">
        <v>154</v>
      </c>
      <c r="C9" s="104" t="str">
        <f t="shared" si="1"/>
        <v>GbpLibor3M</v>
      </c>
      <c r="D9" s="105" t="str">
        <f t="shared" si="2"/>
        <v>GbpLibor3MLastFixing_Quote</v>
      </c>
      <c r="E9" s="104" t="str">
        <f t="shared" si="0"/>
        <v>GBP_YCSTDRH_3MD</v>
      </c>
      <c r="F9" s="103" t="str">
        <f>_xll.qlDepositRateHelper(E9,D9,C9,Permanent,Trigger,ObjectOverwrite)</f>
        <v>GBP_YCSTDRH_3MD#0000</v>
      </c>
      <c r="G9" s="102" t="str">
        <f>_xll.ohRangeRetrieveError(F9)</f>
        <v/>
      </c>
      <c r="H9" s="101"/>
      <c r="J9" s="100">
        <f>_xll.qlRateHelperEarliestDate(F9)</f>
        <v>41656</v>
      </c>
    </row>
    <row r="10" spans="1:10" x14ac:dyDescent="0.25">
      <c r="A10" s="107"/>
      <c r="B10" s="106" t="s">
        <v>153</v>
      </c>
      <c r="C10" s="104" t="str">
        <f t="shared" si="1"/>
        <v>GbpLibor4M</v>
      </c>
      <c r="D10" s="105" t="str">
        <f t="shared" si="2"/>
        <v>GbpLibor4MLastFixing_Quote</v>
      </c>
      <c r="E10" s="104" t="str">
        <f t="shared" si="0"/>
        <v>GBP_YCSTDRH_4MD</v>
      </c>
      <c r="F10" s="103" t="str">
        <f>_xll.qlDepositRateHelper(E10,D10,C10,Permanent,Trigger,ObjectOverwrite)</f>
        <v>GBP_YCSTDRH_4MD#0000</v>
      </c>
      <c r="G10" s="102" t="str">
        <f>_xll.ohRangeRetrieveError(F10)</f>
        <v/>
      </c>
      <c r="H10" s="101"/>
      <c r="J10" s="100">
        <f>_xll.qlRateHelperEarliestDate(F10)</f>
        <v>41656</v>
      </c>
    </row>
    <row r="11" spans="1:10" x14ac:dyDescent="0.25">
      <c r="A11" s="107"/>
      <c r="B11" s="106" t="s">
        <v>152</v>
      </c>
      <c r="C11" s="104" t="str">
        <f t="shared" si="1"/>
        <v>GbpLibor5M</v>
      </c>
      <c r="D11" s="105" t="str">
        <f t="shared" si="2"/>
        <v>GbpLibor5MLastFixing_Quote</v>
      </c>
      <c r="E11" s="104" t="str">
        <f t="shared" si="0"/>
        <v>GBP_YCSTDRH_5MD</v>
      </c>
      <c r="F11" s="103" t="str">
        <f>_xll.qlDepositRateHelper(E11,D11,C11,Permanent,Trigger,ObjectOverwrite)</f>
        <v>GBP_YCSTDRH_5MD#0000</v>
      </c>
      <c r="G11" s="102" t="str">
        <f>_xll.ohRangeRetrieveError(F11)</f>
        <v/>
      </c>
      <c r="H11" s="101"/>
      <c r="J11" s="100">
        <f>_xll.qlRateHelperEarliestDate(F11)</f>
        <v>41656</v>
      </c>
    </row>
    <row r="12" spans="1:10" x14ac:dyDescent="0.25">
      <c r="A12" s="107"/>
      <c r="B12" s="106" t="s">
        <v>151</v>
      </c>
      <c r="C12" s="104" t="str">
        <f t="shared" si="1"/>
        <v>GbpLibor6M</v>
      </c>
      <c r="D12" s="105" t="str">
        <f t="shared" si="2"/>
        <v>GbpLibor6MLastFixing_Quote</v>
      </c>
      <c r="E12" s="104" t="str">
        <f t="shared" si="0"/>
        <v>GBP_YCSTDRH_6MD</v>
      </c>
      <c r="F12" s="103" t="str">
        <f>_xll.qlDepositRateHelper(E12,D12,C12,Permanent,Trigger,ObjectOverwrite)</f>
        <v>GBP_YCSTDRH_6MD#0000</v>
      </c>
      <c r="G12" s="102" t="str">
        <f>_xll.ohRangeRetrieveError(F12)</f>
        <v/>
      </c>
      <c r="H12" s="101"/>
      <c r="J12" s="100">
        <f>_xll.qlRateHelperEarliestDate(F12)</f>
        <v>41656</v>
      </c>
    </row>
    <row r="13" spans="1:10" x14ac:dyDescent="0.25">
      <c r="A13" s="107"/>
      <c r="B13" s="106" t="s">
        <v>150</v>
      </c>
      <c r="C13" s="104" t="str">
        <f t="shared" si="1"/>
        <v>GbpLibor7M</v>
      </c>
      <c r="D13" s="105" t="str">
        <f t="shared" si="2"/>
        <v>GbpLibor7MLastFixing_Quote</v>
      </c>
      <c r="E13" s="104" t="str">
        <f t="shared" si="0"/>
        <v>GBP_YCSTDRH_7MD</v>
      </c>
      <c r="F13" s="103" t="str">
        <f>_xll.qlDepositRateHelper(E13,D13,C13,Permanent,Trigger,ObjectOverwrite)</f>
        <v>GBP_YCSTDRH_7MD#0000</v>
      </c>
      <c r="G13" s="102" t="str">
        <f>_xll.ohRangeRetrieveError(F13)</f>
        <v/>
      </c>
      <c r="H13" s="101"/>
      <c r="J13" s="100">
        <f>_xll.qlRateHelperEarliestDate(F13)</f>
        <v>41656</v>
      </c>
    </row>
    <row r="14" spans="1:10" x14ac:dyDescent="0.25">
      <c r="A14" s="107"/>
      <c r="B14" s="106" t="s">
        <v>149</v>
      </c>
      <c r="C14" s="104" t="str">
        <f t="shared" si="1"/>
        <v>GbpLibor8M</v>
      </c>
      <c r="D14" s="105" t="str">
        <f t="shared" si="2"/>
        <v>GbpLibor8MLastFixing_Quote</v>
      </c>
      <c r="E14" s="104" t="str">
        <f t="shared" si="0"/>
        <v>GBP_YCSTDRH_8MD</v>
      </c>
      <c r="F14" s="103" t="str">
        <f>_xll.qlDepositRateHelper(E14,D14,C14,Permanent,Trigger,ObjectOverwrite)</f>
        <v>GBP_YCSTDRH_8MD#0000</v>
      </c>
      <c r="G14" s="102" t="str">
        <f>_xll.ohRangeRetrieveError(F14)</f>
        <v/>
      </c>
      <c r="H14" s="101"/>
      <c r="J14" s="100">
        <f>_xll.qlRateHelperEarliestDate(F14)</f>
        <v>41656</v>
      </c>
    </row>
    <row r="15" spans="1:10" x14ac:dyDescent="0.25">
      <c r="A15" s="107"/>
      <c r="B15" s="106" t="s">
        <v>148</v>
      </c>
      <c r="C15" s="104" t="str">
        <f t="shared" si="1"/>
        <v>GbpLibor9M</v>
      </c>
      <c r="D15" s="105" t="str">
        <f t="shared" si="2"/>
        <v>GbpLibor9MLastFixing_Quote</v>
      </c>
      <c r="E15" s="104" t="str">
        <f t="shared" si="0"/>
        <v>GBP_YCSTDRH_9MD</v>
      </c>
      <c r="F15" s="103" t="str">
        <f>_xll.qlDepositRateHelper(E15,D15,C15,Permanent,Trigger,ObjectOverwrite)</f>
        <v>GBP_YCSTDRH_9MD#0000</v>
      </c>
      <c r="G15" s="102" t="str">
        <f>_xll.ohRangeRetrieveError(F15)</f>
        <v/>
      </c>
      <c r="H15" s="101"/>
      <c r="J15" s="100">
        <f>_xll.qlRateHelperEarliestDate(F15)</f>
        <v>41656</v>
      </c>
    </row>
    <row r="16" spans="1:10" x14ac:dyDescent="0.25">
      <c r="A16" s="107"/>
      <c r="B16" s="106" t="s">
        <v>147</v>
      </c>
      <c r="C16" s="104" t="str">
        <f t="shared" si="1"/>
        <v>GbpLibor10M</v>
      </c>
      <c r="D16" s="105" t="str">
        <f t="shared" si="2"/>
        <v>GbpLibor10MLastFixing_Quote</v>
      </c>
      <c r="E16" s="104" t="str">
        <f t="shared" si="0"/>
        <v>GBP_YCSTDRH_10MD</v>
      </c>
      <c r="F16" s="103" t="str">
        <f>_xll.qlDepositRateHelper(E16,D16,C16,Permanent,Trigger,ObjectOverwrite)</f>
        <v>GBP_YCSTDRH_10MD#0000</v>
      </c>
      <c r="G16" s="102" t="str">
        <f>_xll.ohRangeRetrieveError(F16)</f>
        <v/>
      </c>
      <c r="H16" s="101"/>
      <c r="J16" s="100">
        <f>_xll.qlRateHelperEarliestDate(F16)</f>
        <v>41656</v>
      </c>
    </row>
    <row r="17" spans="1:10" x14ac:dyDescent="0.25">
      <c r="A17" s="107"/>
      <c r="B17" s="106" t="s">
        <v>146</v>
      </c>
      <c r="C17" s="104" t="str">
        <f t="shared" si="1"/>
        <v>GbpLibor11M</v>
      </c>
      <c r="D17" s="105" t="str">
        <f t="shared" si="2"/>
        <v>GbpLibor11MLastFixing_Quote</v>
      </c>
      <c r="E17" s="104" t="str">
        <f t="shared" si="0"/>
        <v>GBP_YCSTDRH_11MD</v>
      </c>
      <c r="F17" s="103" t="str">
        <f>_xll.qlDepositRateHelper(E17,D17,C17,Permanent,Trigger,ObjectOverwrite)</f>
        <v>GBP_YCSTDRH_11MD#0000</v>
      </c>
      <c r="G17" s="102" t="str">
        <f>_xll.ohRangeRetrieveError(F17)</f>
        <v/>
      </c>
      <c r="H17" s="101"/>
      <c r="J17" s="100">
        <f>_xll.qlRateHelperEarliestDate(F17)</f>
        <v>41656</v>
      </c>
    </row>
    <row r="18" spans="1:10" x14ac:dyDescent="0.25">
      <c r="A18" s="107"/>
      <c r="B18" s="106" t="s">
        <v>36</v>
      </c>
      <c r="C18" s="104" t="str">
        <f t="shared" si="1"/>
        <v>GbpLibor1Y</v>
      </c>
      <c r="D18" s="105" t="str">
        <f t="shared" si="2"/>
        <v>GbpLibor1YLastFixing_Quote</v>
      </c>
      <c r="E18" s="104" t="str">
        <f t="shared" si="0"/>
        <v>GBP_YCSTDRH_1YD</v>
      </c>
      <c r="F18" s="103" t="str">
        <f>_xll.qlDepositRateHelper(E18,D18,C18,Permanent,Trigger,ObjectOverwrite)</f>
        <v>GBP_YCSTDRH_1YD#0000</v>
      </c>
      <c r="G18" s="102" t="str">
        <f>_xll.ohRangeRetrieveError(F18)</f>
        <v/>
      </c>
      <c r="H18" s="101"/>
      <c r="J18" s="100">
        <f>_xll.qlRateHelperEarliestDate(F18)</f>
        <v>41656</v>
      </c>
    </row>
    <row r="19" spans="1:10" ht="14.25" thickBot="1" x14ac:dyDescent="0.3">
      <c r="A19" s="99"/>
      <c r="B19" s="92"/>
      <c r="C19" s="92"/>
      <c r="D19" s="92"/>
      <c r="E19" s="92"/>
      <c r="F19" s="92"/>
      <c r="G19" s="92"/>
      <c r="H19" s="93"/>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45"/>
  <sheetViews>
    <sheetView topLeftCell="E1" workbookViewId="0">
      <selection activeCell="S4" sqref="S4"/>
    </sheetView>
  </sheetViews>
  <sheetFormatPr defaultRowHeight="12.75" x14ac:dyDescent="0.2"/>
  <cols>
    <col min="1" max="1" width="2.28515625" style="95" customWidth="1"/>
    <col min="2" max="2" width="3.5703125" style="95" bestFit="1" customWidth="1"/>
    <col min="3" max="3" width="5.7109375" style="95" bestFit="1" customWidth="1"/>
    <col min="4" max="4" width="6.140625" style="95" bestFit="1" customWidth="1"/>
    <col min="5" max="5" width="9.140625" style="95"/>
    <col min="6" max="6" width="15.85546875" style="95" bestFit="1" customWidth="1"/>
    <col min="7" max="7" width="22" style="95" bestFit="1" customWidth="1"/>
    <col min="8" max="8" width="24.140625" style="95" bestFit="1" customWidth="1"/>
    <col min="9" max="9" width="24" style="95" bestFit="1" customWidth="1"/>
    <col min="10" max="10" width="15.5703125" style="95" customWidth="1"/>
    <col min="11" max="11" width="4.140625" style="95" customWidth="1"/>
    <col min="12" max="16384" width="9.140625" style="95"/>
  </cols>
  <sheetData>
    <row r="1" spans="1:19" x14ac:dyDescent="0.2">
      <c r="A1" s="158" t="s">
        <v>193</v>
      </c>
      <c r="B1" s="163"/>
      <c r="C1" s="163"/>
      <c r="D1" s="163"/>
      <c r="E1" s="162" t="s">
        <v>154</v>
      </c>
      <c r="F1" s="161"/>
      <c r="G1" s="161"/>
      <c r="H1" s="160" t="str">
        <f>Currency&amp;"_YC"&amp;"STDRH"</f>
        <v>GBP_YCSTDRH</v>
      </c>
      <c r="I1" s="159"/>
      <c r="J1" s="159"/>
      <c r="K1" s="140"/>
    </row>
    <row r="2" spans="1:19" ht="32.25" customHeight="1" x14ac:dyDescent="0.2">
      <c r="A2" s="158"/>
      <c r="B2" s="155" t="s">
        <v>177</v>
      </c>
      <c r="C2" s="156" t="s">
        <v>176</v>
      </c>
      <c r="D2" s="157" t="s">
        <v>175</v>
      </c>
      <c r="E2" s="156" t="s">
        <v>163</v>
      </c>
      <c r="F2" s="156" t="s">
        <v>162</v>
      </c>
      <c r="G2" s="155" t="s">
        <v>174</v>
      </c>
      <c r="H2" s="154" t="str">
        <f>$H$1&amp;"_Futures"&amp;$E$1&amp;".xml"</f>
        <v>GBP_YCSTDRH_Futures3M.xml</v>
      </c>
      <c r="I2" s="153">
        <f ca="1">IF(Serialize,_xll.ohObjectSave(I3:I44,SerializationPath&amp;H2,FileOverwrite,Serialize),"---")</f>
        <v>42</v>
      </c>
      <c r="J2" s="152" t="str">
        <f ca="1">_xll.ohRangeRetrieveError(I2)</f>
        <v/>
      </c>
      <c r="K2" s="140"/>
    </row>
    <row r="3" spans="1:19" x14ac:dyDescent="0.2">
      <c r="A3" s="147"/>
      <c r="B3" s="151">
        <v>1</v>
      </c>
      <c r="C3" s="144" t="b">
        <v>0</v>
      </c>
      <c r="D3" s="208" t="str">
        <f t="array" ref="D3:D44">_xll.qlIMMNextCodes(_xll.qlSettingsEvaluationDate(Trigger)-1,C3:C44)</f>
        <v>G4</v>
      </c>
      <c r="E3" s="144" t="str">
        <f t="shared" ref="E3:E34" si="0">PROPER(Currency)&amp;FamilyName&amp;$E$1</f>
        <v>GbpLibor3M</v>
      </c>
      <c r="F3" s="143" t="str">
        <f t="shared" ref="F3:F34" si="1">Currency&amp;"FUT"&amp;$E$1&amp;$D3&amp;QuoteSuffix</f>
        <v>GBPFUT3MG4_Quote</v>
      </c>
      <c r="G3" s="143" t="str">
        <f t="shared" ref="G3:G34" si="2">Currency&amp;"FUT"&amp;$E$1&amp;$D3&amp;"ConvAdj"&amp;QuoteSuffix</f>
        <v>GBPFUT3MG4ConvAdj_Quote</v>
      </c>
      <c r="H3" s="143" t="str">
        <f t="shared" ref="H3:H34" si="3">$H$1&amp;"_FUT"&amp;$E$1&amp;$D3</f>
        <v>GBP_YCSTDRH_FUT3MG4</v>
      </c>
      <c r="I3" s="150" t="str">
        <f>_xll.qlFuturesRateHelper(H3,$F3,$D3,$E3,$G3,Permanent,Trigger,ObjectOverwrite)</f>
        <v>GBP_YCSTDRH_FUT3MG4#0000</v>
      </c>
      <c r="J3" s="149" t="str">
        <f>_xll.ohRangeRetrieveError(I3)</f>
        <v/>
      </c>
      <c r="K3" s="140"/>
      <c r="L3" s="148"/>
      <c r="M3" s="95">
        <f>_xll.qlRateHelperQuoteValue(I3)</f>
        <v>99.484999999999999</v>
      </c>
      <c r="O3" s="95">
        <f>_xll.qlRateHelperRate(I3)</f>
        <v>5.1491412147193988E-3</v>
      </c>
      <c r="S3" s="95" t="str">
        <f>_xll.ohObjectCallerAddress(F3)</f>
        <v>[GBP_Market.xlsm]Futures3M!R7C6</v>
      </c>
    </row>
    <row r="4" spans="1:19" x14ac:dyDescent="0.2">
      <c r="A4" s="147"/>
      <c r="B4" s="146">
        <v>2</v>
      </c>
      <c r="C4" s="145" t="b">
        <v>0</v>
      </c>
      <c r="D4" s="209" t="str">
        <v>H4</v>
      </c>
      <c r="E4" s="144" t="str">
        <f t="shared" si="0"/>
        <v>GbpLibor3M</v>
      </c>
      <c r="F4" s="143" t="str">
        <f t="shared" si="1"/>
        <v>GBPFUT3MH4_Quote</v>
      </c>
      <c r="G4" s="143" t="str">
        <f t="shared" si="2"/>
        <v>GBPFUT3MH4ConvAdj_Quote</v>
      </c>
      <c r="H4" s="143" t="str">
        <f t="shared" si="3"/>
        <v>GBP_YCSTDRH_FUT3MH4</v>
      </c>
      <c r="I4" s="142" t="str">
        <f>_xll.qlFuturesRateHelper(H4,$F4,$D4,$E4,$G4,Permanent,Trigger,ObjectOverwrite)</f>
        <v>GBP_YCSTDRH_FUT3MH4#0000</v>
      </c>
      <c r="J4" s="141" t="str">
        <f>_xll.ohRangeRetrieveError(I4)</f>
        <v/>
      </c>
      <c r="K4" s="140"/>
      <c r="L4" s="148"/>
      <c r="M4" s="95" t="e">
        <f>_xll.qlRateHelperQuoteValue(I4)</f>
        <v>#NUM!</v>
      </c>
      <c r="O4" s="95" t="e">
        <f>_xll.qlRateHelperRate(I4)</f>
        <v>#NUM!</v>
      </c>
      <c r="P4" s="95" t="e">
        <f>_xll.qlQuoteValue(F4)</f>
        <v>#NUM!</v>
      </c>
      <c r="Q4" s="95" t="e">
        <f>_xll.qlQuoteValue(G4)</f>
        <v>#NUM!</v>
      </c>
    </row>
    <row r="5" spans="1:19" x14ac:dyDescent="0.2">
      <c r="A5" s="147"/>
      <c r="B5" s="146">
        <v>3</v>
      </c>
      <c r="C5" s="145" t="b">
        <v>0</v>
      </c>
      <c r="D5" s="209" t="str">
        <v>J4</v>
      </c>
      <c r="E5" s="144" t="str">
        <f t="shared" si="0"/>
        <v>GbpLibor3M</v>
      </c>
      <c r="F5" s="143" t="str">
        <f t="shared" si="1"/>
        <v>GBPFUT3MJ4_Quote</v>
      </c>
      <c r="G5" s="143" t="str">
        <f t="shared" si="2"/>
        <v>GBPFUT3MJ4ConvAdj_Quote</v>
      </c>
      <c r="H5" s="143" t="str">
        <f t="shared" si="3"/>
        <v>GBP_YCSTDRH_FUT3MJ4</v>
      </c>
      <c r="I5" s="142" t="str">
        <f>_xll.qlFuturesRateHelper(H5,$F5,$D5,$E5,$G5,Permanent,Trigger,ObjectOverwrite)</f>
        <v>GBP_YCSTDRH_FUT3MJ4#0000</v>
      </c>
      <c r="J5" s="141" t="str">
        <f>_xll.ohRangeRetrieveError(I5)</f>
        <v/>
      </c>
      <c r="K5" s="140"/>
      <c r="L5" s="148"/>
      <c r="M5" s="95" t="e">
        <f>_xll.qlRateHelperQuoteValue(I5)</f>
        <v>#NUM!</v>
      </c>
      <c r="O5" s="95" t="e">
        <f>_xll.qlRateHelperRate(I5)</f>
        <v>#NUM!</v>
      </c>
    </row>
    <row r="6" spans="1:19" x14ac:dyDescent="0.2">
      <c r="A6" s="147"/>
      <c r="B6" s="146">
        <v>4</v>
      </c>
      <c r="C6" s="145" t="b">
        <v>0</v>
      </c>
      <c r="D6" s="209" t="str">
        <v>K4</v>
      </c>
      <c r="E6" s="144" t="str">
        <f t="shared" si="0"/>
        <v>GbpLibor3M</v>
      </c>
      <c r="F6" s="143" t="str">
        <f t="shared" si="1"/>
        <v>GBPFUT3MK4_Quote</v>
      </c>
      <c r="G6" s="143" t="str">
        <f t="shared" si="2"/>
        <v>GBPFUT3MK4ConvAdj_Quote</v>
      </c>
      <c r="H6" s="143" t="str">
        <f t="shared" si="3"/>
        <v>GBP_YCSTDRH_FUT3MK4</v>
      </c>
      <c r="I6" s="142" t="str">
        <f>_xll.qlFuturesRateHelper(H6,$F6,$D6,$E6,$G6,Permanent,Trigger,ObjectOverwrite)</f>
        <v>GBP_YCSTDRH_FUT3MK4#0000</v>
      </c>
      <c r="J6" s="141" t="str">
        <f>_xll.ohRangeRetrieveError(I6)</f>
        <v/>
      </c>
      <c r="K6" s="140"/>
      <c r="L6" s="148"/>
      <c r="M6" s="95">
        <f>_xll.qlRateHelperQuoteValue(I6)</f>
        <v>99.495000000000005</v>
      </c>
      <c r="O6" s="95">
        <f>_xll.qlRateHelperRate(I6)</f>
        <v>5.0453212394818954E-3</v>
      </c>
    </row>
    <row r="7" spans="1:19" x14ac:dyDescent="0.2">
      <c r="A7" s="147"/>
      <c r="B7" s="146">
        <v>5</v>
      </c>
      <c r="C7" s="145" t="b">
        <v>0</v>
      </c>
      <c r="D7" s="209" t="str">
        <v>M4</v>
      </c>
      <c r="E7" s="144" t="str">
        <f t="shared" si="0"/>
        <v>GbpLibor3M</v>
      </c>
      <c r="F7" s="143" t="str">
        <f t="shared" si="1"/>
        <v>GBPFUT3MM4_Quote</v>
      </c>
      <c r="G7" s="143" t="str">
        <f t="shared" si="2"/>
        <v>GBPFUT3MM4ConvAdj_Quote</v>
      </c>
      <c r="H7" s="143" t="str">
        <f t="shared" si="3"/>
        <v>GBP_YCSTDRH_FUT3MM4</v>
      </c>
      <c r="I7" s="142" t="str">
        <f>_xll.qlFuturesRateHelper(H7,$F7,$D7,$E7,$G7,Permanent,Trigger,ObjectOverwrite)</f>
        <v>GBP_YCSTDRH_FUT3MM4#0000</v>
      </c>
      <c r="J7" s="141" t="str">
        <f>_xll.ohRangeRetrieveError(I7)</f>
        <v/>
      </c>
      <c r="K7" s="140"/>
      <c r="L7" s="148"/>
      <c r="M7" s="95" t="e">
        <f>_xll.qlRateHelperQuoteValue(I7)</f>
        <v>#NUM!</v>
      </c>
      <c r="O7" s="95" t="e">
        <f>_xll.qlRateHelperRate(I7)</f>
        <v>#NUM!</v>
      </c>
    </row>
    <row r="8" spans="1:19" x14ac:dyDescent="0.2">
      <c r="A8" s="147"/>
      <c r="B8" s="146">
        <v>6</v>
      </c>
      <c r="C8" s="145" t="b">
        <v>0</v>
      </c>
      <c r="D8" s="209" t="str">
        <v>N4</v>
      </c>
      <c r="E8" s="144" t="str">
        <f t="shared" si="0"/>
        <v>GbpLibor3M</v>
      </c>
      <c r="F8" s="143" t="str">
        <f t="shared" si="1"/>
        <v>GBPFUT3MN4_Quote</v>
      </c>
      <c r="G8" s="143" t="str">
        <f t="shared" si="2"/>
        <v>GBPFUT3MN4ConvAdj_Quote</v>
      </c>
      <c r="H8" s="143" t="str">
        <f t="shared" si="3"/>
        <v>GBP_YCSTDRH_FUT3MN4</v>
      </c>
      <c r="I8" s="142" t="str">
        <f>_xll.qlFuturesRateHelper(H8,$F8,$D8,$E8,$G8,Permanent,Trigger,ObjectOverwrite)</f>
        <v>GBP_YCSTDRH_FUT3MN4#0000</v>
      </c>
      <c r="J8" s="141" t="str">
        <f>_xll.ohRangeRetrieveError(I8)</f>
        <v/>
      </c>
      <c r="K8" s="140"/>
      <c r="L8" s="148"/>
      <c r="M8" s="95" t="e">
        <f>_xll.qlRateHelperQuoteValue(I8)</f>
        <v>#NUM!</v>
      </c>
      <c r="O8" s="95" t="e">
        <f>_xll.qlRateHelperRate(I8)</f>
        <v>#NUM!</v>
      </c>
    </row>
    <row r="9" spans="1:19" x14ac:dyDescent="0.2">
      <c r="A9" s="147"/>
      <c r="B9" s="146">
        <v>7</v>
      </c>
      <c r="C9" s="145" t="b">
        <v>0</v>
      </c>
      <c r="D9" s="209" t="str">
        <v>Q4</v>
      </c>
      <c r="E9" s="144" t="str">
        <f t="shared" si="0"/>
        <v>GbpLibor3M</v>
      </c>
      <c r="F9" s="143" t="str">
        <f t="shared" si="1"/>
        <v>GBPFUT3MQ4_Quote</v>
      </c>
      <c r="G9" s="143" t="str">
        <f t="shared" si="2"/>
        <v>GBPFUT3MQ4ConvAdj_Quote</v>
      </c>
      <c r="H9" s="143" t="str">
        <f t="shared" si="3"/>
        <v>GBP_YCSTDRH_FUT3MQ4</v>
      </c>
      <c r="I9" s="142" t="str">
        <f>_xll.qlFuturesRateHelper(H9,$F9,$D9,$E9,$G9,Permanent,Trigger,ObjectOverwrite)</f>
        <v>GBP_YCSTDRH_FUT3MQ4#0000</v>
      </c>
      <c r="J9" s="141" t="str">
        <f>_xll.ohRangeRetrieveError(I9)</f>
        <v/>
      </c>
      <c r="K9" s="140"/>
      <c r="L9" s="148"/>
      <c r="M9" s="95">
        <f>_xll.qlRateHelperQuoteValue(I9)</f>
        <v>99.495000000000005</v>
      </c>
      <c r="O9" s="95">
        <f>_xll.qlRateHelperRate(I9)</f>
        <v>5.0395634904227653E-3</v>
      </c>
    </row>
    <row r="10" spans="1:19" x14ac:dyDescent="0.2">
      <c r="A10" s="147"/>
      <c r="B10" s="146">
        <v>8</v>
      </c>
      <c r="C10" s="145" t="b">
        <v>0</v>
      </c>
      <c r="D10" s="209" t="str">
        <v>U4</v>
      </c>
      <c r="E10" s="144" t="str">
        <f t="shared" si="0"/>
        <v>GbpLibor3M</v>
      </c>
      <c r="F10" s="143" t="str">
        <f t="shared" si="1"/>
        <v>GBPFUT3MU4_Quote</v>
      </c>
      <c r="G10" s="143" t="str">
        <f t="shared" si="2"/>
        <v>GBPFUT3MU4ConvAdj_Quote</v>
      </c>
      <c r="H10" s="143" t="str">
        <f t="shared" si="3"/>
        <v>GBP_YCSTDRH_FUT3MU4</v>
      </c>
      <c r="I10" s="142" t="str">
        <f>_xll.qlFuturesRateHelper(H10,$F10,$D10,$E10,$G10,Permanent,Trigger,ObjectOverwrite)</f>
        <v>GBP_YCSTDRH_FUT3MU4#0000</v>
      </c>
      <c r="J10" s="141" t="str">
        <f>_xll.ohRangeRetrieveError(I10)</f>
        <v/>
      </c>
      <c r="K10" s="140"/>
      <c r="L10" s="148"/>
      <c r="M10" s="95" t="e">
        <f>_xll.qlRateHelperQuoteValue(I10)</f>
        <v>#NUM!</v>
      </c>
      <c r="O10" s="95" t="e">
        <f>_xll.qlRateHelperRate(I10)</f>
        <v>#NUM!</v>
      </c>
    </row>
    <row r="11" spans="1:19" x14ac:dyDescent="0.2">
      <c r="A11" s="147"/>
      <c r="B11" s="146">
        <v>9</v>
      </c>
      <c r="C11" s="145" t="b">
        <v>0</v>
      </c>
      <c r="D11" s="209" t="str">
        <v>V4</v>
      </c>
      <c r="E11" s="144" t="str">
        <f t="shared" si="0"/>
        <v>GbpLibor3M</v>
      </c>
      <c r="F11" s="143" t="str">
        <f t="shared" si="1"/>
        <v>GBPFUT3MV4_Quote</v>
      </c>
      <c r="G11" s="143" t="str">
        <f t="shared" si="2"/>
        <v>GBPFUT3MV4ConvAdj_Quote</v>
      </c>
      <c r="H11" s="143" t="str">
        <f t="shared" si="3"/>
        <v>GBP_YCSTDRH_FUT3MV4</v>
      </c>
      <c r="I11" s="142" t="str">
        <f>_xll.qlFuturesRateHelper(H11,$F11,$D11,$E11,$G11,Permanent,Trigger,ObjectOverwrite)</f>
        <v>GBP_YCSTDRH_FUT3MV4#0000</v>
      </c>
      <c r="J11" s="141" t="str">
        <f>_xll.ohRangeRetrieveError(I11)</f>
        <v/>
      </c>
      <c r="K11" s="140"/>
      <c r="L11" s="148"/>
      <c r="M11" s="95" t="e">
        <f>_xll.qlRateHelperQuoteValue(I11)</f>
        <v>#NUM!</v>
      </c>
      <c r="O11" s="95" t="e">
        <f>_xll.qlRateHelperRate(I11)</f>
        <v>#NUM!</v>
      </c>
    </row>
    <row r="12" spans="1:19" x14ac:dyDescent="0.2">
      <c r="A12" s="147"/>
      <c r="B12" s="146">
        <v>10</v>
      </c>
      <c r="C12" s="145" t="b">
        <v>0</v>
      </c>
      <c r="D12" s="209" t="str">
        <v>X4</v>
      </c>
      <c r="E12" s="144" t="str">
        <f t="shared" si="0"/>
        <v>GbpLibor3M</v>
      </c>
      <c r="F12" s="143" t="str">
        <f t="shared" si="1"/>
        <v>GBPFUT3MX4_Quote</v>
      </c>
      <c r="G12" s="143" t="str">
        <f t="shared" si="2"/>
        <v>GBPFUT3MX4ConvAdj_Quote</v>
      </c>
      <c r="H12" s="143" t="str">
        <f t="shared" si="3"/>
        <v>GBP_YCSTDRH_FUT3MX4</v>
      </c>
      <c r="I12" s="142" t="str">
        <f>_xll.qlFuturesRateHelper(H12,$F12,$D12,$E12,$G12,Permanent,Trigger,ObjectOverwrite)</f>
        <v>GBP_YCSTDRH_FUT3MX4#0000</v>
      </c>
      <c r="J12" s="141" t="str">
        <f>_xll.ohRangeRetrieveError(I12)</f>
        <v/>
      </c>
      <c r="K12" s="140"/>
      <c r="L12" s="148"/>
      <c r="M12" s="95">
        <f>_xll.qlRateHelperQuoteValue(I12)</f>
        <v>99.484999999999999</v>
      </c>
      <c r="O12" s="95">
        <f>_xll.qlRateHelperRate(I12)</f>
        <v>5.1318874701657561E-3</v>
      </c>
    </row>
    <row r="13" spans="1:19" x14ac:dyDescent="0.2">
      <c r="A13" s="147"/>
      <c r="B13" s="146">
        <v>11</v>
      </c>
      <c r="C13" s="145" t="b">
        <v>0</v>
      </c>
      <c r="D13" s="209" t="str">
        <v>Z4</v>
      </c>
      <c r="E13" s="144" t="str">
        <f t="shared" si="0"/>
        <v>GbpLibor3M</v>
      </c>
      <c r="F13" s="143" t="str">
        <f t="shared" si="1"/>
        <v>GBPFUT3MZ4_Quote</v>
      </c>
      <c r="G13" s="143" t="str">
        <f t="shared" si="2"/>
        <v>GBPFUT3MZ4ConvAdj_Quote</v>
      </c>
      <c r="H13" s="143" t="str">
        <f t="shared" si="3"/>
        <v>GBP_YCSTDRH_FUT3MZ4</v>
      </c>
      <c r="I13" s="142" t="str">
        <f>_xll.qlFuturesRateHelper(H13,$F13,$D13,$E13,$G13,Permanent,Trigger,ObjectOverwrite)</f>
        <v>GBP_YCSTDRH_FUT3MZ4#0000</v>
      </c>
      <c r="J13" s="141" t="str">
        <f>_xll.ohRangeRetrieveError(I13)</f>
        <v/>
      </c>
      <c r="K13" s="140"/>
      <c r="L13" s="148"/>
      <c r="M13" s="95" t="e">
        <f>_xll.qlRateHelperQuoteValue(I13)</f>
        <v>#NUM!</v>
      </c>
      <c r="O13" s="95" t="e">
        <f>_xll.qlRateHelperRate(I13)</f>
        <v>#NUM!</v>
      </c>
    </row>
    <row r="14" spans="1:19" x14ac:dyDescent="0.2">
      <c r="A14" s="147"/>
      <c r="B14" s="146">
        <v>12</v>
      </c>
      <c r="C14" s="145" t="b">
        <v>0</v>
      </c>
      <c r="D14" s="209" t="str">
        <v>F5</v>
      </c>
      <c r="E14" s="144" t="str">
        <f t="shared" si="0"/>
        <v>GbpLibor3M</v>
      </c>
      <c r="F14" s="143" t="str">
        <f t="shared" si="1"/>
        <v>GBPFUT3MF5_Quote</v>
      </c>
      <c r="G14" s="143" t="str">
        <f t="shared" si="2"/>
        <v>GBPFUT3MF5ConvAdj_Quote</v>
      </c>
      <c r="H14" s="143" t="str">
        <f t="shared" si="3"/>
        <v>GBP_YCSTDRH_FUT3MF5</v>
      </c>
      <c r="I14" s="142" t="str">
        <f>_xll.qlFuturesRateHelper(H14,$F14,$D14,$E14,$G14,Permanent,Trigger,ObjectOverwrite)</f>
        <v>GBP_YCSTDRH_FUT3MF5#0000</v>
      </c>
      <c r="J14" s="141" t="str">
        <f>_xll.ohRangeRetrieveError(I14)</f>
        <v/>
      </c>
      <c r="K14" s="140"/>
      <c r="L14" s="148"/>
      <c r="M14" s="95" t="e">
        <f>_xll.qlRateHelperQuoteValue(I14)</f>
        <v>#NUM!</v>
      </c>
      <c r="O14" s="95" t="e">
        <f>_xll.qlRateHelperRate(I14)</f>
        <v>#NUM!</v>
      </c>
    </row>
    <row r="15" spans="1:19" x14ac:dyDescent="0.2">
      <c r="A15" s="147"/>
      <c r="B15" s="146">
        <v>13</v>
      </c>
      <c r="C15" s="145" t="b">
        <v>1</v>
      </c>
      <c r="D15" s="209" t="str">
        <v>H5</v>
      </c>
      <c r="E15" s="144" t="str">
        <f t="shared" si="0"/>
        <v>GbpLibor3M</v>
      </c>
      <c r="F15" s="143" t="str">
        <f t="shared" si="1"/>
        <v>GBPFUT3MH5_Quote</v>
      </c>
      <c r="G15" s="143" t="str">
        <f t="shared" si="2"/>
        <v>GBPFUT3MH5ConvAdj_Quote</v>
      </c>
      <c r="H15" s="143" t="str">
        <f t="shared" si="3"/>
        <v>GBP_YCSTDRH_FUT3MH5</v>
      </c>
      <c r="I15" s="142" t="str">
        <f>_xll.qlFuturesRateHelper(H15,$F15,$D15,$E15,$G15,Permanent,Trigger,ObjectOverwrite)</f>
        <v>GBP_YCSTDRH_FUT3MH5#0000</v>
      </c>
      <c r="J15" s="141" t="str">
        <f>_xll.ohRangeRetrieveError(I15)</f>
        <v/>
      </c>
      <c r="K15" s="140"/>
      <c r="L15" s="148"/>
      <c r="M15" s="95">
        <f>_xll.qlRateHelperQuoteValue(I15)</f>
        <v>99.474999999999994</v>
      </c>
      <c r="O15" s="95">
        <f>_xll.qlRateHelperRate(I15)</f>
        <v>5.2190274734915092E-3</v>
      </c>
    </row>
    <row r="16" spans="1:19" x14ac:dyDescent="0.2">
      <c r="A16" s="147"/>
      <c r="B16" s="146">
        <v>14</v>
      </c>
      <c r="C16" s="145" t="b">
        <v>1</v>
      </c>
      <c r="D16" s="209" t="str">
        <v>M5</v>
      </c>
      <c r="E16" s="144" t="str">
        <f t="shared" si="0"/>
        <v>GbpLibor3M</v>
      </c>
      <c r="F16" s="143" t="str">
        <f t="shared" si="1"/>
        <v>GBPFUT3MM5_Quote</v>
      </c>
      <c r="G16" s="143" t="str">
        <f t="shared" si="2"/>
        <v>GBPFUT3MM5ConvAdj_Quote</v>
      </c>
      <c r="H16" s="143" t="str">
        <f t="shared" si="3"/>
        <v>GBP_YCSTDRH_FUT3MM5</v>
      </c>
      <c r="I16" s="142" t="str">
        <f>_xll.qlFuturesRateHelper(H16,$F16,$D16,$E16,$G16,Permanent,Trigger,ObjectOverwrite)</f>
        <v>GBP_YCSTDRH_FUT3MM5#0000</v>
      </c>
      <c r="J16" s="141" t="str">
        <f>_xll.ohRangeRetrieveError(I16)</f>
        <v/>
      </c>
      <c r="K16" s="140"/>
      <c r="L16" s="148"/>
      <c r="M16" s="95">
        <f>_xll.qlRateHelperQuoteValue(I16)</f>
        <v>99.454999999999998</v>
      </c>
      <c r="O16" s="95">
        <f>_xll.qlRateHelperRate(I16)</f>
        <v>5.407087860353545E-3</v>
      </c>
    </row>
    <row r="17" spans="1:15" x14ac:dyDescent="0.2">
      <c r="A17" s="147"/>
      <c r="B17" s="146">
        <v>15</v>
      </c>
      <c r="C17" s="145" t="b">
        <v>1</v>
      </c>
      <c r="D17" s="209" t="str">
        <v>U5</v>
      </c>
      <c r="E17" s="144" t="str">
        <f t="shared" si="0"/>
        <v>GbpLibor3M</v>
      </c>
      <c r="F17" s="143" t="str">
        <f t="shared" si="1"/>
        <v>GBPFUT3MU5_Quote</v>
      </c>
      <c r="G17" s="143" t="str">
        <f t="shared" si="2"/>
        <v>GBPFUT3MU5ConvAdj_Quote</v>
      </c>
      <c r="H17" s="143" t="str">
        <f t="shared" si="3"/>
        <v>GBP_YCSTDRH_FUT3MU5</v>
      </c>
      <c r="I17" s="142" t="str">
        <f>_xll.qlFuturesRateHelper(H17,$F17,$D17,$E17,$G17,Permanent,Trigger,ObjectOverwrite)</f>
        <v>GBP_YCSTDRH_FUT3MU5#0000</v>
      </c>
      <c r="J17" s="141" t="str">
        <f>_xll.ohRangeRetrieveError(I17)</f>
        <v/>
      </c>
      <c r="K17" s="140"/>
      <c r="L17" s="148"/>
      <c r="M17" s="95">
        <f>_xll.qlRateHelperQuoteValue(I17)</f>
        <v>99.415000000000006</v>
      </c>
      <c r="O17" s="95">
        <f>_xll.qlRateHelperRate(I17)</f>
        <v>5.7935077032211339E-3</v>
      </c>
    </row>
    <row r="18" spans="1:15" x14ac:dyDescent="0.2">
      <c r="A18" s="147"/>
      <c r="B18" s="146">
        <v>16</v>
      </c>
      <c r="C18" s="145" t="b">
        <v>1</v>
      </c>
      <c r="D18" s="209" t="str">
        <v>Z5</v>
      </c>
      <c r="E18" s="144" t="str">
        <f t="shared" si="0"/>
        <v>GbpLibor3M</v>
      </c>
      <c r="F18" s="143" t="str">
        <f t="shared" si="1"/>
        <v>GBPFUT3MZ5_Quote</v>
      </c>
      <c r="G18" s="143" t="str">
        <f t="shared" si="2"/>
        <v>GBPFUT3MZ5ConvAdj_Quote</v>
      </c>
      <c r="H18" s="143" t="str">
        <f t="shared" si="3"/>
        <v>GBP_YCSTDRH_FUT3MZ5</v>
      </c>
      <c r="I18" s="142" t="str">
        <f>_xll.qlFuturesRateHelper(H18,$F18,$D18,$E18,$G18,Permanent,Trigger,ObjectOverwrite)</f>
        <v>GBP_YCSTDRH_FUT3MZ5#0000</v>
      </c>
      <c r="J18" s="141" t="str">
        <f>_xll.ohRangeRetrieveError(I18)</f>
        <v/>
      </c>
      <c r="K18" s="140"/>
      <c r="L18" s="148"/>
      <c r="M18" s="95">
        <f>_xll.qlRateHelperQuoteValue(I18)</f>
        <v>99.375</v>
      </c>
      <c r="O18" s="95">
        <f>_xll.qlRateHelperRate(I18)</f>
        <v>6.1780671429005089E-3</v>
      </c>
    </row>
    <row r="19" spans="1:15" x14ac:dyDescent="0.2">
      <c r="A19" s="147"/>
      <c r="B19" s="146">
        <v>17</v>
      </c>
      <c r="C19" s="145" t="b">
        <v>1</v>
      </c>
      <c r="D19" s="209" t="str">
        <v>H6</v>
      </c>
      <c r="E19" s="144" t="str">
        <f t="shared" si="0"/>
        <v>GbpLibor3M</v>
      </c>
      <c r="F19" s="143" t="str">
        <f t="shared" si="1"/>
        <v>GBPFUT3MH6_Quote</v>
      </c>
      <c r="G19" s="143" t="str">
        <f t="shared" si="2"/>
        <v>GBPFUT3MH6ConvAdj_Quote</v>
      </c>
      <c r="H19" s="143" t="str">
        <f t="shared" si="3"/>
        <v>GBP_YCSTDRH_FUT3MH6</v>
      </c>
      <c r="I19" s="142" t="str">
        <f>_xll.qlFuturesRateHelper(H19,$F19,$D19,$E19,$G19,Permanent,Trigger,ObjectOverwrite)</f>
        <v>GBP_YCSTDRH_FUT3MH6#0000</v>
      </c>
      <c r="J19" s="141" t="str">
        <f>_xll.ohRangeRetrieveError(I19)</f>
        <v/>
      </c>
      <c r="K19" s="140"/>
      <c r="L19" s="148"/>
      <c r="M19" s="95">
        <f>_xll.qlRateHelperQuoteValue(I19)</f>
        <v>99.325000000000003</v>
      </c>
      <c r="O19" s="95">
        <f>_xll.qlRateHelperRate(I19)</f>
        <v>6.6607441691747434E-3</v>
      </c>
    </row>
    <row r="20" spans="1:15" x14ac:dyDescent="0.2">
      <c r="A20" s="147"/>
      <c r="B20" s="146">
        <v>18</v>
      </c>
      <c r="C20" s="145" t="b">
        <v>1</v>
      </c>
      <c r="D20" s="209" t="str">
        <v>M6</v>
      </c>
      <c r="E20" s="144" t="str">
        <f t="shared" si="0"/>
        <v>GbpLibor3M</v>
      </c>
      <c r="F20" s="143" t="str">
        <f t="shared" si="1"/>
        <v>GBPFUT3MM6_Quote</v>
      </c>
      <c r="G20" s="143" t="str">
        <f t="shared" si="2"/>
        <v>GBPFUT3MM6ConvAdj_Quote</v>
      </c>
      <c r="H20" s="143" t="str">
        <f t="shared" si="3"/>
        <v>GBP_YCSTDRH_FUT3MM6</v>
      </c>
      <c r="I20" s="142" t="str">
        <f>_xll.qlFuturesRateHelper(H20,$F20,$D20,$E20,$G20,Permanent,Trigger,ObjectOverwrite)</f>
        <v>GBP_YCSTDRH_FUT3MM6#0000</v>
      </c>
      <c r="J20" s="141" t="str">
        <f>_xll.ohRangeRetrieveError(I20)</f>
        <v/>
      </c>
      <c r="K20" s="140"/>
      <c r="L20" s="148"/>
      <c r="M20" s="95">
        <f>_xll.qlRateHelperQuoteValue(I20)</f>
        <v>99.275000000000006</v>
      </c>
      <c r="O20" s="95">
        <f>_xll.qlRateHelperRate(I20)</f>
        <v>7.1419203424053189E-3</v>
      </c>
    </row>
    <row r="21" spans="1:15" x14ac:dyDescent="0.2">
      <c r="A21" s="147"/>
      <c r="B21" s="146">
        <v>19</v>
      </c>
      <c r="C21" s="145" t="b">
        <v>1</v>
      </c>
      <c r="D21" s="209" t="str">
        <v>U6</v>
      </c>
      <c r="E21" s="144" t="str">
        <f t="shared" si="0"/>
        <v>GbpLibor3M</v>
      </c>
      <c r="F21" s="143" t="str">
        <f t="shared" si="1"/>
        <v>GBPFUT3MU6_Quote</v>
      </c>
      <c r="G21" s="143" t="str">
        <f t="shared" si="2"/>
        <v>GBPFUT3MU6ConvAdj_Quote</v>
      </c>
      <c r="H21" s="143" t="str">
        <f t="shared" si="3"/>
        <v>GBP_YCSTDRH_FUT3MU6</v>
      </c>
      <c r="I21" s="142" t="str">
        <f>_xll.qlFuturesRateHelper(H21,$F21,$D21,$E21,$G21,Permanent,Trigger,ObjectOverwrite)</f>
        <v>GBP_YCSTDRH_FUT3MU6#0000</v>
      </c>
      <c r="J21" s="141" t="str">
        <f>_xll.ohRangeRetrieveError(I21)</f>
        <v/>
      </c>
      <c r="K21" s="140"/>
      <c r="L21" s="148"/>
      <c r="M21" s="95">
        <f>_xll.qlRateHelperQuoteValue(I21)</f>
        <v>99.204999999999998</v>
      </c>
      <c r="O21" s="95">
        <f>_xll.qlRateHelperRate(I21)</f>
        <v>7.8200490032907886E-3</v>
      </c>
    </row>
    <row r="22" spans="1:15" x14ac:dyDescent="0.2">
      <c r="A22" s="147"/>
      <c r="B22" s="146">
        <v>20</v>
      </c>
      <c r="C22" s="145" t="b">
        <v>1</v>
      </c>
      <c r="D22" s="209" t="str">
        <v>Z6</v>
      </c>
      <c r="E22" s="144" t="str">
        <f t="shared" si="0"/>
        <v>GbpLibor3M</v>
      </c>
      <c r="F22" s="143" t="str">
        <f t="shared" si="1"/>
        <v>GBPFUT3MZ6_Quote</v>
      </c>
      <c r="G22" s="143" t="str">
        <f t="shared" si="2"/>
        <v>GBPFUT3MZ6ConvAdj_Quote</v>
      </c>
      <c r="H22" s="143" t="str">
        <f t="shared" si="3"/>
        <v>GBP_YCSTDRH_FUT3MZ6</v>
      </c>
      <c r="I22" s="142" t="str">
        <f>_xll.qlFuturesRateHelper(H22,$F22,$D22,$E22,$G22,Permanent,Trigger,ObjectOverwrite)</f>
        <v>GBP_YCSTDRH_FUT3MZ6#0000</v>
      </c>
      <c r="J22" s="141" t="str">
        <f>_xll.ohRangeRetrieveError(I22)</f>
        <v/>
      </c>
      <c r="K22" s="140"/>
      <c r="L22" s="148"/>
      <c r="M22" s="95">
        <f>_xll.qlRateHelperQuoteValue(I22)</f>
        <v>99.135000000000005</v>
      </c>
      <c r="O22" s="95">
        <f>_xll.qlRateHelperRate(I22)</f>
        <v>8.4981449959761288E-3</v>
      </c>
    </row>
    <row r="23" spans="1:15" x14ac:dyDescent="0.2">
      <c r="A23" s="147"/>
      <c r="B23" s="146">
        <v>21</v>
      </c>
      <c r="C23" s="145" t="b">
        <v>1</v>
      </c>
      <c r="D23" s="209" t="str">
        <v>H7</v>
      </c>
      <c r="E23" s="144" t="str">
        <f t="shared" si="0"/>
        <v>GbpLibor3M</v>
      </c>
      <c r="F23" s="143" t="str">
        <f t="shared" si="1"/>
        <v>GBPFUT3MH7_Quote</v>
      </c>
      <c r="G23" s="143" t="str">
        <f t="shared" si="2"/>
        <v>GBPFUT3MH7ConvAdj_Quote</v>
      </c>
      <c r="H23" s="143" t="str">
        <f t="shared" si="3"/>
        <v>GBP_YCSTDRH_FUT3MH7</v>
      </c>
      <c r="I23" s="142" t="str">
        <f>_xll.qlFuturesRateHelper(H23,$F23,$D23,$E23,$G23,Permanent,Trigger,ObjectOverwrite)</f>
        <v>GBP_YCSTDRH_FUT3MH7#0000</v>
      </c>
      <c r="J23" s="141" t="str">
        <f>_xll.ohRangeRetrieveError(I23)</f>
        <v/>
      </c>
      <c r="K23" s="140"/>
      <c r="L23" s="148"/>
      <c r="M23" s="95">
        <f>_xll.qlRateHelperQuoteValue(I23)</f>
        <v>99.04</v>
      </c>
      <c r="O23" s="95">
        <f>_xll.qlRateHelperRate(I23)</f>
        <v>9.4258216785348785E-3</v>
      </c>
    </row>
    <row r="24" spans="1:15" x14ac:dyDescent="0.2">
      <c r="A24" s="147"/>
      <c r="B24" s="146">
        <v>22</v>
      </c>
      <c r="C24" s="145" t="b">
        <v>1</v>
      </c>
      <c r="D24" s="209" t="str">
        <v>M7</v>
      </c>
      <c r="E24" s="144" t="str">
        <f t="shared" si="0"/>
        <v>GbpLibor3M</v>
      </c>
      <c r="F24" s="143" t="str">
        <f t="shared" si="1"/>
        <v>GBPFUT3MM7_Quote</v>
      </c>
      <c r="G24" s="143" t="str">
        <f t="shared" si="2"/>
        <v>GBPFUT3MM7ConvAdj_Quote</v>
      </c>
      <c r="H24" s="143" t="str">
        <f t="shared" si="3"/>
        <v>GBP_YCSTDRH_FUT3MM7</v>
      </c>
      <c r="I24" s="142" t="str">
        <f>_xll.qlFuturesRateHelper(H24,$F24,$D24,$E24,$G24,Permanent,Trigger,ObjectOverwrite)</f>
        <v>GBP_YCSTDRH_FUT3MM7#0000</v>
      </c>
      <c r="J24" s="141" t="str">
        <f>_xll.ohRangeRetrieveError(I24)</f>
        <v/>
      </c>
      <c r="K24" s="140"/>
      <c r="L24" s="148"/>
      <c r="M24" s="95">
        <f>_xll.qlRateHelperQuoteValue(I24)</f>
        <v>98.95</v>
      </c>
      <c r="O24" s="95">
        <f>_xll.qlRateHelperRate(I24)</f>
        <v>1.0298711695731304E-2</v>
      </c>
    </row>
    <row r="25" spans="1:15" x14ac:dyDescent="0.2">
      <c r="A25" s="147"/>
      <c r="B25" s="146">
        <v>23</v>
      </c>
      <c r="C25" s="145" t="b">
        <v>1</v>
      </c>
      <c r="D25" s="209" t="str">
        <v>U7</v>
      </c>
      <c r="E25" s="144" t="str">
        <f t="shared" si="0"/>
        <v>GbpLibor3M</v>
      </c>
      <c r="F25" s="143" t="str">
        <f t="shared" si="1"/>
        <v>GBPFUT3MU7_Quote</v>
      </c>
      <c r="G25" s="143" t="str">
        <f t="shared" si="2"/>
        <v>GBPFUT3MU7ConvAdj_Quote</v>
      </c>
      <c r="H25" s="143" t="str">
        <f t="shared" si="3"/>
        <v>GBP_YCSTDRH_FUT3MU7</v>
      </c>
      <c r="I25" s="142" t="str">
        <f>_xll.qlFuturesRateHelper(H25,$F25,$D25,$E25,$G25,Permanent,Trigger,ObjectOverwrite)</f>
        <v>GBP_YCSTDRH_FUT3MU7#0000</v>
      </c>
      <c r="J25" s="141" t="str">
        <f>_xll.ohRangeRetrieveError(I25)</f>
        <v/>
      </c>
      <c r="K25" s="140"/>
      <c r="L25" s="148"/>
      <c r="M25" s="95">
        <f>_xll.qlRateHelperQuoteValue(I25)</f>
        <v>98.84</v>
      </c>
      <c r="O25" s="95">
        <f>_xll.qlRateHelperRate(I25)</f>
        <v>1.1372281090545385E-2</v>
      </c>
    </row>
    <row r="26" spans="1:15" x14ac:dyDescent="0.2">
      <c r="A26" s="147"/>
      <c r="B26" s="146">
        <v>24</v>
      </c>
      <c r="C26" s="145" t="b">
        <v>1</v>
      </c>
      <c r="D26" s="209" t="str">
        <v>Z7</v>
      </c>
      <c r="E26" s="144" t="str">
        <f t="shared" si="0"/>
        <v>GbpLibor3M</v>
      </c>
      <c r="F26" s="143" t="str">
        <f t="shared" si="1"/>
        <v>GBPFUT3MZ7_Quote</v>
      </c>
      <c r="G26" s="143" t="str">
        <f t="shared" si="2"/>
        <v>GBPFUT3MZ7ConvAdj_Quote</v>
      </c>
      <c r="H26" s="143" t="str">
        <f t="shared" si="3"/>
        <v>GBP_YCSTDRH_FUT3MZ7</v>
      </c>
      <c r="I26" s="142" t="str">
        <f>_xll.qlFuturesRateHelper(H26,$F26,$D26,$E26,$G26,Permanent,Trigger,ObjectOverwrite)</f>
        <v>GBP_YCSTDRH_FUT3MZ7#0000</v>
      </c>
      <c r="J26" s="141" t="str">
        <f>_xll.ohRangeRetrieveError(I26)</f>
        <v/>
      </c>
      <c r="K26" s="140"/>
      <c r="L26" s="148"/>
      <c r="M26" s="95">
        <f>_xll.qlRateHelperQuoteValue(I26)</f>
        <v>98.724999999999994</v>
      </c>
      <c r="O26" s="95">
        <f>_xll.qlRateHelperRate(I26)</f>
        <v>1.2494436275772762E-2</v>
      </c>
    </row>
    <row r="27" spans="1:15" x14ac:dyDescent="0.2">
      <c r="A27" s="147"/>
      <c r="B27" s="146">
        <v>25</v>
      </c>
      <c r="C27" s="145" t="b">
        <v>1</v>
      </c>
      <c r="D27" s="209" t="str">
        <v>H8</v>
      </c>
      <c r="E27" s="144" t="str">
        <f t="shared" si="0"/>
        <v>GbpLibor3M</v>
      </c>
      <c r="F27" s="143" t="str">
        <f t="shared" si="1"/>
        <v>GBPFUT3MH8_Quote</v>
      </c>
      <c r="G27" s="143" t="str">
        <f t="shared" si="2"/>
        <v>GBPFUT3MH8ConvAdj_Quote</v>
      </c>
      <c r="H27" s="143" t="str">
        <f t="shared" si="3"/>
        <v>GBP_YCSTDRH_FUT3MH8</v>
      </c>
      <c r="I27" s="142" t="str">
        <f>_xll.qlFuturesRateHelper(H27,$F27,$D27,$E27,$G27,Permanent,Trigger,ObjectOverwrite)</f>
        <v>GBP_YCSTDRH_FUT3MH8#0000</v>
      </c>
      <c r="J27" s="141" t="str">
        <f>_xll.ohRangeRetrieveError(I27)</f>
        <v/>
      </c>
      <c r="K27" s="140"/>
      <c r="L27" s="148"/>
      <c r="M27" s="95">
        <f>_xll.qlRateHelperQuoteValue(I27)</f>
        <v>98.59</v>
      </c>
      <c r="O27" s="95">
        <f>_xll.qlRateHelperRate(I27)</f>
        <v>1.3814203840273521E-2</v>
      </c>
    </row>
    <row r="28" spans="1:15" x14ac:dyDescent="0.2">
      <c r="A28" s="147"/>
      <c r="B28" s="146">
        <v>26</v>
      </c>
      <c r="C28" s="145" t="b">
        <v>1</v>
      </c>
      <c r="D28" s="209" t="str">
        <v>M8</v>
      </c>
      <c r="E28" s="144" t="str">
        <f t="shared" si="0"/>
        <v>GbpLibor3M</v>
      </c>
      <c r="F28" s="143" t="str">
        <f t="shared" si="1"/>
        <v>GBPFUT3MM8_Quote</v>
      </c>
      <c r="G28" s="143" t="str">
        <f t="shared" si="2"/>
        <v>GBPFUT3MM8ConvAdj_Quote</v>
      </c>
      <c r="H28" s="143" t="str">
        <f t="shared" si="3"/>
        <v>GBP_YCSTDRH_FUT3MM8</v>
      </c>
      <c r="I28" s="142" t="str">
        <f>_xll.qlFuturesRateHelper(H28,$F28,$D28,$E28,$G28,Permanent,Trigger,ObjectOverwrite)</f>
        <v>GBP_YCSTDRH_FUT3MM8#0000</v>
      </c>
      <c r="J28" s="141" t="str">
        <f>_xll.ohRangeRetrieveError(I28)</f>
        <v/>
      </c>
      <c r="K28" s="140"/>
      <c r="L28" s="148"/>
      <c r="M28" s="95">
        <f>_xll.qlRateHelperQuoteValue(I28)</f>
        <v>98.474999999999994</v>
      </c>
      <c r="O28" s="95">
        <f>_xll.qlRateHelperRate(I28)</f>
        <v>1.4933228956211023E-2</v>
      </c>
    </row>
    <row r="29" spans="1:15" x14ac:dyDescent="0.2">
      <c r="A29" s="147"/>
      <c r="B29" s="146">
        <v>27</v>
      </c>
      <c r="C29" s="145" t="b">
        <v>1</v>
      </c>
      <c r="D29" s="209" t="str">
        <v>U8</v>
      </c>
      <c r="E29" s="144" t="str">
        <f t="shared" si="0"/>
        <v>GbpLibor3M</v>
      </c>
      <c r="F29" s="143" t="str">
        <f t="shared" si="1"/>
        <v>GBPFUT3MU8_Quote</v>
      </c>
      <c r="G29" s="143" t="str">
        <f t="shared" si="2"/>
        <v>GBPFUT3MU8ConvAdj_Quote</v>
      </c>
      <c r="H29" s="143" t="str">
        <f t="shared" si="3"/>
        <v>GBP_YCSTDRH_FUT3MU8</v>
      </c>
      <c r="I29" s="142" t="str">
        <f>_xll.qlFuturesRateHelper(H29,$F29,$D29,$E29,$G29,Permanent,Trigger,ObjectOverwrite)</f>
        <v>GBP_YCSTDRH_FUT3MU8#0000</v>
      </c>
      <c r="J29" s="141" t="str">
        <f>_xll.ohRangeRetrieveError(I29)</f>
        <v/>
      </c>
      <c r="K29" s="140"/>
      <c r="L29" s="148"/>
      <c r="M29" s="95" t="e">
        <f>_xll.qlRateHelperQuoteValue(I29)</f>
        <v>#NUM!</v>
      </c>
      <c r="O29" s="95" t="e">
        <f>_xll.qlRateHelperRate(I29)</f>
        <v>#NUM!</v>
      </c>
    </row>
    <row r="30" spans="1:15" x14ac:dyDescent="0.2">
      <c r="A30" s="147"/>
      <c r="B30" s="146">
        <v>28</v>
      </c>
      <c r="C30" s="145" t="b">
        <v>1</v>
      </c>
      <c r="D30" s="209" t="str">
        <v>Z8</v>
      </c>
      <c r="E30" s="144" t="str">
        <f t="shared" si="0"/>
        <v>GbpLibor3M</v>
      </c>
      <c r="F30" s="143" t="str">
        <f t="shared" si="1"/>
        <v>GBPFUT3MZ8_Quote</v>
      </c>
      <c r="G30" s="143" t="str">
        <f t="shared" si="2"/>
        <v>GBPFUT3MZ8ConvAdj_Quote</v>
      </c>
      <c r="H30" s="143" t="str">
        <f t="shared" si="3"/>
        <v>GBP_YCSTDRH_FUT3MZ8</v>
      </c>
      <c r="I30" s="142" t="str">
        <f>_xll.qlFuturesRateHelper(H30,$F30,$D30,$E30,$G30,Permanent,Trigger,ObjectOverwrite)</f>
        <v>GBP_YCSTDRH_FUT3MZ8#0000</v>
      </c>
      <c r="J30" s="141" t="str">
        <f>_xll.ohRangeRetrieveError(I30)</f>
        <v/>
      </c>
      <c r="K30" s="140"/>
      <c r="L30" s="148"/>
      <c r="M30" s="95" t="e">
        <f>_xll.qlRateHelperQuoteValue(I30)</f>
        <v>#NUM!</v>
      </c>
      <c r="O30" s="95" t="e">
        <f>_xll.qlRateHelperRate(I30)</f>
        <v>#NUM!</v>
      </c>
    </row>
    <row r="31" spans="1:15" x14ac:dyDescent="0.2">
      <c r="A31" s="147"/>
      <c r="B31" s="146">
        <v>29</v>
      </c>
      <c r="C31" s="145" t="b">
        <v>1</v>
      </c>
      <c r="D31" s="209" t="str">
        <v>H9</v>
      </c>
      <c r="E31" s="144" t="str">
        <f t="shared" si="0"/>
        <v>GbpLibor3M</v>
      </c>
      <c r="F31" s="143" t="str">
        <f t="shared" si="1"/>
        <v>GBPFUT3MH9_Quote</v>
      </c>
      <c r="G31" s="143" t="str">
        <f t="shared" si="2"/>
        <v>GBPFUT3MH9ConvAdj_Quote</v>
      </c>
      <c r="H31" s="143" t="str">
        <f t="shared" si="3"/>
        <v>GBP_YCSTDRH_FUT3MH9</v>
      </c>
      <c r="I31" s="142" t="str">
        <f>_xll.qlFuturesRateHelper(H31,$F31,$D31,$E31,$G31,Permanent,Trigger,ObjectOverwrite)</f>
        <v>GBP_YCSTDRH_FUT3MH9#0000</v>
      </c>
      <c r="J31" s="141" t="str">
        <f>_xll.ohRangeRetrieveError(I31)</f>
        <v/>
      </c>
      <c r="K31" s="140"/>
      <c r="L31" s="148"/>
      <c r="M31" s="95" t="e">
        <f>_xll.qlRateHelperQuoteValue(I31)</f>
        <v>#NUM!</v>
      </c>
      <c r="O31" s="95" t="e">
        <f>_xll.qlRateHelperRate(I31)</f>
        <v>#NUM!</v>
      </c>
    </row>
    <row r="32" spans="1:15" x14ac:dyDescent="0.2">
      <c r="A32" s="147"/>
      <c r="B32" s="146">
        <v>30</v>
      </c>
      <c r="C32" s="145" t="b">
        <v>1</v>
      </c>
      <c r="D32" s="209" t="str">
        <v>M9</v>
      </c>
      <c r="E32" s="144" t="str">
        <f t="shared" si="0"/>
        <v>GbpLibor3M</v>
      </c>
      <c r="F32" s="143" t="str">
        <f t="shared" si="1"/>
        <v>GBPFUT3MM9_Quote</v>
      </c>
      <c r="G32" s="143" t="str">
        <f t="shared" si="2"/>
        <v>GBPFUT3MM9ConvAdj_Quote</v>
      </c>
      <c r="H32" s="143" t="str">
        <f t="shared" si="3"/>
        <v>GBP_YCSTDRH_FUT3MM9</v>
      </c>
      <c r="I32" s="142" t="str">
        <f>_xll.qlFuturesRateHelper(H32,$F32,$D32,$E32,$G32,Permanent,Trigger,ObjectOverwrite)</f>
        <v>GBP_YCSTDRH_FUT3MM9#0000</v>
      </c>
      <c r="J32" s="141" t="str">
        <f>_xll.ohRangeRetrieveError(I32)</f>
        <v/>
      </c>
      <c r="K32" s="140"/>
      <c r="L32" s="148"/>
      <c r="M32" s="95" t="e">
        <f>_xll.qlRateHelperQuoteValue(I32)</f>
        <v>#NUM!</v>
      </c>
      <c r="O32" s="95" t="e">
        <f>_xll.qlRateHelperRate(I32)</f>
        <v>#NUM!</v>
      </c>
    </row>
    <row r="33" spans="1:21" x14ac:dyDescent="0.2">
      <c r="A33" s="147"/>
      <c r="B33" s="146">
        <v>31</v>
      </c>
      <c r="C33" s="145" t="b">
        <v>1</v>
      </c>
      <c r="D33" s="209" t="str">
        <v>U9</v>
      </c>
      <c r="E33" s="144" t="str">
        <f t="shared" si="0"/>
        <v>GbpLibor3M</v>
      </c>
      <c r="F33" s="143" t="str">
        <f t="shared" si="1"/>
        <v>GBPFUT3MU9_Quote</v>
      </c>
      <c r="G33" s="143" t="str">
        <f t="shared" si="2"/>
        <v>GBPFUT3MU9ConvAdj_Quote</v>
      </c>
      <c r="H33" s="143" t="str">
        <f t="shared" si="3"/>
        <v>GBP_YCSTDRH_FUT3MU9</v>
      </c>
      <c r="I33" s="142" t="str">
        <f>_xll.qlFuturesRateHelper(H33,$F33,$D33,$E33,$G33,Permanent,Trigger,ObjectOverwrite)</f>
        <v>GBP_YCSTDRH_FUT3MU9#0000</v>
      </c>
      <c r="J33" s="141" t="str">
        <f>_xll.ohRangeRetrieveError(I33)</f>
        <v/>
      </c>
      <c r="K33" s="140"/>
      <c r="L33" s="148"/>
      <c r="M33" s="95" t="e">
        <f>_xll.qlRateHelperQuoteValue(I33)</f>
        <v>#NUM!</v>
      </c>
      <c r="O33" s="95" t="e">
        <f>_xll.qlRateHelperRate(I33)</f>
        <v>#NUM!</v>
      </c>
    </row>
    <row r="34" spans="1:21" x14ac:dyDescent="0.2">
      <c r="A34" s="147"/>
      <c r="B34" s="146">
        <v>32</v>
      </c>
      <c r="C34" s="145" t="b">
        <v>1</v>
      </c>
      <c r="D34" s="209" t="str">
        <v>Z9</v>
      </c>
      <c r="E34" s="144" t="str">
        <f t="shared" si="0"/>
        <v>GbpLibor3M</v>
      </c>
      <c r="F34" s="143" t="str">
        <f t="shared" si="1"/>
        <v>GBPFUT3MZ9_Quote</v>
      </c>
      <c r="G34" s="143" t="str">
        <f t="shared" si="2"/>
        <v>GBPFUT3MZ9ConvAdj_Quote</v>
      </c>
      <c r="H34" s="143" t="str">
        <f t="shared" si="3"/>
        <v>GBP_YCSTDRH_FUT3MZ9</v>
      </c>
      <c r="I34" s="142" t="str">
        <f>_xll.qlFuturesRateHelper(H34,$F34,$D34,$E34,$G34,Permanent,Trigger,ObjectOverwrite)</f>
        <v>GBP_YCSTDRH_FUT3MZ9#0000</v>
      </c>
      <c r="J34" s="141" t="str">
        <f>_xll.ohRangeRetrieveError(I34)</f>
        <v/>
      </c>
      <c r="K34" s="140"/>
      <c r="L34" s="148"/>
      <c r="M34" s="95" t="e">
        <f>_xll.qlRateHelperQuoteValue(I34)</f>
        <v>#NUM!</v>
      </c>
      <c r="O34" s="95" t="e">
        <f>_xll.qlRateHelperRate(I34)</f>
        <v>#NUM!</v>
      </c>
    </row>
    <row r="35" spans="1:21" x14ac:dyDescent="0.2">
      <c r="A35" s="147"/>
      <c r="B35" s="146">
        <v>33</v>
      </c>
      <c r="C35" s="145" t="b">
        <v>1</v>
      </c>
      <c r="D35" s="209" t="str">
        <v>H0</v>
      </c>
      <c r="E35" s="144" t="str">
        <f t="shared" ref="E35:E44" si="4">PROPER(Currency)&amp;FamilyName&amp;$E$1</f>
        <v>GbpLibor3M</v>
      </c>
      <c r="F35" s="143" t="str">
        <f t="shared" ref="F35:F44" si="5">Currency&amp;"FUT"&amp;$E$1&amp;$D35&amp;QuoteSuffix</f>
        <v>GBPFUT3MH0_Quote</v>
      </c>
      <c r="G35" s="143" t="str">
        <f t="shared" ref="G35:G44" si="6">Currency&amp;"FUT"&amp;$E$1&amp;$D35&amp;"ConvAdj"&amp;QuoteSuffix</f>
        <v>GBPFUT3MH0ConvAdj_Quote</v>
      </c>
      <c r="H35" s="143" t="str">
        <f t="shared" ref="H35:H44" si="7">$H$1&amp;"_FUT"&amp;$E$1&amp;$D35</f>
        <v>GBP_YCSTDRH_FUT3MH0</v>
      </c>
      <c r="I35" s="142" t="str">
        <f>_xll.qlFuturesRateHelper(H35,$F35,$D35,$E35,$G35,Permanent,Trigger,ObjectOverwrite)</f>
        <v>GBP_YCSTDRH_FUT3MH0#0000</v>
      </c>
      <c r="J35" s="141" t="str">
        <f>_xll.ohRangeRetrieveError(I35)</f>
        <v/>
      </c>
      <c r="K35" s="140"/>
      <c r="L35" s="148"/>
      <c r="M35" s="95" t="e">
        <f>_xll.qlRateHelperQuoteValue(I35)</f>
        <v>#NUM!</v>
      </c>
      <c r="O35" s="95" t="e">
        <f>_xll.qlRateHelperRate(I35)</f>
        <v>#NUM!</v>
      </c>
    </row>
    <row r="36" spans="1:21" x14ac:dyDescent="0.2">
      <c r="A36" s="147"/>
      <c r="B36" s="146">
        <v>34</v>
      </c>
      <c r="C36" s="145" t="b">
        <v>1</v>
      </c>
      <c r="D36" s="209" t="str">
        <v>M0</v>
      </c>
      <c r="E36" s="144" t="str">
        <f t="shared" si="4"/>
        <v>GbpLibor3M</v>
      </c>
      <c r="F36" s="143" t="str">
        <f t="shared" si="5"/>
        <v>GBPFUT3MM0_Quote</v>
      </c>
      <c r="G36" s="143" t="str">
        <f t="shared" si="6"/>
        <v>GBPFUT3MM0ConvAdj_Quote</v>
      </c>
      <c r="H36" s="143" t="str">
        <f t="shared" si="7"/>
        <v>GBP_YCSTDRH_FUT3MM0</v>
      </c>
      <c r="I36" s="142" t="str">
        <f>_xll.qlFuturesRateHelper(H36,$F36,$D36,$E36,$G36,Permanent,Trigger,ObjectOverwrite)</f>
        <v>GBP_YCSTDRH_FUT3MM0#0000</v>
      </c>
      <c r="J36" s="141" t="str">
        <f>_xll.ohRangeRetrieveError(I36)</f>
        <v/>
      </c>
      <c r="K36" s="140"/>
      <c r="L36" s="148"/>
      <c r="M36" s="95" t="e">
        <f>_xll.qlRateHelperQuoteValue(I36)</f>
        <v>#NUM!</v>
      </c>
      <c r="O36" s="95" t="e">
        <f>_xll.qlRateHelperRate(I36)</f>
        <v>#NUM!</v>
      </c>
    </row>
    <row r="37" spans="1:21" x14ac:dyDescent="0.2">
      <c r="A37" s="147"/>
      <c r="B37" s="146">
        <v>35</v>
      </c>
      <c r="C37" s="145" t="b">
        <v>1</v>
      </c>
      <c r="D37" s="209" t="str">
        <v>U0</v>
      </c>
      <c r="E37" s="144" t="str">
        <f t="shared" si="4"/>
        <v>GbpLibor3M</v>
      </c>
      <c r="F37" s="143" t="str">
        <f t="shared" si="5"/>
        <v>GBPFUT3MU0_Quote</v>
      </c>
      <c r="G37" s="143" t="str">
        <f t="shared" si="6"/>
        <v>GBPFUT3MU0ConvAdj_Quote</v>
      </c>
      <c r="H37" s="143" t="str">
        <f t="shared" si="7"/>
        <v>GBP_YCSTDRH_FUT3MU0</v>
      </c>
      <c r="I37" s="142" t="str">
        <f>_xll.qlFuturesRateHelper(H37,$F37,$D37,$E37,$G37,Permanent,Trigger,ObjectOverwrite)</f>
        <v>GBP_YCSTDRH_FUT3MU0#0000</v>
      </c>
      <c r="J37" s="141" t="str">
        <f>_xll.ohRangeRetrieveError(I37)</f>
        <v/>
      </c>
      <c r="K37" s="140"/>
      <c r="L37" s="148"/>
      <c r="M37" s="95" t="e">
        <f>_xll.qlRateHelperQuoteValue(I37)</f>
        <v>#NUM!</v>
      </c>
      <c r="O37" s="95" t="e">
        <f>_xll.qlRateHelperRate(I37)</f>
        <v>#NUM!</v>
      </c>
    </row>
    <row r="38" spans="1:21" x14ac:dyDescent="0.2">
      <c r="A38" s="147"/>
      <c r="B38" s="146">
        <v>36</v>
      </c>
      <c r="C38" s="145" t="b">
        <v>1</v>
      </c>
      <c r="D38" s="209" t="str">
        <v>Z0</v>
      </c>
      <c r="E38" s="144" t="str">
        <f t="shared" si="4"/>
        <v>GbpLibor3M</v>
      </c>
      <c r="F38" s="143" t="str">
        <f t="shared" si="5"/>
        <v>GBPFUT3MZ0_Quote</v>
      </c>
      <c r="G38" s="143" t="str">
        <f t="shared" si="6"/>
        <v>GBPFUT3MZ0ConvAdj_Quote</v>
      </c>
      <c r="H38" s="143" t="str">
        <f t="shared" si="7"/>
        <v>GBP_YCSTDRH_FUT3MZ0</v>
      </c>
      <c r="I38" s="142" t="str">
        <f>_xll.qlFuturesRateHelper(H38,$F38,$D38,$E38,$G38,Permanent,Trigger,ObjectOverwrite)</f>
        <v>GBP_YCSTDRH_FUT3MZ0#0000</v>
      </c>
      <c r="J38" s="141" t="str">
        <f>_xll.ohRangeRetrieveError(I38)</f>
        <v/>
      </c>
      <c r="K38" s="140"/>
      <c r="L38" s="148"/>
      <c r="M38" s="95" t="e">
        <f>_xll.qlRateHelperQuoteValue(I38)</f>
        <v>#NUM!</v>
      </c>
      <c r="O38" s="95" t="e">
        <f>_xll.qlRateHelperRate(I38)</f>
        <v>#NUM!</v>
      </c>
    </row>
    <row r="39" spans="1:21" x14ac:dyDescent="0.2">
      <c r="A39" s="147"/>
      <c r="B39" s="146">
        <v>37</v>
      </c>
      <c r="C39" s="145" t="b">
        <v>1</v>
      </c>
      <c r="D39" s="209" t="str">
        <v>H1</v>
      </c>
      <c r="E39" s="144" t="str">
        <f t="shared" si="4"/>
        <v>GbpLibor3M</v>
      </c>
      <c r="F39" s="143" t="str">
        <f t="shared" si="5"/>
        <v>GBPFUT3MH1_Quote</v>
      </c>
      <c r="G39" s="143" t="str">
        <f t="shared" si="6"/>
        <v>GBPFUT3MH1ConvAdj_Quote</v>
      </c>
      <c r="H39" s="143" t="str">
        <f t="shared" si="7"/>
        <v>GBP_YCSTDRH_FUT3MH1</v>
      </c>
      <c r="I39" s="142" t="str">
        <f>_xll.qlFuturesRateHelper(H39,$F39,$D39,$E39,$G39,Permanent,Trigger,ObjectOverwrite)</f>
        <v>GBP_YCSTDRH_FUT3MH1#0000</v>
      </c>
      <c r="J39" s="141" t="str">
        <f>_xll.ohRangeRetrieveError(I39)</f>
        <v/>
      </c>
      <c r="K39" s="140"/>
      <c r="L39" s="148"/>
      <c r="M39" s="95" t="e">
        <f>_xll.qlRateHelperQuoteValue(I39)</f>
        <v>#NUM!</v>
      </c>
      <c r="O39" s="95" t="e">
        <f>_xll.qlRateHelperRate(I39)</f>
        <v>#NUM!</v>
      </c>
    </row>
    <row r="40" spans="1:21" x14ac:dyDescent="0.2">
      <c r="A40" s="147"/>
      <c r="B40" s="146">
        <v>38</v>
      </c>
      <c r="C40" s="145" t="b">
        <v>1</v>
      </c>
      <c r="D40" s="209" t="str">
        <v>M1</v>
      </c>
      <c r="E40" s="144" t="str">
        <f t="shared" si="4"/>
        <v>GbpLibor3M</v>
      </c>
      <c r="F40" s="143" t="str">
        <f t="shared" si="5"/>
        <v>GBPFUT3MM1_Quote</v>
      </c>
      <c r="G40" s="143" t="str">
        <f t="shared" si="6"/>
        <v>GBPFUT3MM1ConvAdj_Quote</v>
      </c>
      <c r="H40" s="143" t="str">
        <f t="shared" si="7"/>
        <v>GBP_YCSTDRH_FUT3MM1</v>
      </c>
      <c r="I40" s="142" t="str">
        <f>_xll.qlFuturesRateHelper(H40,$F40,$D40,$E40,$G40,Permanent,Trigger,ObjectOverwrite)</f>
        <v>GBP_YCSTDRH_FUT3MM1#0000</v>
      </c>
      <c r="J40" s="141" t="str">
        <f>_xll.ohRangeRetrieveError(I40)</f>
        <v/>
      </c>
      <c r="K40" s="140"/>
      <c r="M40" s="95" t="e">
        <f>_xll.qlRateHelperQuoteValue(I40)</f>
        <v>#NUM!</v>
      </c>
      <c r="O40" s="95" t="e">
        <f>_xll.qlRateHelperRate(I40)</f>
        <v>#NUM!</v>
      </c>
    </row>
    <row r="41" spans="1:21" x14ac:dyDescent="0.2">
      <c r="A41" s="147"/>
      <c r="B41" s="146">
        <v>39</v>
      </c>
      <c r="C41" s="145" t="b">
        <v>1</v>
      </c>
      <c r="D41" s="209" t="str">
        <v>U1</v>
      </c>
      <c r="E41" s="144" t="str">
        <f t="shared" si="4"/>
        <v>GbpLibor3M</v>
      </c>
      <c r="F41" s="143" t="str">
        <f t="shared" si="5"/>
        <v>GBPFUT3MU1_Quote</v>
      </c>
      <c r="G41" s="143" t="str">
        <f t="shared" si="6"/>
        <v>GBPFUT3MU1ConvAdj_Quote</v>
      </c>
      <c r="H41" s="143" t="str">
        <f t="shared" si="7"/>
        <v>GBP_YCSTDRH_FUT3MU1</v>
      </c>
      <c r="I41" s="142" t="str">
        <f>_xll.qlFuturesRateHelper(H41,$F41,$D41,$E41,$G41,Permanent,Trigger,ObjectOverwrite)</f>
        <v>GBP_YCSTDRH_FUT3MU1#0000</v>
      </c>
      <c r="J41" s="141" t="str">
        <f>_xll.ohRangeRetrieveError(I41)</f>
        <v/>
      </c>
      <c r="K41" s="140"/>
      <c r="M41" s="95" t="e">
        <f>_xll.qlRateHelperQuoteValue(I41)</f>
        <v>#NUM!</v>
      </c>
      <c r="O41" s="95" t="e">
        <f>_xll.qlRateHelperRate(I41)</f>
        <v>#NUM!</v>
      </c>
      <c r="U41" s="207"/>
    </row>
    <row r="42" spans="1:21" x14ac:dyDescent="0.2">
      <c r="A42" s="147"/>
      <c r="B42" s="146">
        <v>40</v>
      </c>
      <c r="C42" s="145" t="b">
        <v>1</v>
      </c>
      <c r="D42" s="209" t="str">
        <v>Z1</v>
      </c>
      <c r="E42" s="144" t="str">
        <f t="shared" si="4"/>
        <v>GbpLibor3M</v>
      </c>
      <c r="F42" s="143" t="str">
        <f t="shared" si="5"/>
        <v>GBPFUT3MZ1_Quote</v>
      </c>
      <c r="G42" s="143" t="str">
        <f t="shared" si="6"/>
        <v>GBPFUT3MZ1ConvAdj_Quote</v>
      </c>
      <c r="H42" s="143" t="str">
        <f t="shared" si="7"/>
        <v>GBP_YCSTDRH_FUT3MZ1</v>
      </c>
      <c r="I42" s="142" t="str">
        <f>_xll.qlFuturesRateHelper(H42,$F42,$D42,$E42,$G42,Permanent,Trigger,ObjectOverwrite)</f>
        <v>GBP_YCSTDRH_FUT3MZ1#0000</v>
      </c>
      <c r="J42" s="141" t="str">
        <f>_xll.ohRangeRetrieveError(I42)</f>
        <v/>
      </c>
      <c r="K42" s="140"/>
      <c r="M42" s="95" t="e">
        <f>_xll.qlRateHelperQuoteValue(I42)</f>
        <v>#NUM!</v>
      </c>
      <c r="O42" s="95" t="e">
        <f>_xll.qlRateHelperRate(I42)</f>
        <v>#NUM!</v>
      </c>
    </row>
    <row r="43" spans="1:21" x14ac:dyDescent="0.2">
      <c r="A43" s="147"/>
      <c r="B43" s="146">
        <v>41</v>
      </c>
      <c r="C43" s="145" t="b">
        <v>1</v>
      </c>
      <c r="D43" s="209" t="str">
        <v>H2</v>
      </c>
      <c r="E43" s="144" t="str">
        <f t="shared" si="4"/>
        <v>GbpLibor3M</v>
      </c>
      <c r="F43" s="143" t="str">
        <f t="shared" si="5"/>
        <v>GBPFUT3MH2_Quote</v>
      </c>
      <c r="G43" s="143" t="str">
        <f t="shared" si="6"/>
        <v>GBPFUT3MH2ConvAdj_Quote</v>
      </c>
      <c r="H43" s="143" t="str">
        <f t="shared" si="7"/>
        <v>GBP_YCSTDRH_FUT3MH2</v>
      </c>
      <c r="I43" s="142" t="str">
        <f>_xll.qlFuturesRateHelper(H43,$F43,$D43,$E43,$G43,Permanent,Trigger,ObjectOverwrite)</f>
        <v>GBP_YCSTDRH_FUT3MH2#0000</v>
      </c>
      <c r="J43" s="141" t="str">
        <f>_xll.ohRangeRetrieveError(I43)</f>
        <v/>
      </c>
      <c r="K43" s="140"/>
      <c r="M43" s="95" t="e">
        <f>_xll.qlRateHelperQuoteValue(I43)</f>
        <v>#NUM!</v>
      </c>
      <c r="O43" s="95" t="e">
        <f>_xll.qlRateHelperRate(I43)</f>
        <v>#NUM!</v>
      </c>
    </row>
    <row r="44" spans="1:21" x14ac:dyDescent="0.2">
      <c r="A44" s="147"/>
      <c r="B44" s="146">
        <v>42</v>
      </c>
      <c r="C44" s="145" t="b">
        <v>1</v>
      </c>
      <c r="D44" s="209" t="str">
        <v>M2</v>
      </c>
      <c r="E44" s="144" t="str">
        <f t="shared" si="4"/>
        <v>GbpLibor3M</v>
      </c>
      <c r="F44" s="143" t="str">
        <f t="shared" si="5"/>
        <v>GBPFUT3MM2_Quote</v>
      </c>
      <c r="G44" s="143" t="str">
        <f t="shared" si="6"/>
        <v>GBPFUT3MM2ConvAdj_Quote</v>
      </c>
      <c r="H44" s="143" t="str">
        <f t="shared" si="7"/>
        <v>GBP_YCSTDRH_FUT3MM2</v>
      </c>
      <c r="I44" s="142" t="str">
        <f>_xll.qlFuturesRateHelper(H44,$F44,$D44,$E44,$G44,Permanent,Trigger,ObjectOverwrite)</f>
        <v>GBP_YCSTDRH_FUT3MM2#0000</v>
      </c>
      <c r="J44" s="141" t="str">
        <f>_xll.ohRangeRetrieveError(I44)</f>
        <v/>
      </c>
      <c r="K44" s="140"/>
      <c r="M44" s="95" t="e">
        <f>_xll.qlRateHelperQuoteValue(I44)</f>
        <v>#NUM!</v>
      </c>
      <c r="O44" s="95" t="e">
        <f>_xll.qlRateHelperRate(I44)</f>
        <v>#NUM!</v>
      </c>
    </row>
    <row r="45" spans="1:21" ht="13.5" thickBot="1" x14ac:dyDescent="0.25">
      <c r="A45" s="139"/>
      <c r="B45" s="138"/>
      <c r="C45" s="138"/>
      <c r="D45" s="138"/>
      <c r="E45" s="138"/>
      <c r="F45" s="138"/>
      <c r="G45" s="138"/>
      <c r="H45" s="138"/>
      <c r="I45" s="138"/>
      <c r="J45" s="138"/>
      <c r="K45" s="137"/>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43"/>
  <sheetViews>
    <sheetView workbookViewId="0">
      <selection activeCell="L6" sqref="L6:L42"/>
    </sheetView>
  </sheetViews>
  <sheetFormatPr defaultRowHeight="12.75" x14ac:dyDescent="0.2"/>
  <cols>
    <col min="1" max="1" width="1.7109375" style="95" customWidth="1"/>
    <col min="2" max="2" width="4.7109375" style="95" bestFit="1" customWidth="1"/>
    <col min="3" max="3" width="3.85546875" style="95" bestFit="1" customWidth="1"/>
    <col min="4" max="4" width="3.140625" style="95" bestFit="1" customWidth="1"/>
    <col min="5" max="5" width="2.7109375" style="95" bestFit="1" customWidth="1"/>
    <col min="6" max="6" width="8.85546875" style="95" bestFit="1" customWidth="1"/>
    <col min="7" max="7" width="13.85546875" style="95" bestFit="1" customWidth="1"/>
    <col min="8" max="8" width="15.28515625" style="95" bestFit="1" customWidth="1"/>
    <col min="9" max="9" width="7.140625" style="95" bestFit="1" customWidth="1"/>
    <col min="10" max="10" width="15.7109375" style="95" bestFit="1" customWidth="1"/>
    <col min="11" max="11" width="22.28515625" style="95" bestFit="1" customWidth="1"/>
    <col min="12" max="12" width="26.7109375" style="164" bestFit="1" customWidth="1"/>
    <col min="13" max="13" width="16.5703125" style="95" customWidth="1"/>
    <col min="14" max="14" width="3.85546875" style="95" customWidth="1"/>
    <col min="15" max="15" width="2.5703125" style="95" customWidth="1"/>
    <col min="16" max="16" width="4" style="95" bestFit="1" customWidth="1"/>
    <col min="17" max="17" width="3.28515625" style="95" bestFit="1" customWidth="1"/>
    <col min="18" max="18" width="2.7109375" style="95" bestFit="1" customWidth="1"/>
    <col min="19" max="16384" width="9.140625" style="95"/>
  </cols>
  <sheetData>
    <row r="1" spans="1:18" x14ac:dyDescent="0.2">
      <c r="A1" s="198" t="s">
        <v>194</v>
      </c>
      <c r="B1" s="196"/>
      <c r="C1" s="196"/>
      <c r="D1" s="196"/>
      <c r="E1" s="196"/>
      <c r="F1" s="196"/>
      <c r="G1" s="196"/>
      <c r="H1" s="196"/>
      <c r="I1" s="196"/>
      <c r="J1" s="196"/>
      <c r="K1" s="197"/>
      <c r="L1" s="196"/>
      <c r="M1" s="196"/>
      <c r="N1" s="195"/>
    </row>
    <row r="2" spans="1:18" x14ac:dyDescent="0.2">
      <c r="A2" s="176"/>
      <c r="B2" s="188"/>
      <c r="C2" s="188"/>
      <c r="D2" s="188"/>
      <c r="E2" s="188"/>
      <c r="F2" s="188"/>
      <c r="G2" s="188"/>
      <c r="H2" s="188"/>
      <c r="I2" s="188"/>
      <c r="J2" s="162" t="s">
        <v>151</v>
      </c>
      <c r="K2" s="162" t="str">
        <f>Currency&amp;"_YC"&amp;"STDRH"</f>
        <v>GBP_YCSTDRH</v>
      </c>
      <c r="L2" s="188" t="e">
        <f>NA()</f>
        <v>#N/A</v>
      </c>
      <c r="M2" s="188"/>
      <c r="N2" s="187"/>
    </row>
    <row r="3" spans="1:18" ht="22.5" x14ac:dyDescent="0.2">
      <c r="A3" s="176"/>
      <c r="B3" s="156" t="s">
        <v>186</v>
      </c>
      <c r="C3" s="156"/>
      <c r="D3" s="156"/>
      <c r="E3" s="156"/>
      <c r="F3" s="156" t="s">
        <v>185</v>
      </c>
      <c r="G3" s="156" t="s">
        <v>184</v>
      </c>
      <c r="H3" s="156" t="s">
        <v>183</v>
      </c>
      <c r="I3" s="156" t="s">
        <v>182</v>
      </c>
      <c r="J3" s="156" t="s">
        <v>162</v>
      </c>
      <c r="K3" s="194" t="str">
        <f>K2&amp;"_Swaps.xml"</f>
        <v>GBP_YCSTDRH_Swaps.xml</v>
      </c>
      <c r="L3" s="193">
        <f ca="1">IF(Serialize,_xll.ohObjectSave(L4:L42,SerializationPath&amp;K3,FileOverwrite,Serialize),"---")</f>
        <v>38</v>
      </c>
      <c r="M3" s="170" t="str">
        <f ca="1">_xll.ohRangeRetrieveError(L3)</f>
        <v/>
      </c>
      <c r="N3" s="169"/>
    </row>
    <row r="4" spans="1:18" x14ac:dyDescent="0.2">
      <c r="A4" s="189"/>
      <c r="B4" s="188"/>
      <c r="C4" s="188"/>
      <c r="D4" s="188"/>
      <c r="E4" s="188"/>
      <c r="F4" s="188"/>
      <c r="G4" s="188"/>
      <c r="H4" s="188"/>
      <c r="I4" s="188"/>
      <c r="J4" s="188"/>
      <c r="K4" s="192" t="str">
        <f>$K$2&amp;"_"&amp;$D6&amp;$E6&amp;"_"&amp;FamilyName&amp;$J$2</f>
        <v>GBP_YCSTDRH_SB6L_Libor6M</v>
      </c>
      <c r="L4" s="191" t="str">
        <f>IF(UPPER(FamilyName)="IBOR",_xll.qlEuribor($K4,$J$2,,Permanent,Trigger,ObjectOverwrite),IF(UPPER(FamilyName)="LIBOR",_xll.qlLibor($K4,Currency,$J$2,,Permanent,Trigger,ObjectOverwrite),"--"))</f>
        <v>GBP_YCSTDRH_SB6L_Libor6M#0000</v>
      </c>
      <c r="M4" s="190" t="str">
        <f>_xll.ohRangeRetrieveError(L4)</f>
        <v/>
      </c>
      <c r="N4" s="187"/>
    </row>
    <row r="5" spans="1:18" s="186" customFormat="1" ht="12" thickBot="1" x14ac:dyDescent="0.25">
      <c r="A5" s="189"/>
      <c r="B5" s="188"/>
      <c r="C5" s="188"/>
      <c r="D5" s="188"/>
      <c r="E5" s="188"/>
      <c r="F5" s="188"/>
      <c r="G5" s="188"/>
      <c r="H5" s="188"/>
      <c r="I5" s="188"/>
      <c r="J5" s="188"/>
      <c r="K5" s="188"/>
      <c r="L5" s="188"/>
      <c r="M5" s="188"/>
      <c r="N5" s="187"/>
    </row>
    <row r="6" spans="1:18" x14ac:dyDescent="0.2">
      <c r="A6" s="176"/>
      <c r="B6" s="175" t="s">
        <v>179</v>
      </c>
      <c r="C6" s="175" t="s">
        <v>36</v>
      </c>
      <c r="D6" s="175" t="str">
        <f t="array" ref="D6:D42">VLOOKUP(Currency,Conventions,2)</f>
        <v>SB</v>
      </c>
      <c r="E6" s="175" t="str">
        <f t="array" ref="E6:E42">VLOOKUP(Currency,Conventions,3)</f>
        <v>6L</v>
      </c>
      <c r="F6" s="145" t="str">
        <f t="shared" ref="F6:F42" si="0">IF(UPPER(LEFT($D6))="A","Annual",IF(UPPER(LEFT($D6))="S","Semiannual","--"))</f>
        <v>Semiannual</v>
      </c>
      <c r="G6" s="145" t="s">
        <v>178</v>
      </c>
      <c r="H6" s="145" t="str">
        <f t="shared" ref="H6:H42" si="1">IF(UPPER(RIGHT($D6))="B",BondBasisDayCounter,IF(UPPER(RIGHT($D6))="M",MoneyMarketDayCounter,"--"))</f>
        <v>Actual/365 (Fixed)</v>
      </c>
      <c r="I6" s="174">
        <v>0</v>
      </c>
      <c r="J6" s="172" t="str">
        <f t="shared" ref="J6:J42" si="2">Currency&amp;$D6&amp;$E6&amp;$C6&amp;QuoteSuffix</f>
        <v>GBPSB6L1Y_Quote</v>
      </c>
      <c r="K6" s="172" t="str">
        <f t="shared" ref="K6:K42" si="3">$K$2&amp;"_"&amp;$D6&amp;$E6&amp;$C6</f>
        <v>GBP_YCSTDRH_SB6L1Y</v>
      </c>
      <c r="L6" s="171" t="str">
        <f>_xll.qlSwapRateHelper2(K6,$J6,$C6,Calendar,$F6,$G6,$H6,$L$4,$I6,B6,DiscountingCurve,Permanent,,ObjectOverwrite)</f>
        <v>GBP_YCSTDRH_SB6L1Y#0000</v>
      </c>
      <c r="M6" s="170" t="str">
        <f>_xll.ohRangeRetrieveError(L6)</f>
        <v/>
      </c>
      <c r="N6" s="169"/>
      <c r="P6" s="185" t="s">
        <v>114</v>
      </c>
      <c r="Q6" s="184"/>
      <c r="R6" s="183"/>
    </row>
    <row r="7" spans="1:18" x14ac:dyDescent="0.2">
      <c r="A7" s="176"/>
      <c r="B7" s="175" t="s">
        <v>179</v>
      </c>
      <c r="C7" s="175" t="s">
        <v>35</v>
      </c>
      <c r="D7" s="175" t="str">
        <v>SB</v>
      </c>
      <c r="E7" s="175" t="str">
        <v>6L</v>
      </c>
      <c r="F7" s="144" t="str">
        <f t="shared" si="0"/>
        <v>Semiannual</v>
      </c>
      <c r="G7" s="144" t="s">
        <v>178</v>
      </c>
      <c r="H7" s="144" t="str">
        <f t="shared" si="1"/>
        <v>Actual/365 (Fixed)</v>
      </c>
      <c r="I7" s="174">
        <v>0</v>
      </c>
      <c r="J7" s="173" t="str">
        <f t="shared" si="2"/>
        <v>GBPSB6L15M_Quote</v>
      </c>
      <c r="K7" s="172" t="str">
        <f t="shared" si="3"/>
        <v>GBP_YCSTDRH_SB6L15M</v>
      </c>
      <c r="L7" s="171" t="str">
        <f>_xll.qlSwapRateHelper2(K7,$J7,$C7,Calendar,$F7,$G7,$H7,$L$4,$I7,B7,DiscountingCurve,Permanent,,ObjectOverwrite)</f>
        <v>GBP_YCSTDRH_SB6L15M#0000</v>
      </c>
      <c r="M7" s="170" t="str">
        <f>_xll.ohRangeRetrieveError(L7)</f>
        <v/>
      </c>
      <c r="N7" s="169"/>
      <c r="P7" s="182" t="s">
        <v>112</v>
      </c>
      <c r="Q7" s="181" t="s">
        <v>111</v>
      </c>
      <c r="R7" s="180" t="s">
        <v>181</v>
      </c>
    </row>
    <row r="8" spans="1:18" x14ac:dyDescent="0.2">
      <c r="A8" s="176"/>
      <c r="B8" s="175" t="s">
        <v>179</v>
      </c>
      <c r="C8" s="175" t="s">
        <v>34</v>
      </c>
      <c r="D8" s="175" t="str">
        <v>SB</v>
      </c>
      <c r="E8" s="175" t="str">
        <v>6L</v>
      </c>
      <c r="F8" s="144" t="str">
        <f t="shared" si="0"/>
        <v>Semiannual</v>
      </c>
      <c r="G8" s="144" t="s">
        <v>178</v>
      </c>
      <c r="H8" s="144" t="str">
        <f t="shared" si="1"/>
        <v>Actual/365 (Fixed)</v>
      </c>
      <c r="I8" s="174">
        <v>0</v>
      </c>
      <c r="J8" s="173" t="str">
        <f t="shared" si="2"/>
        <v>GBPSB6L18M_Quote</v>
      </c>
      <c r="K8" s="172" t="str">
        <f t="shared" si="3"/>
        <v>GBP_YCSTDRH_SB6L18M</v>
      </c>
      <c r="L8" s="171" t="str">
        <f>_xll.qlSwapRateHelper2(K8,$J8,$C8,Calendar,$F8,$G8,$H8,$L$4,$I8,B8,DiscountingCurve,Permanent,,ObjectOverwrite)</f>
        <v>GBP_YCSTDRH_SB6L18M#0000</v>
      </c>
      <c r="M8" s="170" t="str">
        <f>_xll.ohRangeRetrieveError(L8)</f>
        <v/>
      </c>
      <c r="N8" s="169"/>
      <c r="P8" s="182" t="s">
        <v>109</v>
      </c>
      <c r="Q8" s="181" t="s">
        <v>108</v>
      </c>
      <c r="R8" s="180" t="s">
        <v>106</v>
      </c>
    </row>
    <row r="9" spans="1:18" x14ac:dyDescent="0.2">
      <c r="A9" s="176"/>
      <c r="B9" s="175" t="s">
        <v>179</v>
      </c>
      <c r="C9" s="175" t="s">
        <v>33</v>
      </c>
      <c r="D9" s="175" t="str">
        <v>SB</v>
      </c>
      <c r="E9" s="175" t="str">
        <v>6L</v>
      </c>
      <c r="F9" s="144" t="str">
        <f t="shared" si="0"/>
        <v>Semiannual</v>
      </c>
      <c r="G9" s="144" t="s">
        <v>178</v>
      </c>
      <c r="H9" s="144" t="str">
        <f t="shared" si="1"/>
        <v>Actual/365 (Fixed)</v>
      </c>
      <c r="I9" s="174">
        <v>0</v>
      </c>
      <c r="J9" s="173" t="str">
        <f t="shared" si="2"/>
        <v>GBPSB6L21M_Quote</v>
      </c>
      <c r="K9" s="172" t="str">
        <f t="shared" si="3"/>
        <v>GBP_YCSTDRH_SB6L21M</v>
      </c>
      <c r="L9" s="171" t="str">
        <f>_xll.qlSwapRateHelper2(K9,$J9,$C9,Calendar,$F9,$G9,$H9,$L$4,$I9,B9,DiscountingCurve,Permanent,,ObjectOverwrite)</f>
        <v>GBP_YCSTDRH_SB6L21M#0000</v>
      </c>
      <c r="M9" s="170" t="str">
        <f>_xll.ohRangeRetrieveError(L9)</f>
        <v/>
      </c>
      <c r="N9" s="169"/>
      <c r="P9" s="182" t="s">
        <v>105</v>
      </c>
      <c r="Q9" s="181"/>
      <c r="R9" s="180"/>
    </row>
    <row r="10" spans="1:18" ht="13.5" thickBot="1" x14ac:dyDescent="0.25">
      <c r="A10" s="176"/>
      <c r="B10" s="175" t="s">
        <v>179</v>
      </c>
      <c r="C10" s="175" t="s">
        <v>32</v>
      </c>
      <c r="D10" s="175" t="str">
        <v>SB</v>
      </c>
      <c r="E10" s="175" t="str">
        <v>6L</v>
      </c>
      <c r="F10" s="144" t="str">
        <f t="shared" si="0"/>
        <v>Semiannual</v>
      </c>
      <c r="G10" s="144" t="s">
        <v>178</v>
      </c>
      <c r="H10" s="144" t="str">
        <f t="shared" si="1"/>
        <v>Actual/365 (Fixed)</v>
      </c>
      <c r="I10" s="174">
        <v>0</v>
      </c>
      <c r="J10" s="173" t="str">
        <f t="shared" si="2"/>
        <v>GBPSB6L2Y_Quote</v>
      </c>
      <c r="K10" s="172" t="str">
        <f t="shared" si="3"/>
        <v>GBP_YCSTDRH_SB6L2Y</v>
      </c>
      <c r="L10" s="171" t="str">
        <f>_xll.qlSwapRateHelper2(K10,$J10,$C10,Calendar,$F10,$G10,$H10,$L$4,$I10,B10,DiscountingCurve,Permanent,,ObjectOverwrite)</f>
        <v>GBP_YCSTDRH_SB6L2Y#0000</v>
      </c>
      <c r="M10" s="170" t="str">
        <f>_xll.ohRangeRetrieveError(L10)</f>
        <v/>
      </c>
      <c r="N10" s="169"/>
      <c r="P10" s="179" t="s">
        <v>103</v>
      </c>
      <c r="Q10" s="178" t="s">
        <v>102</v>
      </c>
      <c r="R10" s="177" t="s">
        <v>180</v>
      </c>
    </row>
    <row r="11" spans="1:18" x14ac:dyDescent="0.2">
      <c r="A11" s="176"/>
      <c r="B11" s="175" t="s">
        <v>179</v>
      </c>
      <c r="C11" s="175" t="s">
        <v>31</v>
      </c>
      <c r="D11" s="175" t="str">
        <v>SB</v>
      </c>
      <c r="E11" s="175" t="str">
        <v>6L</v>
      </c>
      <c r="F11" s="144" t="str">
        <f t="shared" si="0"/>
        <v>Semiannual</v>
      </c>
      <c r="G11" s="144" t="s">
        <v>178</v>
      </c>
      <c r="H11" s="144" t="str">
        <f t="shared" si="1"/>
        <v>Actual/365 (Fixed)</v>
      </c>
      <c r="I11" s="174">
        <v>0</v>
      </c>
      <c r="J11" s="173" t="str">
        <f t="shared" si="2"/>
        <v>GBPSB6L3Y_Quote</v>
      </c>
      <c r="K11" s="172" t="str">
        <f t="shared" si="3"/>
        <v>GBP_YCSTDRH_SB6L3Y</v>
      </c>
      <c r="L11" s="171" t="str">
        <f>_xll.qlSwapRateHelper2(K11,$J11,$C11,Calendar,$F11,$G11,$H11,$L$4,$I11,B11,DiscountingCurve,Permanent,,ObjectOverwrite)</f>
        <v>GBP_YCSTDRH_SB6L3Y#0000</v>
      </c>
      <c r="M11" s="170" t="str">
        <f>_xll.ohRangeRetrieveError(L11)</f>
        <v/>
      </c>
      <c r="N11" s="169"/>
    </row>
    <row r="12" spans="1:18" x14ac:dyDescent="0.2">
      <c r="A12" s="176"/>
      <c r="B12" s="175" t="s">
        <v>179</v>
      </c>
      <c r="C12" s="175" t="s">
        <v>30</v>
      </c>
      <c r="D12" s="175" t="str">
        <v>SB</v>
      </c>
      <c r="E12" s="175" t="str">
        <v>6L</v>
      </c>
      <c r="F12" s="144" t="str">
        <f t="shared" si="0"/>
        <v>Semiannual</v>
      </c>
      <c r="G12" s="144" t="s">
        <v>178</v>
      </c>
      <c r="H12" s="144" t="str">
        <f t="shared" si="1"/>
        <v>Actual/365 (Fixed)</v>
      </c>
      <c r="I12" s="174">
        <v>0</v>
      </c>
      <c r="J12" s="173" t="str">
        <f t="shared" si="2"/>
        <v>GBPSB6L4Y_Quote</v>
      </c>
      <c r="K12" s="172" t="str">
        <f t="shared" si="3"/>
        <v>GBP_YCSTDRH_SB6L4Y</v>
      </c>
      <c r="L12" s="171" t="str">
        <f>_xll.qlSwapRateHelper2(K12,$J12,$C12,Calendar,$F12,$G12,$H12,$L$4,$I12,B12,DiscountingCurve,Permanent,,ObjectOverwrite)</f>
        <v>GBP_YCSTDRH_SB6L4Y#0000</v>
      </c>
      <c r="M12" s="170" t="str">
        <f>_xll.ohRangeRetrieveError(L12)</f>
        <v/>
      </c>
      <c r="N12" s="169"/>
    </row>
    <row r="13" spans="1:18" x14ac:dyDescent="0.2">
      <c r="A13" s="176"/>
      <c r="B13" s="175" t="s">
        <v>179</v>
      </c>
      <c r="C13" s="175" t="s">
        <v>29</v>
      </c>
      <c r="D13" s="175" t="str">
        <v>SB</v>
      </c>
      <c r="E13" s="175" t="str">
        <v>6L</v>
      </c>
      <c r="F13" s="144" t="str">
        <f t="shared" si="0"/>
        <v>Semiannual</v>
      </c>
      <c r="G13" s="144" t="s">
        <v>178</v>
      </c>
      <c r="H13" s="144" t="str">
        <f t="shared" si="1"/>
        <v>Actual/365 (Fixed)</v>
      </c>
      <c r="I13" s="174">
        <v>0</v>
      </c>
      <c r="J13" s="173" t="str">
        <f t="shared" si="2"/>
        <v>GBPSB6L5Y_Quote</v>
      </c>
      <c r="K13" s="172" t="str">
        <f t="shared" si="3"/>
        <v>GBP_YCSTDRH_SB6L5Y</v>
      </c>
      <c r="L13" s="171" t="str">
        <f>_xll.qlSwapRateHelper2(K13,$J13,$C13,Calendar,$F13,$G13,$H13,$L$4,$I13,B13,DiscountingCurve,Permanent,,ObjectOverwrite)</f>
        <v>GBP_YCSTDRH_SB6L5Y#0000</v>
      </c>
      <c r="M13" s="170" t="str">
        <f>_xll.ohRangeRetrieveError(L13)</f>
        <v/>
      </c>
      <c r="N13" s="169"/>
    </row>
    <row r="14" spans="1:18" x14ac:dyDescent="0.2">
      <c r="A14" s="176"/>
      <c r="B14" s="175" t="s">
        <v>179</v>
      </c>
      <c r="C14" s="175" t="s">
        <v>28</v>
      </c>
      <c r="D14" s="175" t="str">
        <v>SB</v>
      </c>
      <c r="E14" s="175" t="str">
        <v>6L</v>
      </c>
      <c r="F14" s="144" t="str">
        <f t="shared" si="0"/>
        <v>Semiannual</v>
      </c>
      <c r="G14" s="144" t="s">
        <v>178</v>
      </c>
      <c r="H14" s="144" t="str">
        <f t="shared" si="1"/>
        <v>Actual/365 (Fixed)</v>
      </c>
      <c r="I14" s="174">
        <v>0</v>
      </c>
      <c r="J14" s="173" t="str">
        <f t="shared" si="2"/>
        <v>GBPSB6L6Y_Quote</v>
      </c>
      <c r="K14" s="172" t="str">
        <f t="shared" si="3"/>
        <v>GBP_YCSTDRH_SB6L6Y</v>
      </c>
      <c r="L14" s="171" t="str">
        <f>_xll.qlSwapRateHelper2(K14,$J14,$C14,Calendar,$F14,$G14,$H14,$L$4,$I14,B14,DiscountingCurve,Permanent,,ObjectOverwrite)</f>
        <v>GBP_YCSTDRH_SB6L6Y#0000</v>
      </c>
      <c r="M14" s="170" t="str">
        <f>_xll.ohRangeRetrieveError(L14)</f>
        <v/>
      </c>
      <c r="N14" s="169"/>
    </row>
    <row r="15" spans="1:18" x14ac:dyDescent="0.2">
      <c r="A15" s="176"/>
      <c r="B15" s="175" t="s">
        <v>179</v>
      </c>
      <c r="C15" s="175" t="s">
        <v>27</v>
      </c>
      <c r="D15" s="175" t="str">
        <v>SB</v>
      </c>
      <c r="E15" s="175" t="str">
        <v>6L</v>
      </c>
      <c r="F15" s="144" t="str">
        <f t="shared" si="0"/>
        <v>Semiannual</v>
      </c>
      <c r="G15" s="144" t="s">
        <v>178</v>
      </c>
      <c r="H15" s="144" t="str">
        <f t="shared" si="1"/>
        <v>Actual/365 (Fixed)</v>
      </c>
      <c r="I15" s="174">
        <v>0</v>
      </c>
      <c r="J15" s="173" t="str">
        <f t="shared" si="2"/>
        <v>GBPSB6L7Y_Quote</v>
      </c>
      <c r="K15" s="172" t="str">
        <f t="shared" si="3"/>
        <v>GBP_YCSTDRH_SB6L7Y</v>
      </c>
      <c r="L15" s="171" t="str">
        <f>_xll.qlSwapRateHelper2(K15,$J15,$C15,Calendar,$F15,$G15,$H15,$L$4,$I15,B15,DiscountingCurve,Permanent,,ObjectOverwrite)</f>
        <v>GBP_YCSTDRH_SB6L7Y#0000</v>
      </c>
      <c r="M15" s="170" t="str">
        <f>_xll.ohRangeRetrieveError(L15)</f>
        <v/>
      </c>
      <c r="N15" s="169"/>
    </row>
    <row r="16" spans="1:18" x14ac:dyDescent="0.2">
      <c r="A16" s="176"/>
      <c r="B16" s="175" t="s">
        <v>179</v>
      </c>
      <c r="C16" s="175" t="s">
        <v>26</v>
      </c>
      <c r="D16" s="175" t="str">
        <v>SB</v>
      </c>
      <c r="E16" s="175" t="str">
        <v>6L</v>
      </c>
      <c r="F16" s="144" t="str">
        <f t="shared" si="0"/>
        <v>Semiannual</v>
      </c>
      <c r="G16" s="144" t="s">
        <v>178</v>
      </c>
      <c r="H16" s="144" t="str">
        <f t="shared" si="1"/>
        <v>Actual/365 (Fixed)</v>
      </c>
      <c r="I16" s="174">
        <v>0</v>
      </c>
      <c r="J16" s="173" t="str">
        <f t="shared" si="2"/>
        <v>GBPSB6L8Y_Quote</v>
      </c>
      <c r="K16" s="172" t="str">
        <f t="shared" si="3"/>
        <v>GBP_YCSTDRH_SB6L8Y</v>
      </c>
      <c r="L16" s="171" t="str">
        <f>_xll.qlSwapRateHelper2(K16,$J16,$C16,Calendar,$F16,$G16,$H16,$L$4,$I16,B16,DiscountingCurve,Permanent,,ObjectOverwrite)</f>
        <v>GBP_YCSTDRH_SB6L8Y#0000</v>
      </c>
      <c r="M16" s="170" t="str">
        <f>_xll.ohRangeRetrieveError(L16)</f>
        <v/>
      </c>
      <c r="N16" s="169"/>
    </row>
    <row r="17" spans="1:14" x14ac:dyDescent="0.2">
      <c r="A17" s="176"/>
      <c r="B17" s="175" t="s">
        <v>179</v>
      </c>
      <c r="C17" s="175" t="s">
        <v>25</v>
      </c>
      <c r="D17" s="175" t="str">
        <v>SB</v>
      </c>
      <c r="E17" s="175" t="str">
        <v>6L</v>
      </c>
      <c r="F17" s="144" t="str">
        <f t="shared" si="0"/>
        <v>Semiannual</v>
      </c>
      <c r="G17" s="144" t="s">
        <v>178</v>
      </c>
      <c r="H17" s="144" t="str">
        <f t="shared" si="1"/>
        <v>Actual/365 (Fixed)</v>
      </c>
      <c r="I17" s="174">
        <v>0</v>
      </c>
      <c r="J17" s="173" t="str">
        <f t="shared" si="2"/>
        <v>GBPSB6L9Y_Quote</v>
      </c>
      <c r="K17" s="172" t="str">
        <f t="shared" si="3"/>
        <v>GBP_YCSTDRH_SB6L9Y</v>
      </c>
      <c r="L17" s="171" t="str">
        <f>_xll.qlSwapRateHelper2(K17,$J17,$C17,Calendar,$F17,$G17,$H17,$L$4,$I17,B17,DiscountingCurve,Permanent,,ObjectOverwrite)</f>
        <v>GBP_YCSTDRH_SB6L9Y#0000</v>
      </c>
      <c r="M17" s="170" t="str">
        <f>_xll.ohRangeRetrieveError(L17)</f>
        <v/>
      </c>
      <c r="N17" s="169"/>
    </row>
    <row r="18" spans="1:14" x14ac:dyDescent="0.2">
      <c r="A18" s="176"/>
      <c r="B18" s="175" t="s">
        <v>179</v>
      </c>
      <c r="C18" s="175" t="s">
        <v>24</v>
      </c>
      <c r="D18" s="175" t="str">
        <v>SB</v>
      </c>
      <c r="E18" s="175" t="str">
        <v>6L</v>
      </c>
      <c r="F18" s="144" t="str">
        <f t="shared" si="0"/>
        <v>Semiannual</v>
      </c>
      <c r="G18" s="144" t="s">
        <v>178</v>
      </c>
      <c r="H18" s="144" t="str">
        <f t="shared" si="1"/>
        <v>Actual/365 (Fixed)</v>
      </c>
      <c r="I18" s="174">
        <v>0</v>
      </c>
      <c r="J18" s="173" t="str">
        <f t="shared" si="2"/>
        <v>GBPSB6L10Y_Quote</v>
      </c>
      <c r="K18" s="172" t="str">
        <f t="shared" si="3"/>
        <v>GBP_YCSTDRH_SB6L10Y</v>
      </c>
      <c r="L18" s="171" t="str">
        <f>_xll.qlSwapRateHelper2(K18,$J18,$C18,Calendar,$F18,$G18,$H18,$L$4,$I18,B18,DiscountingCurve,Permanent,,ObjectOverwrite)</f>
        <v>GBP_YCSTDRH_SB6L10Y#0000</v>
      </c>
      <c r="M18" s="170" t="str">
        <f>_xll.ohRangeRetrieveError(L18)</f>
        <v/>
      </c>
      <c r="N18" s="169"/>
    </row>
    <row r="19" spans="1:14" x14ac:dyDescent="0.2">
      <c r="A19" s="176"/>
      <c r="B19" s="175" t="s">
        <v>179</v>
      </c>
      <c r="C19" s="175" t="s">
        <v>23</v>
      </c>
      <c r="D19" s="175" t="str">
        <v>SB</v>
      </c>
      <c r="E19" s="175" t="str">
        <v>6L</v>
      </c>
      <c r="F19" s="144" t="str">
        <f t="shared" si="0"/>
        <v>Semiannual</v>
      </c>
      <c r="G19" s="144" t="s">
        <v>178</v>
      </c>
      <c r="H19" s="144" t="str">
        <f t="shared" si="1"/>
        <v>Actual/365 (Fixed)</v>
      </c>
      <c r="I19" s="174">
        <v>0</v>
      </c>
      <c r="J19" s="173" t="str">
        <f t="shared" si="2"/>
        <v>GBPSB6L11Y_Quote</v>
      </c>
      <c r="K19" s="172" t="str">
        <f t="shared" si="3"/>
        <v>GBP_YCSTDRH_SB6L11Y</v>
      </c>
      <c r="L19" s="171" t="str">
        <f>_xll.qlSwapRateHelper2(K19,$J19,$C19,Calendar,$F19,$G19,$H19,$L$4,$I19,B19,DiscountingCurve,Permanent,,ObjectOverwrite)</f>
        <v>GBP_YCSTDRH_SB6L11Y#0000</v>
      </c>
      <c r="M19" s="170" t="str">
        <f>_xll.ohRangeRetrieveError(L19)</f>
        <v/>
      </c>
      <c r="N19" s="169"/>
    </row>
    <row r="20" spans="1:14" x14ac:dyDescent="0.2">
      <c r="A20" s="176"/>
      <c r="B20" s="175" t="s">
        <v>179</v>
      </c>
      <c r="C20" s="175" t="s">
        <v>22</v>
      </c>
      <c r="D20" s="175" t="str">
        <v>SB</v>
      </c>
      <c r="E20" s="175" t="str">
        <v>6L</v>
      </c>
      <c r="F20" s="144" t="str">
        <f t="shared" si="0"/>
        <v>Semiannual</v>
      </c>
      <c r="G20" s="144" t="s">
        <v>178</v>
      </c>
      <c r="H20" s="144" t="str">
        <f t="shared" si="1"/>
        <v>Actual/365 (Fixed)</v>
      </c>
      <c r="I20" s="174">
        <v>0</v>
      </c>
      <c r="J20" s="173" t="str">
        <f t="shared" si="2"/>
        <v>GBPSB6L12Y_Quote</v>
      </c>
      <c r="K20" s="172" t="str">
        <f t="shared" si="3"/>
        <v>GBP_YCSTDRH_SB6L12Y</v>
      </c>
      <c r="L20" s="171" t="str">
        <f>_xll.qlSwapRateHelper2(K20,$J20,$C20,Calendar,$F20,$G20,$H20,$L$4,$I20,B20,DiscountingCurve,Permanent,,ObjectOverwrite)</f>
        <v>GBP_YCSTDRH_SB6L12Y#0000</v>
      </c>
      <c r="M20" s="170" t="str">
        <f>_xll.ohRangeRetrieveError(L20)</f>
        <v/>
      </c>
      <c r="N20" s="169"/>
    </row>
    <row r="21" spans="1:14" x14ac:dyDescent="0.2">
      <c r="A21" s="176"/>
      <c r="B21" s="175" t="s">
        <v>179</v>
      </c>
      <c r="C21" s="175" t="s">
        <v>21</v>
      </c>
      <c r="D21" s="175" t="str">
        <v>SB</v>
      </c>
      <c r="E21" s="175" t="str">
        <v>6L</v>
      </c>
      <c r="F21" s="144" t="str">
        <f t="shared" si="0"/>
        <v>Semiannual</v>
      </c>
      <c r="G21" s="144" t="s">
        <v>178</v>
      </c>
      <c r="H21" s="144" t="str">
        <f t="shared" si="1"/>
        <v>Actual/365 (Fixed)</v>
      </c>
      <c r="I21" s="174">
        <v>0</v>
      </c>
      <c r="J21" s="173" t="str">
        <f t="shared" si="2"/>
        <v>GBPSB6L13Y_Quote</v>
      </c>
      <c r="K21" s="172" t="str">
        <f t="shared" si="3"/>
        <v>GBP_YCSTDRH_SB6L13Y</v>
      </c>
      <c r="L21" s="171" t="str">
        <f>_xll.qlSwapRateHelper2(K21,$J21,$C21,Calendar,$F21,$G21,$H21,$L$4,$I21,B21,DiscountingCurve,Permanent,,ObjectOverwrite)</f>
        <v>GBP_YCSTDRH_SB6L13Y#0000</v>
      </c>
      <c r="M21" s="170" t="str">
        <f>_xll.ohRangeRetrieveError(L21)</f>
        <v/>
      </c>
      <c r="N21" s="169"/>
    </row>
    <row r="22" spans="1:14" x14ac:dyDescent="0.2">
      <c r="A22" s="176"/>
      <c r="B22" s="175" t="s">
        <v>179</v>
      </c>
      <c r="C22" s="175" t="s">
        <v>20</v>
      </c>
      <c r="D22" s="175" t="str">
        <v>SB</v>
      </c>
      <c r="E22" s="175" t="str">
        <v>6L</v>
      </c>
      <c r="F22" s="144" t="str">
        <f t="shared" si="0"/>
        <v>Semiannual</v>
      </c>
      <c r="G22" s="144" t="s">
        <v>178</v>
      </c>
      <c r="H22" s="144" t="str">
        <f t="shared" si="1"/>
        <v>Actual/365 (Fixed)</v>
      </c>
      <c r="I22" s="174">
        <v>0</v>
      </c>
      <c r="J22" s="173" t="str">
        <f t="shared" si="2"/>
        <v>GBPSB6L14Y_Quote</v>
      </c>
      <c r="K22" s="172" t="str">
        <f t="shared" si="3"/>
        <v>GBP_YCSTDRH_SB6L14Y</v>
      </c>
      <c r="L22" s="171" t="str">
        <f>_xll.qlSwapRateHelper2(K22,$J22,$C22,Calendar,$F22,$G22,$H22,$L$4,$I22,B22,DiscountingCurve,Permanent,,ObjectOverwrite)</f>
        <v>GBP_YCSTDRH_SB6L14Y#0000</v>
      </c>
      <c r="M22" s="170" t="str">
        <f>_xll.ohRangeRetrieveError(L22)</f>
        <v/>
      </c>
      <c r="N22" s="169"/>
    </row>
    <row r="23" spans="1:14" x14ac:dyDescent="0.2">
      <c r="A23" s="176"/>
      <c r="B23" s="175" t="s">
        <v>179</v>
      </c>
      <c r="C23" s="175" t="s">
        <v>19</v>
      </c>
      <c r="D23" s="175" t="str">
        <v>SB</v>
      </c>
      <c r="E23" s="175" t="str">
        <v>6L</v>
      </c>
      <c r="F23" s="144" t="str">
        <f t="shared" si="0"/>
        <v>Semiannual</v>
      </c>
      <c r="G23" s="144" t="s">
        <v>178</v>
      </c>
      <c r="H23" s="144" t="str">
        <f t="shared" si="1"/>
        <v>Actual/365 (Fixed)</v>
      </c>
      <c r="I23" s="174">
        <v>0</v>
      </c>
      <c r="J23" s="173" t="str">
        <f t="shared" si="2"/>
        <v>GBPSB6L15Y_Quote</v>
      </c>
      <c r="K23" s="172" t="str">
        <f t="shared" si="3"/>
        <v>GBP_YCSTDRH_SB6L15Y</v>
      </c>
      <c r="L23" s="171" t="str">
        <f>_xll.qlSwapRateHelper2(K23,$J23,$C23,Calendar,$F23,$G23,$H23,$L$4,$I23,B23,DiscountingCurve,Permanent,,ObjectOverwrite)</f>
        <v>GBP_YCSTDRH_SB6L15Y#0000</v>
      </c>
      <c r="M23" s="170" t="str">
        <f>_xll.ohRangeRetrieveError(L23)</f>
        <v/>
      </c>
      <c r="N23" s="169"/>
    </row>
    <row r="24" spans="1:14" x14ac:dyDescent="0.2">
      <c r="A24" s="176"/>
      <c r="B24" s="175" t="s">
        <v>179</v>
      </c>
      <c r="C24" s="175" t="s">
        <v>18</v>
      </c>
      <c r="D24" s="175" t="str">
        <v>SB</v>
      </c>
      <c r="E24" s="175" t="str">
        <v>6L</v>
      </c>
      <c r="F24" s="144" t="str">
        <f t="shared" si="0"/>
        <v>Semiannual</v>
      </c>
      <c r="G24" s="144" t="s">
        <v>178</v>
      </c>
      <c r="H24" s="144" t="str">
        <f t="shared" si="1"/>
        <v>Actual/365 (Fixed)</v>
      </c>
      <c r="I24" s="174">
        <v>0</v>
      </c>
      <c r="J24" s="173" t="str">
        <f t="shared" si="2"/>
        <v>GBPSB6L16Y_Quote</v>
      </c>
      <c r="K24" s="172" t="str">
        <f t="shared" si="3"/>
        <v>GBP_YCSTDRH_SB6L16Y</v>
      </c>
      <c r="L24" s="171" t="str">
        <f>_xll.qlSwapRateHelper2(K24,$J24,$C24,Calendar,$F24,$G24,$H24,$L$4,$I24,B24,DiscountingCurve,Permanent,,ObjectOverwrite)</f>
        <v>GBP_YCSTDRH_SB6L16Y#0000</v>
      </c>
      <c r="M24" s="170" t="str">
        <f>_xll.ohRangeRetrieveError(L24)</f>
        <v/>
      </c>
      <c r="N24" s="169"/>
    </row>
    <row r="25" spans="1:14" x14ac:dyDescent="0.2">
      <c r="A25" s="176"/>
      <c r="B25" s="175" t="s">
        <v>179</v>
      </c>
      <c r="C25" s="175" t="s">
        <v>17</v>
      </c>
      <c r="D25" s="175" t="str">
        <v>SB</v>
      </c>
      <c r="E25" s="175" t="str">
        <v>6L</v>
      </c>
      <c r="F25" s="144" t="str">
        <f t="shared" si="0"/>
        <v>Semiannual</v>
      </c>
      <c r="G25" s="144" t="s">
        <v>178</v>
      </c>
      <c r="H25" s="144" t="str">
        <f t="shared" si="1"/>
        <v>Actual/365 (Fixed)</v>
      </c>
      <c r="I25" s="174">
        <v>0</v>
      </c>
      <c r="J25" s="173" t="str">
        <f t="shared" si="2"/>
        <v>GBPSB6L17Y_Quote</v>
      </c>
      <c r="K25" s="172" t="str">
        <f t="shared" si="3"/>
        <v>GBP_YCSTDRH_SB6L17Y</v>
      </c>
      <c r="L25" s="171" t="str">
        <f>_xll.qlSwapRateHelper2(K25,$J25,$C25,Calendar,$F25,$G25,$H25,$L$4,$I25,B25,DiscountingCurve,Permanent,,ObjectOverwrite)</f>
        <v>GBP_YCSTDRH_SB6L17Y#0000</v>
      </c>
      <c r="M25" s="170" t="str">
        <f>_xll.ohRangeRetrieveError(L25)</f>
        <v/>
      </c>
      <c r="N25" s="169"/>
    </row>
    <row r="26" spans="1:14" x14ac:dyDescent="0.2">
      <c r="A26" s="176"/>
      <c r="B26" s="175" t="s">
        <v>179</v>
      </c>
      <c r="C26" s="175" t="s">
        <v>16</v>
      </c>
      <c r="D26" s="175" t="str">
        <v>SB</v>
      </c>
      <c r="E26" s="175" t="str">
        <v>6L</v>
      </c>
      <c r="F26" s="144" t="str">
        <f t="shared" si="0"/>
        <v>Semiannual</v>
      </c>
      <c r="G26" s="144" t="s">
        <v>178</v>
      </c>
      <c r="H26" s="144" t="str">
        <f t="shared" si="1"/>
        <v>Actual/365 (Fixed)</v>
      </c>
      <c r="I26" s="174">
        <v>0</v>
      </c>
      <c r="J26" s="173" t="str">
        <f t="shared" si="2"/>
        <v>GBPSB6L18Y_Quote</v>
      </c>
      <c r="K26" s="172" t="str">
        <f t="shared" si="3"/>
        <v>GBP_YCSTDRH_SB6L18Y</v>
      </c>
      <c r="L26" s="171" t="str">
        <f>_xll.qlSwapRateHelper2(K26,$J26,$C26,Calendar,$F26,$G26,$H26,$L$4,$I26,B26,DiscountingCurve,Permanent,,ObjectOverwrite)</f>
        <v>GBP_YCSTDRH_SB6L18Y#0000</v>
      </c>
      <c r="M26" s="170" t="str">
        <f>_xll.ohRangeRetrieveError(L26)</f>
        <v/>
      </c>
      <c r="N26" s="169"/>
    </row>
    <row r="27" spans="1:14" x14ac:dyDescent="0.2">
      <c r="A27" s="176"/>
      <c r="B27" s="175" t="s">
        <v>179</v>
      </c>
      <c r="C27" s="175" t="s">
        <v>15</v>
      </c>
      <c r="D27" s="175" t="str">
        <v>SB</v>
      </c>
      <c r="E27" s="175" t="str">
        <v>6L</v>
      </c>
      <c r="F27" s="144" t="str">
        <f t="shared" si="0"/>
        <v>Semiannual</v>
      </c>
      <c r="G27" s="144" t="s">
        <v>178</v>
      </c>
      <c r="H27" s="144" t="str">
        <f t="shared" si="1"/>
        <v>Actual/365 (Fixed)</v>
      </c>
      <c r="I27" s="174">
        <v>0</v>
      </c>
      <c r="J27" s="173" t="str">
        <f t="shared" si="2"/>
        <v>GBPSB6L19Y_Quote</v>
      </c>
      <c r="K27" s="172" t="str">
        <f t="shared" si="3"/>
        <v>GBP_YCSTDRH_SB6L19Y</v>
      </c>
      <c r="L27" s="171" t="str">
        <f>_xll.qlSwapRateHelper2(K27,$J27,$C27,Calendar,$F27,$G27,$H27,$L$4,$I27,B27,DiscountingCurve,Permanent,,ObjectOverwrite)</f>
        <v>GBP_YCSTDRH_SB6L19Y#0000</v>
      </c>
      <c r="M27" s="170" t="str">
        <f>_xll.ohRangeRetrieveError(L27)</f>
        <v/>
      </c>
      <c r="N27" s="169"/>
    </row>
    <row r="28" spans="1:14" x14ac:dyDescent="0.2">
      <c r="A28" s="176"/>
      <c r="B28" s="175" t="s">
        <v>179</v>
      </c>
      <c r="C28" s="175" t="s">
        <v>14</v>
      </c>
      <c r="D28" s="175" t="str">
        <v>SB</v>
      </c>
      <c r="E28" s="175" t="str">
        <v>6L</v>
      </c>
      <c r="F28" s="144" t="str">
        <f t="shared" si="0"/>
        <v>Semiannual</v>
      </c>
      <c r="G28" s="144" t="s">
        <v>178</v>
      </c>
      <c r="H28" s="144" t="str">
        <f t="shared" si="1"/>
        <v>Actual/365 (Fixed)</v>
      </c>
      <c r="I28" s="174">
        <v>0</v>
      </c>
      <c r="J28" s="173" t="str">
        <f t="shared" si="2"/>
        <v>GBPSB6L20Y_Quote</v>
      </c>
      <c r="K28" s="172" t="str">
        <f t="shared" si="3"/>
        <v>GBP_YCSTDRH_SB6L20Y</v>
      </c>
      <c r="L28" s="171" t="str">
        <f>_xll.qlSwapRateHelper2(K28,$J28,$C28,Calendar,$F28,$G28,$H28,$L$4,$I28,B28,DiscountingCurve,Permanent,,ObjectOverwrite)</f>
        <v>GBP_YCSTDRH_SB6L20Y#0000</v>
      </c>
      <c r="M28" s="170" t="str">
        <f>_xll.ohRangeRetrieveError(L28)</f>
        <v/>
      </c>
      <c r="N28" s="169"/>
    </row>
    <row r="29" spans="1:14" x14ac:dyDescent="0.2">
      <c r="A29" s="176"/>
      <c r="B29" s="175" t="s">
        <v>179</v>
      </c>
      <c r="C29" s="175" t="s">
        <v>13</v>
      </c>
      <c r="D29" s="175" t="str">
        <v>SB</v>
      </c>
      <c r="E29" s="175" t="str">
        <v>6L</v>
      </c>
      <c r="F29" s="144" t="str">
        <f t="shared" si="0"/>
        <v>Semiannual</v>
      </c>
      <c r="G29" s="144" t="s">
        <v>178</v>
      </c>
      <c r="H29" s="144" t="str">
        <f t="shared" si="1"/>
        <v>Actual/365 (Fixed)</v>
      </c>
      <c r="I29" s="174">
        <v>0</v>
      </c>
      <c r="J29" s="173" t="str">
        <f t="shared" si="2"/>
        <v>GBPSB6L21Y_Quote</v>
      </c>
      <c r="K29" s="172" t="str">
        <f t="shared" si="3"/>
        <v>GBP_YCSTDRH_SB6L21Y</v>
      </c>
      <c r="L29" s="171" t="str">
        <f>_xll.qlSwapRateHelper2(K29,$J29,$C29,Calendar,$F29,$G29,$H29,$L$4,$I29,B29,DiscountingCurve,Permanent,,ObjectOverwrite)</f>
        <v>GBP_YCSTDRH_SB6L21Y#0000</v>
      </c>
      <c r="M29" s="170" t="str">
        <f>_xll.ohRangeRetrieveError(L29)</f>
        <v/>
      </c>
      <c r="N29" s="169"/>
    </row>
    <row r="30" spans="1:14" x14ac:dyDescent="0.2">
      <c r="A30" s="176"/>
      <c r="B30" s="175" t="s">
        <v>179</v>
      </c>
      <c r="C30" s="175" t="s">
        <v>12</v>
      </c>
      <c r="D30" s="175" t="str">
        <v>SB</v>
      </c>
      <c r="E30" s="175" t="str">
        <v>6L</v>
      </c>
      <c r="F30" s="144" t="str">
        <f t="shared" si="0"/>
        <v>Semiannual</v>
      </c>
      <c r="G30" s="144" t="s">
        <v>178</v>
      </c>
      <c r="H30" s="144" t="str">
        <f t="shared" si="1"/>
        <v>Actual/365 (Fixed)</v>
      </c>
      <c r="I30" s="174">
        <v>0</v>
      </c>
      <c r="J30" s="173" t="str">
        <f t="shared" si="2"/>
        <v>GBPSB6L22Y_Quote</v>
      </c>
      <c r="K30" s="172" t="str">
        <f t="shared" si="3"/>
        <v>GBP_YCSTDRH_SB6L22Y</v>
      </c>
      <c r="L30" s="171" t="str">
        <f>_xll.qlSwapRateHelper2(K30,$J30,$C30,Calendar,$F30,$G30,$H30,$L$4,$I30,B30,DiscountingCurve,Permanent,,ObjectOverwrite)</f>
        <v>GBP_YCSTDRH_SB6L22Y#0000</v>
      </c>
      <c r="M30" s="170" t="str">
        <f>_xll.ohRangeRetrieveError(L30)</f>
        <v/>
      </c>
      <c r="N30" s="169"/>
    </row>
    <row r="31" spans="1:14" x14ac:dyDescent="0.2">
      <c r="A31" s="176"/>
      <c r="B31" s="175" t="s">
        <v>179</v>
      </c>
      <c r="C31" s="175" t="s">
        <v>11</v>
      </c>
      <c r="D31" s="175" t="str">
        <v>SB</v>
      </c>
      <c r="E31" s="175" t="str">
        <v>6L</v>
      </c>
      <c r="F31" s="144" t="str">
        <f t="shared" si="0"/>
        <v>Semiannual</v>
      </c>
      <c r="G31" s="144" t="s">
        <v>178</v>
      </c>
      <c r="H31" s="144" t="str">
        <f t="shared" si="1"/>
        <v>Actual/365 (Fixed)</v>
      </c>
      <c r="I31" s="174">
        <v>0</v>
      </c>
      <c r="J31" s="173" t="str">
        <f t="shared" si="2"/>
        <v>GBPSB6L23Y_Quote</v>
      </c>
      <c r="K31" s="172" t="str">
        <f t="shared" si="3"/>
        <v>GBP_YCSTDRH_SB6L23Y</v>
      </c>
      <c r="L31" s="171" t="str">
        <f>_xll.qlSwapRateHelper2(K31,$J31,$C31,Calendar,$F31,$G31,$H31,$L$4,$I31,B31,DiscountingCurve,Permanent,,ObjectOverwrite)</f>
        <v>GBP_YCSTDRH_SB6L23Y#0000</v>
      </c>
      <c r="M31" s="170" t="str">
        <f>_xll.ohRangeRetrieveError(L31)</f>
        <v/>
      </c>
      <c r="N31" s="169"/>
    </row>
    <row r="32" spans="1:14" x14ac:dyDescent="0.2">
      <c r="A32" s="176"/>
      <c r="B32" s="175" t="s">
        <v>179</v>
      </c>
      <c r="C32" s="175" t="s">
        <v>10</v>
      </c>
      <c r="D32" s="175" t="str">
        <v>SB</v>
      </c>
      <c r="E32" s="175" t="str">
        <v>6L</v>
      </c>
      <c r="F32" s="144" t="str">
        <f t="shared" si="0"/>
        <v>Semiannual</v>
      </c>
      <c r="G32" s="144" t="s">
        <v>178</v>
      </c>
      <c r="H32" s="144" t="str">
        <f t="shared" si="1"/>
        <v>Actual/365 (Fixed)</v>
      </c>
      <c r="I32" s="174">
        <v>0</v>
      </c>
      <c r="J32" s="173" t="str">
        <f t="shared" si="2"/>
        <v>GBPSB6L24Y_Quote</v>
      </c>
      <c r="K32" s="172" t="str">
        <f t="shared" si="3"/>
        <v>GBP_YCSTDRH_SB6L24Y</v>
      </c>
      <c r="L32" s="171" t="str">
        <f>_xll.qlSwapRateHelper2(K32,$J32,$C32,Calendar,$F32,$G32,$H32,$L$4,$I32,B32,DiscountingCurve,Permanent,,ObjectOverwrite)</f>
        <v>GBP_YCSTDRH_SB6L24Y#0000</v>
      </c>
      <c r="M32" s="170" t="str">
        <f>_xll.ohRangeRetrieveError(L32)</f>
        <v/>
      </c>
      <c r="N32" s="169"/>
    </row>
    <row r="33" spans="1:14" x14ac:dyDescent="0.2">
      <c r="A33" s="176"/>
      <c r="B33" s="175" t="s">
        <v>179</v>
      </c>
      <c r="C33" s="175" t="s">
        <v>9</v>
      </c>
      <c r="D33" s="175" t="str">
        <v>SB</v>
      </c>
      <c r="E33" s="175" t="str">
        <v>6L</v>
      </c>
      <c r="F33" s="144" t="str">
        <f t="shared" si="0"/>
        <v>Semiannual</v>
      </c>
      <c r="G33" s="144" t="s">
        <v>178</v>
      </c>
      <c r="H33" s="144" t="str">
        <f t="shared" si="1"/>
        <v>Actual/365 (Fixed)</v>
      </c>
      <c r="I33" s="174">
        <v>0</v>
      </c>
      <c r="J33" s="173" t="str">
        <f t="shared" si="2"/>
        <v>GBPSB6L25Y_Quote</v>
      </c>
      <c r="K33" s="172" t="str">
        <f t="shared" si="3"/>
        <v>GBP_YCSTDRH_SB6L25Y</v>
      </c>
      <c r="L33" s="171" t="str">
        <f>_xll.qlSwapRateHelper2(K33,$J33,$C33,Calendar,$F33,$G33,$H33,$L$4,$I33,B33,DiscountingCurve,Permanent,,ObjectOverwrite)</f>
        <v>GBP_YCSTDRH_SB6L25Y#0000</v>
      </c>
      <c r="M33" s="170" t="str">
        <f>_xll.ohRangeRetrieveError(L33)</f>
        <v/>
      </c>
      <c r="N33" s="169"/>
    </row>
    <row r="34" spans="1:14" x14ac:dyDescent="0.2">
      <c r="A34" s="176"/>
      <c r="B34" s="175" t="s">
        <v>179</v>
      </c>
      <c r="C34" s="175" t="s">
        <v>8</v>
      </c>
      <c r="D34" s="175" t="str">
        <v>SB</v>
      </c>
      <c r="E34" s="175" t="str">
        <v>6L</v>
      </c>
      <c r="F34" s="144" t="str">
        <f t="shared" si="0"/>
        <v>Semiannual</v>
      </c>
      <c r="G34" s="144" t="s">
        <v>178</v>
      </c>
      <c r="H34" s="144" t="str">
        <f t="shared" si="1"/>
        <v>Actual/365 (Fixed)</v>
      </c>
      <c r="I34" s="174">
        <v>0</v>
      </c>
      <c r="J34" s="173" t="str">
        <f t="shared" si="2"/>
        <v>GBPSB6L26Y_Quote</v>
      </c>
      <c r="K34" s="172" t="str">
        <f t="shared" si="3"/>
        <v>GBP_YCSTDRH_SB6L26Y</v>
      </c>
      <c r="L34" s="171" t="str">
        <f>_xll.qlSwapRateHelper2(K34,$J34,$C34,Calendar,$F34,$G34,$H34,$L$4,$I34,B34,DiscountingCurve,Permanent,,ObjectOverwrite)</f>
        <v>GBP_YCSTDRH_SB6L26Y#0000</v>
      </c>
      <c r="M34" s="170" t="str">
        <f>_xll.ohRangeRetrieveError(L34)</f>
        <v/>
      </c>
      <c r="N34" s="169"/>
    </row>
    <row r="35" spans="1:14" x14ac:dyDescent="0.2">
      <c r="A35" s="176"/>
      <c r="B35" s="175" t="s">
        <v>179</v>
      </c>
      <c r="C35" s="175" t="s">
        <v>7</v>
      </c>
      <c r="D35" s="175" t="str">
        <v>SB</v>
      </c>
      <c r="E35" s="175" t="str">
        <v>6L</v>
      </c>
      <c r="F35" s="144" t="str">
        <f t="shared" si="0"/>
        <v>Semiannual</v>
      </c>
      <c r="G35" s="144" t="s">
        <v>178</v>
      </c>
      <c r="H35" s="144" t="str">
        <f t="shared" si="1"/>
        <v>Actual/365 (Fixed)</v>
      </c>
      <c r="I35" s="174">
        <v>0</v>
      </c>
      <c r="J35" s="173" t="str">
        <f t="shared" si="2"/>
        <v>GBPSB6L27Y_Quote</v>
      </c>
      <c r="K35" s="172" t="str">
        <f t="shared" si="3"/>
        <v>GBP_YCSTDRH_SB6L27Y</v>
      </c>
      <c r="L35" s="171" t="str">
        <f>_xll.qlSwapRateHelper2(K35,$J35,$C35,Calendar,$F35,$G35,$H35,$L$4,$I35,B35,DiscountingCurve,Permanent,,ObjectOverwrite)</f>
        <v>GBP_YCSTDRH_SB6L27Y#0000</v>
      </c>
      <c r="M35" s="170" t="str">
        <f>_xll.ohRangeRetrieveError(L35)</f>
        <v/>
      </c>
      <c r="N35" s="169"/>
    </row>
    <row r="36" spans="1:14" x14ac:dyDescent="0.2">
      <c r="A36" s="176"/>
      <c r="B36" s="175" t="s">
        <v>179</v>
      </c>
      <c r="C36" s="175" t="s">
        <v>6</v>
      </c>
      <c r="D36" s="175" t="str">
        <v>SB</v>
      </c>
      <c r="E36" s="175" t="str">
        <v>6L</v>
      </c>
      <c r="F36" s="144" t="str">
        <f t="shared" si="0"/>
        <v>Semiannual</v>
      </c>
      <c r="G36" s="144" t="s">
        <v>178</v>
      </c>
      <c r="H36" s="144" t="str">
        <f t="shared" si="1"/>
        <v>Actual/365 (Fixed)</v>
      </c>
      <c r="I36" s="174">
        <v>0</v>
      </c>
      <c r="J36" s="173" t="str">
        <f t="shared" si="2"/>
        <v>GBPSB6L28Y_Quote</v>
      </c>
      <c r="K36" s="172" t="str">
        <f t="shared" si="3"/>
        <v>GBP_YCSTDRH_SB6L28Y</v>
      </c>
      <c r="L36" s="171" t="str">
        <f>_xll.qlSwapRateHelper2(K36,$J36,$C36,Calendar,$F36,$G36,$H36,$L$4,$I36,B36,DiscountingCurve,Permanent,,ObjectOverwrite)</f>
        <v>GBP_YCSTDRH_SB6L28Y#0000</v>
      </c>
      <c r="M36" s="170" t="str">
        <f>_xll.ohRangeRetrieveError(L36)</f>
        <v/>
      </c>
      <c r="N36" s="169"/>
    </row>
    <row r="37" spans="1:14" x14ac:dyDescent="0.2">
      <c r="A37" s="176"/>
      <c r="B37" s="175" t="s">
        <v>179</v>
      </c>
      <c r="C37" s="175" t="s">
        <v>5</v>
      </c>
      <c r="D37" s="175" t="str">
        <v>SB</v>
      </c>
      <c r="E37" s="175" t="str">
        <v>6L</v>
      </c>
      <c r="F37" s="144" t="str">
        <f t="shared" si="0"/>
        <v>Semiannual</v>
      </c>
      <c r="G37" s="144" t="s">
        <v>178</v>
      </c>
      <c r="H37" s="144" t="str">
        <f t="shared" si="1"/>
        <v>Actual/365 (Fixed)</v>
      </c>
      <c r="I37" s="174">
        <v>0</v>
      </c>
      <c r="J37" s="173" t="str">
        <f t="shared" si="2"/>
        <v>GBPSB6L29Y_Quote</v>
      </c>
      <c r="K37" s="172" t="str">
        <f t="shared" si="3"/>
        <v>GBP_YCSTDRH_SB6L29Y</v>
      </c>
      <c r="L37" s="171" t="str">
        <f>_xll.qlSwapRateHelper2(K37,$J37,$C37,Calendar,$F37,$G37,$H37,$L$4,$I37,B37,DiscountingCurve,Permanent,,ObjectOverwrite)</f>
        <v>GBP_YCSTDRH_SB6L29Y#0000</v>
      </c>
      <c r="M37" s="170" t="str">
        <f>_xll.ohRangeRetrieveError(L37)</f>
        <v/>
      </c>
      <c r="N37" s="169"/>
    </row>
    <row r="38" spans="1:14" x14ac:dyDescent="0.2">
      <c r="A38" s="176"/>
      <c r="B38" s="175" t="s">
        <v>179</v>
      </c>
      <c r="C38" s="175" t="s">
        <v>4</v>
      </c>
      <c r="D38" s="175" t="str">
        <v>SB</v>
      </c>
      <c r="E38" s="175" t="str">
        <v>6L</v>
      </c>
      <c r="F38" s="144" t="str">
        <f t="shared" si="0"/>
        <v>Semiannual</v>
      </c>
      <c r="G38" s="144" t="s">
        <v>178</v>
      </c>
      <c r="H38" s="144" t="str">
        <f t="shared" si="1"/>
        <v>Actual/365 (Fixed)</v>
      </c>
      <c r="I38" s="174">
        <v>0</v>
      </c>
      <c r="J38" s="173" t="str">
        <f t="shared" si="2"/>
        <v>GBPSB6L30Y_Quote</v>
      </c>
      <c r="K38" s="172" t="str">
        <f t="shared" si="3"/>
        <v>GBP_YCSTDRH_SB6L30Y</v>
      </c>
      <c r="L38" s="171" t="str">
        <f>_xll.qlSwapRateHelper2(K38,$J38,$C38,Calendar,$F38,$G38,$H38,$L$4,$I38,B38,DiscountingCurve,Permanent,,ObjectOverwrite)</f>
        <v>GBP_YCSTDRH_SB6L30Y#0000</v>
      </c>
      <c r="M38" s="170" t="str">
        <f>_xll.ohRangeRetrieveError(L38)</f>
        <v/>
      </c>
      <c r="N38" s="169"/>
    </row>
    <row r="39" spans="1:14" x14ac:dyDescent="0.2">
      <c r="A39" s="176"/>
      <c r="B39" s="175" t="s">
        <v>179</v>
      </c>
      <c r="C39" s="175" t="s">
        <v>3</v>
      </c>
      <c r="D39" s="175" t="str">
        <v>SB</v>
      </c>
      <c r="E39" s="175" t="str">
        <v>6L</v>
      </c>
      <c r="F39" s="144" t="str">
        <f t="shared" si="0"/>
        <v>Semiannual</v>
      </c>
      <c r="G39" s="144" t="s">
        <v>178</v>
      </c>
      <c r="H39" s="144" t="str">
        <f t="shared" si="1"/>
        <v>Actual/365 (Fixed)</v>
      </c>
      <c r="I39" s="174">
        <v>0</v>
      </c>
      <c r="J39" s="173" t="str">
        <f t="shared" si="2"/>
        <v>GBPSB6L35Y_Quote</v>
      </c>
      <c r="K39" s="172" t="str">
        <f t="shared" si="3"/>
        <v>GBP_YCSTDRH_SB6L35Y</v>
      </c>
      <c r="L39" s="171" t="str">
        <f>_xll.qlSwapRateHelper2(K39,$J39,$C39,Calendar,$F39,$G39,$H39,$L$4,$I39,B39,DiscountingCurve,Permanent,,ObjectOverwrite)</f>
        <v>GBP_YCSTDRH_SB6L35Y#0000</v>
      </c>
      <c r="M39" s="170" t="str">
        <f>_xll.ohRangeRetrieveError(L39)</f>
        <v/>
      </c>
      <c r="N39" s="169"/>
    </row>
    <row r="40" spans="1:14" x14ac:dyDescent="0.2">
      <c r="A40" s="176"/>
      <c r="B40" s="175" t="s">
        <v>179</v>
      </c>
      <c r="C40" s="175" t="s">
        <v>2</v>
      </c>
      <c r="D40" s="175" t="str">
        <v>SB</v>
      </c>
      <c r="E40" s="175" t="str">
        <v>6L</v>
      </c>
      <c r="F40" s="144" t="str">
        <f t="shared" si="0"/>
        <v>Semiannual</v>
      </c>
      <c r="G40" s="144" t="s">
        <v>178</v>
      </c>
      <c r="H40" s="144" t="str">
        <f t="shared" si="1"/>
        <v>Actual/365 (Fixed)</v>
      </c>
      <c r="I40" s="174">
        <v>0</v>
      </c>
      <c r="J40" s="173" t="str">
        <f t="shared" si="2"/>
        <v>GBPSB6L40Y_Quote</v>
      </c>
      <c r="K40" s="172" t="str">
        <f t="shared" si="3"/>
        <v>GBP_YCSTDRH_SB6L40Y</v>
      </c>
      <c r="L40" s="171" t="str">
        <f>_xll.qlSwapRateHelper2(K40,$J40,$C40,Calendar,$F40,$G40,$H40,$L$4,$I40,B40,DiscountingCurve,Permanent,,ObjectOverwrite)</f>
        <v>GBP_YCSTDRH_SB6L40Y#0000</v>
      </c>
      <c r="M40" s="170" t="str">
        <f>_xll.ohRangeRetrieveError(L40)</f>
        <v/>
      </c>
      <c r="N40" s="169"/>
    </row>
    <row r="41" spans="1:14" x14ac:dyDescent="0.2">
      <c r="A41" s="176"/>
      <c r="B41" s="175" t="s">
        <v>179</v>
      </c>
      <c r="C41" s="175" t="s">
        <v>1</v>
      </c>
      <c r="D41" s="175" t="str">
        <v>SB</v>
      </c>
      <c r="E41" s="175" t="str">
        <v>6L</v>
      </c>
      <c r="F41" s="144" t="str">
        <f t="shared" si="0"/>
        <v>Semiannual</v>
      </c>
      <c r="G41" s="144" t="s">
        <v>178</v>
      </c>
      <c r="H41" s="144" t="str">
        <f t="shared" si="1"/>
        <v>Actual/365 (Fixed)</v>
      </c>
      <c r="I41" s="174">
        <v>0</v>
      </c>
      <c r="J41" s="173" t="str">
        <f t="shared" si="2"/>
        <v>GBPSB6L50Y_Quote</v>
      </c>
      <c r="K41" s="172" t="str">
        <f t="shared" si="3"/>
        <v>GBP_YCSTDRH_SB6L50Y</v>
      </c>
      <c r="L41" s="171" t="str">
        <f>_xll.qlSwapRateHelper2(K41,$J41,$C41,Calendar,$F41,$G41,$H41,$L$4,$I41,B41,DiscountingCurve,Permanent,,ObjectOverwrite)</f>
        <v>GBP_YCSTDRH_SB6L50Y#0000</v>
      </c>
      <c r="M41" s="170" t="str">
        <f>_xll.ohRangeRetrieveError(L41)</f>
        <v/>
      </c>
      <c r="N41" s="169"/>
    </row>
    <row r="42" spans="1:14" x14ac:dyDescent="0.2">
      <c r="A42" s="176"/>
      <c r="B42" s="175" t="s">
        <v>179</v>
      </c>
      <c r="C42" s="175" t="s">
        <v>0</v>
      </c>
      <c r="D42" s="175" t="str">
        <v>SB</v>
      </c>
      <c r="E42" s="175" t="str">
        <v>6L</v>
      </c>
      <c r="F42" s="144" t="str">
        <f t="shared" si="0"/>
        <v>Semiannual</v>
      </c>
      <c r="G42" s="144" t="s">
        <v>178</v>
      </c>
      <c r="H42" s="144" t="str">
        <f t="shared" si="1"/>
        <v>Actual/365 (Fixed)</v>
      </c>
      <c r="I42" s="174">
        <v>0</v>
      </c>
      <c r="J42" s="173" t="str">
        <f t="shared" si="2"/>
        <v>GBPSB6L60Y_Quote</v>
      </c>
      <c r="K42" s="172" t="str">
        <f t="shared" si="3"/>
        <v>GBP_YCSTDRH_SB6L60Y</v>
      </c>
      <c r="L42" s="171" t="str">
        <f>_xll.qlSwapRateHelper2(K42,$J42,$C42,Calendar,$F42,$G42,$H42,$L$4,$I42,B42,DiscountingCurve,Permanent,,ObjectOverwrite)</f>
        <v>GBP_YCSTDRH_SB6L60Y#0000</v>
      </c>
      <c r="M42" s="170" t="str">
        <f>_xll.ohRangeRetrieveError(L42)</f>
        <v/>
      </c>
      <c r="N42" s="169"/>
    </row>
    <row r="43" spans="1:14" ht="13.5" thickBot="1" x14ac:dyDescent="0.25">
      <c r="A43" s="168"/>
      <c r="B43" s="167"/>
      <c r="C43" s="167"/>
      <c r="D43" s="167"/>
      <c r="E43" s="167"/>
      <c r="F43" s="167"/>
      <c r="G43" s="167"/>
      <c r="H43" s="167"/>
      <c r="I43" s="167"/>
      <c r="J43" s="167"/>
      <c r="K43" s="167"/>
      <c r="L43" s="166"/>
      <c r="M43" s="166"/>
      <c r="N43" s="165"/>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STD_Deposits</vt:lpstr>
      <vt:lpstr>STD_Futures</vt:lpstr>
      <vt:lpstr>STD_Swaps</vt:lpstr>
      <vt:lpstr>Accuracy</vt:lpstr>
      <vt:lpstr>BondBasisDayCounter</vt:lpstr>
      <vt:lpstr>Calendar</vt:lpstr>
      <vt:lpstr>STD_Swaps!Conventions</vt:lpstr>
      <vt:lpstr>Currency</vt:lpstr>
      <vt:lpstr>DepoInclusionCriteria</vt:lpstr>
      <vt:lpstr>Discounting</vt:lpstr>
      <vt:lpstr>Discounting2</vt:lpstr>
      <vt:lpstr>STD_Swaps!DiscountingCurve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2014-01-14T09:24:09Z</dcterms:created>
  <dcterms:modified xsi:type="dcterms:W3CDTF">2014-01-27T23:37:53Z</dcterms:modified>
</cp:coreProperties>
</file>