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010" tabRatio="695" firstSheet="4" activeTab="5"/>
  </bookViews>
  <sheets>
    <sheet name="General Settings" sheetId="29" r:id="rId1"/>
    <sheet name="basis 3M" sheetId="42" r:id="rId2"/>
    <sheet name="3MSynthDepo" sheetId="43" r:id="rId3"/>
    <sheet name="6MSynthDepo" sheetId="39" r:id="rId4"/>
    <sheet name="1MSynthDepo" sheetId="45" r:id="rId5"/>
    <sheet name="Contribution" sheetId="33" r:id="rId6"/>
    <sheet name="1M BBSWSwapForBasisCalc" sheetId="46" r:id="rId7"/>
    <sheet name="1M Swaps" sheetId="49" r:id="rId8"/>
    <sheet name="6M BBSWSwapForBasisCalc" sheetId="44" r:id="rId9"/>
    <sheet name="6M Swaps" sheetId="50" r:id="rId10"/>
  </sheets>
  <externalReferences>
    <externalReference r:id="rId11"/>
  </externalReferences>
  <definedNames>
    <definedName name="Accuracy" localSheetId="9">'6M Swaps'!$D$30</definedName>
    <definedName name="Accuracy">'1M Swaps'!$D$30</definedName>
    <definedName name="AllTriggers">'General Settings'!$J$18:$J$22</definedName>
    <definedName name="BasisInterpolation" localSheetId="9">'6M Swaps'!$D$37</definedName>
    <definedName name="BasisInterpolation">'1M Swaps'!$D$37</definedName>
    <definedName name="Calendar">'General Settings'!$D$5</definedName>
    <definedName name="Conventions" localSheetId="7">'1M Swaps'!$R$3:$R$4</definedName>
    <definedName name="Conventions" localSheetId="9">'6M Swaps'!$R$3:$R$4</definedName>
    <definedName name="Currency">'General Settings'!$D$4</definedName>
    <definedName name="DayCounter" localSheetId="9">'6M Swaps'!$D$39</definedName>
    <definedName name="DayCounter">'1M Swaps'!$D$39</definedName>
    <definedName name="DayCounter3M" localSheetId="2">'3MSynthDepo'!$E$10</definedName>
    <definedName name="DayCounter6M" localSheetId="4">'1MSynthDepo'!$E$10</definedName>
    <definedName name="DayCounter6M" localSheetId="3">'6MSynthDepo'!$E$10</definedName>
    <definedName name="DayCounterOIS" localSheetId="4">'1MSynthDepo'!$E$11</definedName>
    <definedName name="DayCounterOIS" localSheetId="2">'3MSynthDepo'!$E$11</definedName>
    <definedName name="DayCounterOIS" localSheetId="3">'6MSynthDepo'!$E$11</definedName>
    <definedName name="DayCounterON" localSheetId="4">'1MSynthDepo'!$E$12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Tenor" localSheetId="9">'6M Swaps'!$D$28</definedName>
    <definedName name="IborTenor">'1M Swaps'!$D$28</definedName>
    <definedName name="IborType">'General Settings'!$D$6</definedName>
    <definedName name="InterestRatesTrigger">'General Settings'!$J$20</definedName>
    <definedName name="InterpolatorID" localSheetId="9">'6M Swaps'!$D$32</definedName>
    <definedName name="InterpolatorID">'1M Swaps'!$D$32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M" localSheetId="5">Contribution!$A$3</definedName>
    <definedName name="Months3M" localSheetId="5">Contribution!$A$10</definedName>
    <definedName name="Months6M" localSheetId="5">Contribution!$A$17</definedName>
    <definedName name="NDays" localSheetId="9">'6M Swaps'!$D$29</definedName>
    <definedName name="NDays">'1M Swaps'!$D$29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Contribution!$N$3:$N$26</definedName>
    <definedName name="QuoteLive" localSheetId="5">Contribution!$J$3:$J$26</definedName>
    <definedName name="QuoteStatic" localSheetId="5">Contribution!$L$3:$L$26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M" localSheetId="5">Contribution!$A$4</definedName>
    <definedName name="Tenor3M" localSheetId="5">Contribution!$A$11</definedName>
    <definedName name="Tenor6M" localSheetId="5">Contribution!$A$18</definedName>
    <definedName name="TraitsID" localSheetId="9">'6M Swaps'!$D$31</definedName>
    <definedName name="TraitsID">'1M Swaps'!$D$31</definedName>
    <definedName name="Trigger">'General Settings'!$J$18</definedName>
    <definedName name="TriggerCounter">'General Settings'!$J$22</definedName>
    <definedName name="YieldCurve" localSheetId="9">'6M Swaps'!$D$40</definedName>
    <definedName name="YieldCurve">'1M Swaps'!$D$40</definedName>
  </definedNames>
  <calcPr calcId="145621"/>
</workbook>
</file>

<file path=xl/calcChain.xml><?xml version="1.0" encoding="utf-8"?>
<calcChain xmlns="http://schemas.openxmlformats.org/spreadsheetml/2006/main">
  <c r="O26" i="33" l="1"/>
  <c r="O25" i="33"/>
  <c r="O24" i="33"/>
  <c r="O23" i="33"/>
  <c r="O22" i="33"/>
  <c r="O21" i="33"/>
  <c r="O20" i="33"/>
  <c r="O19" i="33"/>
  <c r="O18" i="33"/>
  <c r="O17" i="33"/>
  <c r="O16" i="33"/>
  <c r="O15" i="33"/>
  <c r="O14" i="33"/>
  <c r="O13" i="33"/>
  <c r="O12" i="33"/>
  <c r="O11" i="33"/>
  <c r="O10" i="33"/>
  <c r="O9" i="33"/>
  <c r="O8" i="33"/>
  <c r="O7" i="33"/>
  <c r="O6" i="33"/>
  <c r="O5" i="33"/>
  <c r="O4" i="33"/>
  <c r="O3" i="33"/>
  <c r="N3" i="33" l="1" a="1"/>
  <c r="I10" i="33" l="1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4" i="33"/>
  <c r="I5" i="33"/>
  <c r="I6" i="33"/>
  <c r="I7" i="33"/>
  <c r="I8" i="33"/>
  <c r="I9" i="33"/>
  <c r="I3" i="33"/>
  <c r="C7" i="33"/>
  <c r="C8" i="33"/>
  <c r="D10" i="33"/>
  <c r="D4" i="33"/>
  <c r="D21" i="33"/>
  <c r="D15" i="33"/>
  <c r="D9" i="33"/>
  <c r="D3" i="33"/>
  <c r="D26" i="33"/>
  <c r="D20" i="33"/>
  <c r="D14" i="33"/>
  <c r="D8" i="33"/>
  <c r="D25" i="33"/>
  <c r="D19" i="33"/>
  <c r="D13" i="33"/>
  <c r="D7" i="33"/>
  <c r="D24" i="33"/>
  <c r="D18" i="33"/>
  <c r="D12" i="33"/>
  <c r="D6" i="33"/>
  <c r="D23" i="33"/>
  <c r="D17" i="33"/>
  <c r="D11" i="33"/>
  <c r="D5" i="33"/>
  <c r="D22" i="33"/>
  <c r="D16" i="33"/>
  <c r="D7" i="39" l="1"/>
  <c r="D5" i="39"/>
  <c r="C7" i="39"/>
  <c r="C6" i="39"/>
  <c r="A7" i="39"/>
  <c r="A6" i="39"/>
  <c r="O31" i="50"/>
  <c r="O30" i="50"/>
  <c r="S26" i="50"/>
  <c r="P26" i="50"/>
  <c r="S25" i="50"/>
  <c r="P25" i="50"/>
  <c r="S24" i="50"/>
  <c r="P24" i="50"/>
  <c r="O32" i="49"/>
  <c r="O31" i="49"/>
  <c r="O30" i="49"/>
  <c r="J36" i="29"/>
  <c r="K4" i="44"/>
  <c r="K1" i="50"/>
  <c r="J4" i="50" l="1"/>
  <c r="P25" i="49"/>
  <c r="P26" i="49"/>
  <c r="P24" i="49"/>
  <c r="S26" i="49"/>
  <c r="S25" i="49"/>
  <c r="S24" i="49"/>
  <c r="D36" i="29"/>
  <c r="K4" i="50"/>
  <c r="L1" i="50"/>
  <c r="J8" i="49" l="1"/>
  <c r="I8" i="49"/>
  <c r="J7" i="49"/>
  <c r="I7" i="49"/>
  <c r="J6" i="49"/>
  <c r="I6" i="49"/>
  <c r="I5" i="49"/>
  <c r="I4" i="49"/>
  <c r="I3" i="49"/>
  <c r="K1" i="49"/>
  <c r="P16" i="45" l="1"/>
  <c r="D5" i="45"/>
  <c r="C6" i="45"/>
  <c r="C7" i="45" s="1"/>
  <c r="A6" i="45"/>
  <c r="A7" i="45" s="1"/>
  <c r="D7" i="45" s="1"/>
  <c r="L1" i="49"/>
  <c r="D6" i="45" l="1"/>
  <c r="I4" i="46" l="1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J5" i="46"/>
  <c r="J4" i="46"/>
  <c r="J3" i="46"/>
  <c r="K2" i="46"/>
  <c r="J2" i="46"/>
  <c r="L2" i="46"/>
  <c r="K30" i="46"/>
  <c r="K20" i="46"/>
  <c r="K8" i="46"/>
  <c r="K24" i="46"/>
  <c r="K34" i="46"/>
  <c r="K15" i="46"/>
  <c r="K33" i="46"/>
  <c r="K11" i="46"/>
  <c r="K7" i="46"/>
  <c r="K17" i="46"/>
  <c r="K26" i="46"/>
  <c r="K18" i="46"/>
  <c r="K10" i="46"/>
  <c r="K5" i="46"/>
  <c r="K12" i="46"/>
  <c r="K16" i="46"/>
  <c r="K28" i="46"/>
  <c r="K13" i="46"/>
  <c r="K21" i="46"/>
  <c r="K22" i="46"/>
  <c r="K31" i="46"/>
  <c r="K6" i="46"/>
  <c r="K4" i="46"/>
  <c r="K25" i="46"/>
  <c r="K23" i="46"/>
  <c r="K35" i="46"/>
  <c r="K19" i="46"/>
  <c r="K27" i="46"/>
  <c r="K29" i="46"/>
  <c r="K14" i="46"/>
  <c r="K32" i="46"/>
  <c r="K9" i="46"/>
  <c r="K3" i="46"/>
  <c r="J3" i="49" l="1"/>
  <c r="J4" i="49"/>
  <c r="J5" i="49"/>
  <c r="I4" i="44"/>
  <c r="I5" i="44"/>
  <c r="I6" i="44"/>
  <c r="I3" i="44"/>
  <c r="L14" i="46"/>
  <c r="L23" i="46"/>
  <c r="L10" i="46"/>
  <c r="L35" i="46"/>
  <c r="L18" i="46"/>
  <c r="L28" i="46"/>
  <c r="L30" i="46"/>
  <c r="L33" i="46"/>
  <c r="L27" i="46"/>
  <c r="L12" i="46"/>
  <c r="L11" i="46"/>
  <c r="L9" i="46"/>
  <c r="L4" i="46"/>
  <c r="L5" i="46"/>
  <c r="L29" i="46"/>
  <c r="L8" i="46"/>
  <c r="L21" i="46"/>
  <c r="L24" i="46"/>
  <c r="L22" i="46"/>
  <c r="L20" i="46"/>
  <c r="L7" i="46"/>
  <c r="L13" i="46"/>
  <c r="L6" i="46"/>
  <c r="L15" i="46"/>
  <c r="L19" i="46"/>
  <c r="L26" i="46"/>
  <c r="L31" i="46"/>
  <c r="L17" i="46"/>
  <c r="L3" i="46"/>
  <c r="L34" i="46"/>
  <c r="L32" i="46"/>
  <c r="L25" i="46"/>
  <c r="L16" i="46"/>
  <c r="E9" i="45" l="1"/>
  <c r="D3" i="45" s="1"/>
  <c r="P15" i="45"/>
  <c r="P13" i="45"/>
  <c r="P5" i="45"/>
  <c r="P14" i="45" s="1"/>
  <c r="P3" i="45"/>
  <c r="P12" i="45" s="1"/>
  <c r="P3" i="39"/>
  <c r="P5" i="39"/>
  <c r="D6" i="39"/>
  <c r="E9" i="39"/>
  <c r="H3" i="44"/>
  <c r="J3" i="44" s="1"/>
  <c r="H6" i="44"/>
  <c r="J6" i="44" s="1"/>
  <c r="E6" i="44"/>
  <c r="H5" i="44"/>
  <c r="J5" i="44" s="1"/>
  <c r="E5" i="44"/>
  <c r="H4" i="44"/>
  <c r="J2" i="44" s="1"/>
  <c r="K2" i="44"/>
  <c r="E9" i="43"/>
  <c r="D8" i="29"/>
  <c r="K7" i="49"/>
  <c r="K6" i="44"/>
  <c r="K4" i="49"/>
  <c r="K3" i="44"/>
  <c r="R4" i="50"/>
  <c r="L4" i="50"/>
  <c r="K5" i="49"/>
  <c r="S4" i="50"/>
  <c r="N4" i="50"/>
  <c r="R5" i="49"/>
  <c r="L5" i="49"/>
  <c r="K6" i="49"/>
  <c r="L2" i="44"/>
  <c r="K5" i="44"/>
  <c r="K3" i="49"/>
  <c r="R3" i="49" s="1"/>
  <c r="K8" i="49"/>
  <c r="R8" i="49"/>
  <c r="L6" i="49"/>
  <c r="R6" i="49"/>
  <c r="J5" i="50" l="1"/>
  <c r="J3" i="50"/>
  <c r="J6" i="50"/>
  <c r="J4" i="44"/>
  <c r="K5" i="50"/>
  <c r="R7" i="49"/>
  <c r="L4" i="44"/>
  <c r="L5" i="44"/>
  <c r="N3" i="49"/>
  <c r="K3" i="50"/>
  <c r="S5" i="49"/>
  <c r="R4" i="49"/>
  <c r="R3" i="50"/>
  <c r="K6" i="50"/>
  <c r="S6" i="50" s="1"/>
  <c r="S6" i="49"/>
  <c r="S3" i="50"/>
  <c r="S8" i="49"/>
  <c r="S3" i="49"/>
  <c r="L6" i="44"/>
  <c r="L4" i="49"/>
  <c r="L7" i="49"/>
  <c r="N5" i="50"/>
  <c r="L3" i="49"/>
  <c r="L8" i="49"/>
  <c r="L3" i="44"/>
  <c r="R5" i="50"/>
  <c r="L6" i="50"/>
  <c r="L3" i="50"/>
  <c r="N6" i="49"/>
  <c r="L5" i="50"/>
  <c r="N8" i="49"/>
  <c r="R6" i="50"/>
  <c r="S4" i="49"/>
  <c r="S7" i="49"/>
  <c r="N6" i="50"/>
  <c r="N4" i="49"/>
  <c r="N7" i="49"/>
  <c r="S5" i="50"/>
  <c r="N3" i="50"/>
  <c r="N5" i="49"/>
  <c r="P7" i="43" l="1"/>
  <c r="P14" i="43" s="1"/>
  <c r="P4" i="43"/>
  <c r="P11" i="43" s="1"/>
  <c r="P3" i="43"/>
  <c r="P10" i="43" s="1"/>
  <c r="P13" i="43"/>
  <c r="P12" i="43"/>
  <c r="X4" i="43"/>
  <c r="V4" i="43"/>
  <c r="D3" i="43"/>
  <c r="P11" i="39" l="1"/>
  <c r="P10" i="39"/>
  <c r="P12" i="39"/>
  <c r="P13" i="39"/>
  <c r="D3" i="39"/>
  <c r="J19" i="29"/>
  <c r="E5" i="45"/>
  <c r="D18" i="29"/>
  <c r="T24" i="49"/>
  <c r="P30" i="50"/>
  <c r="E18" i="45"/>
  <c r="E24" i="45"/>
  <c r="E20" i="45"/>
  <c r="E26" i="39"/>
  <c r="E24" i="39"/>
  <c r="E21" i="43"/>
  <c r="E27" i="39"/>
  <c r="E22" i="45"/>
  <c r="E18" i="43"/>
  <c r="E19" i="43"/>
  <c r="P30" i="49"/>
  <c r="E20" i="43"/>
  <c r="E24" i="43"/>
  <c r="E23" i="45"/>
  <c r="E20" i="39"/>
  <c r="T24" i="50"/>
  <c r="E19" i="39"/>
  <c r="E22" i="43"/>
  <c r="E23" i="39"/>
  <c r="E22" i="39"/>
  <c r="E18" i="39"/>
  <c r="E21" i="45"/>
  <c r="E23" i="43"/>
  <c r="E5" i="39"/>
  <c r="E21" i="39"/>
  <c r="E25" i="39"/>
  <c r="E19" i="45"/>
  <c r="Q24" i="50" l="1"/>
  <c r="Q25" i="50"/>
  <c r="Q26" i="50"/>
  <c r="Q24" i="49"/>
  <c r="Q25" i="49"/>
  <c r="Q26" i="49"/>
  <c r="E4" i="45"/>
  <c r="C2" i="33"/>
  <c r="A11" i="33"/>
  <c r="J12" i="45"/>
  <c r="E7" i="39"/>
  <c r="F21" i="39"/>
  <c r="F20" i="43"/>
  <c r="F24" i="43"/>
  <c r="F26" i="39"/>
  <c r="F22" i="43"/>
  <c r="F20" i="39"/>
  <c r="F19" i="45"/>
  <c r="F22" i="45"/>
  <c r="F24" i="39"/>
  <c r="F18" i="45"/>
  <c r="F22" i="39"/>
  <c r="F24" i="45"/>
  <c r="J11" i="45"/>
  <c r="F21" i="43"/>
  <c r="F18" i="39"/>
  <c r="F21" i="45"/>
  <c r="F20" i="45"/>
  <c r="E8" i="33"/>
  <c r="E6" i="39"/>
  <c r="E7" i="33"/>
  <c r="F19" i="43"/>
  <c r="F4" i="45"/>
  <c r="F27" i="39"/>
  <c r="F23" i="39"/>
  <c r="F19" i="39"/>
  <c r="F23" i="45"/>
  <c r="F25" i="39"/>
  <c r="F23" i="43"/>
  <c r="F18" i="43"/>
  <c r="C11" i="33" l="1"/>
  <c r="C14" i="33"/>
  <c r="C15" i="33"/>
  <c r="C10" i="33"/>
  <c r="C16" i="33"/>
  <c r="C13" i="33"/>
  <c r="C12" i="33"/>
  <c r="A4" i="33"/>
  <c r="A18" i="33"/>
  <c r="G18" i="43"/>
  <c r="F7" i="39"/>
  <c r="C5" i="33" l="1"/>
  <c r="C3" i="33"/>
  <c r="C6" i="33"/>
  <c r="C4" i="33"/>
  <c r="C9" i="33"/>
  <c r="C22" i="33"/>
  <c r="C24" i="33"/>
  <c r="C23" i="33"/>
  <c r="C25" i="33"/>
  <c r="C20" i="33"/>
  <c r="C26" i="33"/>
  <c r="C18" i="33"/>
  <c r="C17" i="33"/>
  <c r="C21" i="33"/>
  <c r="C19" i="33"/>
  <c r="D2" i="42"/>
  <c r="D19" i="29"/>
  <c r="B1" i="29"/>
  <c r="AF3" i="45" l="1"/>
  <c r="AF3" i="43"/>
  <c r="E4" i="43"/>
  <c r="E4" i="39"/>
  <c r="M2" i="42"/>
  <c r="E2" i="42"/>
  <c r="AF3" i="39"/>
  <c r="G21" i="43"/>
  <c r="L23" i="45"/>
  <c r="J19" i="45"/>
  <c r="F4" i="43"/>
  <c r="AG3" i="45"/>
  <c r="G22" i="43"/>
  <c r="E19" i="33"/>
  <c r="E21" i="33"/>
  <c r="L22" i="45"/>
  <c r="AF4" i="45"/>
  <c r="G23" i="43"/>
  <c r="L19" i="43"/>
  <c r="L21" i="45"/>
  <c r="K23" i="45"/>
  <c r="E17" i="33"/>
  <c r="L18" i="45"/>
  <c r="K19" i="45"/>
  <c r="G19" i="43"/>
  <c r="G19" i="45"/>
  <c r="J11" i="39"/>
  <c r="E23" i="33"/>
  <c r="E24" i="33"/>
  <c r="K21" i="45"/>
  <c r="J18" i="43"/>
  <c r="E6" i="33"/>
  <c r="J21" i="45"/>
  <c r="AF4" i="39"/>
  <c r="G23" i="45"/>
  <c r="J24" i="45"/>
  <c r="E16" i="33"/>
  <c r="J18" i="45"/>
  <c r="G24" i="45"/>
  <c r="L20" i="45"/>
  <c r="E12" i="33"/>
  <c r="K18" i="45"/>
  <c r="AF4" i="43"/>
  <c r="K18" i="43"/>
  <c r="E25" i="33"/>
  <c r="K24" i="43"/>
  <c r="G18" i="45"/>
  <c r="G4" i="45"/>
  <c r="G21" i="45"/>
  <c r="E15" i="33"/>
  <c r="E10" i="33"/>
  <c r="J21" i="43"/>
  <c r="K22" i="43"/>
  <c r="L18" i="43"/>
  <c r="J22" i="45"/>
  <c r="F5" i="45"/>
  <c r="J11" i="43"/>
  <c r="F6" i="39"/>
  <c r="F2" i="42"/>
  <c r="E14" i="33"/>
  <c r="C5" i="43"/>
  <c r="F5" i="39"/>
  <c r="L20" i="43"/>
  <c r="L23" i="43"/>
  <c r="J23" i="43"/>
  <c r="E5" i="33"/>
  <c r="E20" i="33"/>
  <c r="L19" i="45"/>
  <c r="G20" i="45"/>
  <c r="K19" i="43"/>
  <c r="N2" i="42"/>
  <c r="J22" i="43"/>
  <c r="E9" i="33"/>
  <c r="L24" i="43"/>
  <c r="C3" i="42"/>
  <c r="G22" i="45"/>
  <c r="E11" i="33"/>
  <c r="K21" i="43"/>
  <c r="AG3" i="43"/>
  <c r="J19" i="43"/>
  <c r="J24" i="43"/>
  <c r="K20" i="45"/>
  <c r="E13" i="33"/>
  <c r="G24" i="43"/>
  <c r="K24" i="45"/>
  <c r="F4" i="39"/>
  <c r="G20" i="43"/>
  <c r="L21" i="43"/>
  <c r="J20" i="43"/>
  <c r="J23" i="45"/>
  <c r="K22" i="45"/>
  <c r="E26" i="33"/>
  <c r="L22" i="43"/>
  <c r="L24" i="45"/>
  <c r="K23" i="43"/>
  <c r="K20" i="43"/>
  <c r="E18" i="33"/>
  <c r="K11" i="45"/>
  <c r="J20" i="45"/>
  <c r="E22" i="33"/>
  <c r="E6" i="45" l="1"/>
  <c r="M11" i="45"/>
  <c r="N11" i="45"/>
  <c r="L11" i="45"/>
  <c r="D5" i="43"/>
  <c r="AG4" i="43"/>
  <c r="H21" i="43"/>
  <c r="G5" i="39"/>
  <c r="AF5" i="45"/>
  <c r="J13" i="45"/>
  <c r="AF5" i="39"/>
  <c r="H22" i="43"/>
  <c r="H23" i="43"/>
  <c r="G6" i="39"/>
  <c r="F6" i="45"/>
  <c r="H19" i="45"/>
  <c r="H24" i="43"/>
  <c r="AG4" i="45"/>
  <c r="H4" i="45"/>
  <c r="H22" i="45"/>
  <c r="H24" i="45"/>
  <c r="K11" i="39"/>
  <c r="G6" i="45"/>
  <c r="H23" i="45"/>
  <c r="K11" i="43"/>
  <c r="G4" i="43"/>
  <c r="G4" i="39"/>
  <c r="G7" i="39"/>
  <c r="H20" i="43"/>
  <c r="H2" i="42"/>
  <c r="K12" i="45"/>
  <c r="H19" i="43"/>
  <c r="G5" i="45"/>
  <c r="AF5" i="43"/>
  <c r="AG5" i="43" s="1"/>
  <c r="E5" i="43"/>
  <c r="H18" i="45"/>
  <c r="H21" i="45"/>
  <c r="H18" i="43"/>
  <c r="H20" i="45"/>
  <c r="AF6" i="43"/>
  <c r="C6" i="43"/>
  <c r="J12" i="43"/>
  <c r="E7" i="45" l="1"/>
  <c r="D6" i="43"/>
  <c r="M12" i="45"/>
  <c r="N12" i="45"/>
  <c r="L12" i="45"/>
  <c r="L11" i="43"/>
  <c r="M11" i="43"/>
  <c r="N11" i="43"/>
  <c r="D2" i="33"/>
  <c r="H5" i="39"/>
  <c r="I2" i="42"/>
  <c r="AG6" i="43"/>
  <c r="H6" i="39"/>
  <c r="AF6" i="45"/>
  <c r="K13" i="45"/>
  <c r="E6" i="43"/>
  <c r="AG5" i="45"/>
  <c r="H7" i="39"/>
  <c r="H4" i="43"/>
  <c r="H6" i="45"/>
  <c r="H4" i="39"/>
  <c r="J14" i="45"/>
  <c r="H5" i="45"/>
  <c r="AF7" i="43"/>
  <c r="F7" i="45"/>
  <c r="F5" i="43"/>
  <c r="AF7" i="45"/>
  <c r="L13" i="45" l="1"/>
  <c r="N13" i="45"/>
  <c r="M13" i="45"/>
  <c r="L11" i="39"/>
  <c r="N11" i="39"/>
  <c r="M11" i="39"/>
  <c r="AG6" i="45"/>
  <c r="E3" i="33"/>
  <c r="K14" i="45"/>
  <c r="G7" i="45"/>
  <c r="J22" i="39"/>
  <c r="J13" i="39"/>
  <c r="M3" i="42"/>
  <c r="E4" i="33"/>
  <c r="AG7" i="45"/>
  <c r="L18" i="39"/>
  <c r="J18" i="39"/>
  <c r="AF8" i="45"/>
  <c r="J24" i="39"/>
  <c r="AG5" i="39"/>
  <c r="G21" i="39"/>
  <c r="AF8" i="43"/>
  <c r="G19" i="39"/>
  <c r="J14" i="39"/>
  <c r="J19" i="39"/>
  <c r="K20" i="39"/>
  <c r="E2" i="33"/>
  <c r="J20" i="39"/>
  <c r="J26" i="39"/>
  <c r="AG4" i="39"/>
  <c r="J13" i="43"/>
  <c r="K13" i="39"/>
  <c r="AF6" i="39"/>
  <c r="D21" i="29"/>
  <c r="L21" i="39"/>
  <c r="K26" i="39"/>
  <c r="G24" i="39"/>
  <c r="L27" i="39"/>
  <c r="L26" i="39"/>
  <c r="G27" i="39"/>
  <c r="K25" i="39"/>
  <c r="K14" i="39"/>
  <c r="J23" i="39"/>
  <c r="AG3" i="39"/>
  <c r="L23" i="39"/>
  <c r="K24" i="39"/>
  <c r="J12" i="39"/>
  <c r="K22" i="39"/>
  <c r="L20" i="39"/>
  <c r="C7" i="43"/>
  <c r="K12" i="43"/>
  <c r="K18" i="39"/>
  <c r="K27" i="39"/>
  <c r="G26" i="39"/>
  <c r="L25" i="39"/>
  <c r="F6" i="43"/>
  <c r="J21" i="39"/>
  <c r="L24" i="39"/>
  <c r="J27" i="39"/>
  <c r="G22" i="39"/>
  <c r="L22" i="39"/>
  <c r="J25" i="39"/>
  <c r="G18" i="39"/>
  <c r="G23" i="39"/>
  <c r="K23" i="39"/>
  <c r="K19" i="39"/>
  <c r="K21" i="39"/>
  <c r="G20" i="39"/>
  <c r="L19" i="39"/>
  <c r="K12" i="39"/>
  <c r="G25" i="39"/>
  <c r="E7" i="43"/>
  <c r="D20" i="29"/>
  <c r="AG7" i="43"/>
  <c r="G5" i="43"/>
  <c r="O2" i="42"/>
  <c r="AG8" i="45"/>
  <c r="J14" i="43"/>
  <c r="D7" i="43" l="1"/>
  <c r="M14" i="45"/>
  <c r="N14" i="45"/>
  <c r="L14" i="45"/>
  <c r="L12" i="43"/>
  <c r="N12" i="43"/>
  <c r="M12" i="43"/>
  <c r="M13" i="39"/>
  <c r="L13" i="39"/>
  <c r="N13" i="39"/>
  <c r="M14" i="39"/>
  <c r="L14" i="39"/>
  <c r="N14" i="39"/>
  <c r="M12" i="39"/>
  <c r="L12" i="39"/>
  <c r="N12" i="39"/>
  <c r="F7" i="43"/>
  <c r="K14" i="43"/>
  <c r="H21" i="39"/>
  <c r="P2" i="42"/>
  <c r="AF9" i="45"/>
  <c r="H5" i="43"/>
  <c r="AF7" i="39"/>
  <c r="G7" i="43"/>
  <c r="H7" i="45"/>
  <c r="H26" i="39"/>
  <c r="H27" i="39"/>
  <c r="H25" i="39"/>
  <c r="G6" i="43"/>
  <c r="H22" i="39"/>
  <c r="H18" i="39"/>
  <c r="H19" i="39"/>
  <c r="H24" i="39"/>
  <c r="E3" i="42"/>
  <c r="H23" i="39"/>
  <c r="M4" i="42"/>
  <c r="K13" i="43"/>
  <c r="AG6" i="39"/>
  <c r="AG8" i="43"/>
  <c r="AF9" i="43"/>
  <c r="H20" i="39"/>
  <c r="N3" i="42"/>
  <c r="AF10" i="45"/>
  <c r="AF11" i="45"/>
  <c r="AG10" i="45"/>
  <c r="AF12" i="45"/>
  <c r="AG11" i="45"/>
  <c r="AG12" i="45"/>
  <c r="N13" i="43" l="1"/>
  <c r="M13" i="43"/>
  <c r="L13" i="43"/>
  <c r="L14" i="43"/>
  <c r="M14" i="43"/>
  <c r="N14" i="43"/>
  <c r="D3" i="42"/>
  <c r="AF13" i="45"/>
  <c r="N4" i="42"/>
  <c r="AF10" i="43"/>
  <c r="AF8" i="39"/>
  <c r="AG9" i="45"/>
  <c r="H7" i="43"/>
  <c r="C4" i="42"/>
  <c r="AG9" i="43"/>
  <c r="AG8" i="39"/>
  <c r="AG7" i="39"/>
  <c r="O3" i="42"/>
  <c r="H6" i="43"/>
  <c r="F3" i="42"/>
  <c r="M5" i="42"/>
  <c r="AG13" i="45"/>
  <c r="AF11" i="43"/>
  <c r="AG10" i="43"/>
  <c r="AG11" i="43"/>
  <c r="AF12" i="43"/>
  <c r="AF13" i="43"/>
  <c r="AG12" i="43"/>
  <c r="AG13" i="43"/>
  <c r="AF14" i="43"/>
  <c r="AF15" i="43"/>
  <c r="AG14" i="43"/>
  <c r="AG15" i="43"/>
  <c r="AF16" i="43"/>
  <c r="AG16" i="43"/>
  <c r="AF17" i="43"/>
  <c r="AG17" i="43"/>
  <c r="AF18" i="43"/>
  <c r="AG18" i="43"/>
  <c r="AF19" i="43"/>
  <c r="AF20" i="43"/>
  <c r="AG19" i="43"/>
  <c r="AG20" i="43"/>
  <c r="AF21" i="43"/>
  <c r="AF22" i="43"/>
  <c r="AG21" i="43"/>
  <c r="AF23" i="43"/>
  <c r="AG22" i="43"/>
  <c r="AG23" i="43"/>
  <c r="AF24" i="43"/>
  <c r="AF25" i="43"/>
  <c r="AG24" i="43"/>
  <c r="AF26" i="43"/>
  <c r="AG25" i="43"/>
  <c r="AF27" i="43"/>
  <c r="AG26" i="43"/>
  <c r="AF28" i="43"/>
  <c r="AG27" i="43"/>
  <c r="AG28" i="43"/>
  <c r="AF29" i="43"/>
  <c r="AF30" i="43"/>
  <c r="AG29" i="43"/>
  <c r="AG30" i="43"/>
  <c r="AF31" i="43"/>
  <c r="AF32" i="43"/>
  <c r="AG31" i="43"/>
  <c r="AG32" i="43"/>
  <c r="AF33" i="43"/>
  <c r="AF34" i="43"/>
  <c r="AG33" i="43"/>
  <c r="AF35" i="43"/>
  <c r="AG34" i="43"/>
  <c r="AG35" i="43"/>
  <c r="AF36" i="43"/>
  <c r="AG36" i="43"/>
  <c r="AF37" i="43"/>
  <c r="AG37" i="43"/>
  <c r="AF38" i="43"/>
  <c r="AG38" i="43"/>
  <c r="AF39" i="43"/>
  <c r="AG39" i="43"/>
  <c r="AF40" i="43"/>
  <c r="AF41" i="43"/>
  <c r="AG40" i="43"/>
  <c r="AF42" i="43"/>
  <c r="AG41" i="43"/>
  <c r="AF43" i="43"/>
  <c r="AG42" i="43"/>
  <c r="AG43" i="43"/>
  <c r="AF44" i="43"/>
  <c r="AF45" i="43"/>
  <c r="AG44" i="43"/>
  <c r="AF46" i="43"/>
  <c r="AG45" i="43"/>
  <c r="AF47" i="43"/>
  <c r="AG46" i="43"/>
  <c r="AG47" i="43"/>
  <c r="AF48" i="43"/>
  <c r="AF49" i="43"/>
  <c r="AG48" i="43"/>
  <c r="AG49" i="43"/>
  <c r="AF50" i="43"/>
  <c r="AF51" i="43"/>
  <c r="AG50" i="43"/>
  <c r="AF52" i="43"/>
  <c r="AG51" i="43"/>
  <c r="AG52" i="43"/>
  <c r="AF53" i="43"/>
  <c r="AF54" i="43"/>
  <c r="AG53" i="43"/>
  <c r="AF55" i="43"/>
  <c r="AG54" i="43"/>
  <c r="AF56" i="43"/>
  <c r="AG55" i="43"/>
  <c r="AF57" i="43"/>
  <c r="AG56" i="43"/>
  <c r="AG57" i="43"/>
  <c r="AF58" i="43"/>
  <c r="AF59" i="43"/>
  <c r="AG58" i="43"/>
  <c r="AG59" i="43"/>
  <c r="AF60" i="43"/>
  <c r="AG60" i="43"/>
  <c r="AF61" i="43"/>
  <c r="AF62" i="43"/>
  <c r="AG61" i="43"/>
  <c r="AG62" i="43"/>
  <c r="AF63" i="43"/>
  <c r="AF64" i="43"/>
  <c r="AG63" i="43"/>
  <c r="AG64" i="43"/>
  <c r="AF65" i="43"/>
  <c r="AG65" i="43"/>
  <c r="AF66" i="43"/>
  <c r="AF67" i="43"/>
  <c r="AG67" i="43" s="1"/>
  <c r="AG66" i="43"/>
  <c r="D4" i="42" l="1"/>
  <c r="AF14" i="45"/>
  <c r="AF9" i="39"/>
  <c r="H3" i="42"/>
  <c r="E4" i="42"/>
  <c r="L14" i="49" a="1"/>
  <c r="N5" i="42"/>
  <c r="O5" i="42"/>
  <c r="M6" i="42"/>
  <c r="C5" i="42"/>
  <c r="P3" i="42"/>
  <c r="AF10" i="39"/>
  <c r="O4" i="42"/>
  <c r="AG10" i="39"/>
  <c r="N6" i="42"/>
  <c r="AF15" i="45"/>
  <c r="AG14" i="45"/>
  <c r="AG15" i="45"/>
  <c r="D5" i="42" l="1"/>
  <c r="L19" i="49"/>
  <c r="L21" i="49"/>
  <c r="L20" i="49"/>
  <c r="L14" i="49"/>
  <c r="L22" i="49"/>
  <c r="L15" i="49"/>
  <c r="L16" i="49"/>
  <c r="L18" i="49"/>
  <c r="L17" i="49"/>
  <c r="AF16" i="45"/>
  <c r="R15" i="49"/>
  <c r="P4" i="42"/>
  <c r="R16" i="49"/>
  <c r="R18" i="49"/>
  <c r="AF11" i="39"/>
  <c r="M7" i="42"/>
  <c r="N7" i="42"/>
  <c r="Q20" i="49"/>
  <c r="R20" i="49"/>
  <c r="AG9" i="39"/>
  <c r="R12" i="49"/>
  <c r="E5" i="42"/>
  <c r="Q16" i="49"/>
  <c r="Q15" i="49"/>
  <c r="I3" i="42"/>
  <c r="R13" i="49"/>
  <c r="Q12" i="49"/>
  <c r="R19" i="49"/>
  <c r="M8" i="42"/>
  <c r="N8" i="42" s="1"/>
  <c r="Q18" i="49"/>
  <c r="R14" i="49"/>
  <c r="Q17" i="49"/>
  <c r="P5" i="42"/>
  <c r="AG11" i="39"/>
  <c r="N12" i="49" a="1"/>
  <c r="F4" i="42"/>
  <c r="Q19" i="49"/>
  <c r="Q13" i="49"/>
  <c r="R17" i="49"/>
  <c r="AF12" i="39"/>
  <c r="F5" i="42"/>
  <c r="O6" i="42"/>
  <c r="C6" i="42"/>
  <c r="Q14" i="49"/>
  <c r="P16" i="49"/>
  <c r="O19" i="49"/>
  <c r="O20" i="49"/>
  <c r="P19" i="49"/>
  <c r="O17" i="49"/>
  <c r="O16" i="49"/>
  <c r="O15" i="49"/>
  <c r="P20" i="49"/>
  <c r="P17" i="49"/>
  <c r="P18" i="49"/>
  <c r="P15" i="49"/>
  <c r="O18" i="49"/>
  <c r="AF17" i="45"/>
  <c r="AG16" i="45"/>
  <c r="AG12" i="39"/>
  <c r="AF13" i="39"/>
  <c r="AF14" i="39" s="1"/>
  <c r="AG17" i="45"/>
  <c r="AF18" i="45"/>
  <c r="AG14" i="39"/>
  <c r="AF15" i="39"/>
  <c r="AF19" i="45"/>
  <c r="AG18" i="45"/>
  <c r="AF16" i="39"/>
  <c r="AG15" i="39"/>
  <c r="AF20" i="45"/>
  <c r="AG19" i="45"/>
  <c r="AG16" i="39"/>
  <c r="AF17" i="39"/>
  <c r="AF21" i="45"/>
  <c r="AG20" i="45"/>
  <c r="AG17" i="39"/>
  <c r="AF18" i="39"/>
  <c r="AF22" i="45"/>
  <c r="AG21" i="45"/>
  <c r="AF19" i="39"/>
  <c r="AG18" i="39"/>
  <c r="AF23" i="45"/>
  <c r="AG22" i="45"/>
  <c r="AG19" i="39"/>
  <c r="AF20" i="39"/>
  <c r="AG23" i="45"/>
  <c r="AF24" i="45"/>
  <c r="AF21" i="39"/>
  <c r="AG20" i="39"/>
  <c r="AG24" i="45"/>
  <c r="AF25" i="45"/>
  <c r="AG21" i="39"/>
  <c r="AF22" i="39"/>
  <c r="AF26" i="45"/>
  <c r="AG25" i="45"/>
  <c r="AG22" i="39"/>
  <c r="AF23" i="39"/>
  <c r="AF27" i="45"/>
  <c r="AG26" i="45"/>
  <c r="AF24" i="39"/>
  <c r="AG23" i="39"/>
  <c r="AG27" i="45"/>
  <c r="AF28" i="45"/>
  <c r="AF25" i="39"/>
  <c r="AG24" i="39"/>
  <c r="AG28" i="45"/>
  <c r="AF29" i="45"/>
  <c r="AF26" i="39"/>
  <c r="AG25" i="39"/>
  <c r="AG29" i="45"/>
  <c r="AF30" i="45"/>
  <c r="AG26" i="39"/>
  <c r="AF27" i="39"/>
  <c r="AF31" i="45"/>
  <c r="AG30" i="45"/>
  <c r="AF28" i="39"/>
  <c r="AG27" i="39"/>
  <c r="AG31" i="45"/>
  <c r="AF32" i="45"/>
  <c r="AF29" i="39"/>
  <c r="AG28" i="39"/>
  <c r="AF33" i="45"/>
  <c r="AG32" i="45"/>
  <c r="AF30" i="39"/>
  <c r="AG29" i="39"/>
  <c r="AG33" i="45"/>
  <c r="AF34" i="45"/>
  <c r="AG30" i="39"/>
  <c r="AF31" i="39"/>
  <c r="AF35" i="45"/>
  <c r="AG34" i="45"/>
  <c r="AF32" i="39"/>
  <c r="AG31" i="39"/>
  <c r="AG35" i="45"/>
  <c r="AF36" i="45"/>
  <c r="AF33" i="39"/>
  <c r="AG32" i="39"/>
  <c r="AF37" i="45"/>
  <c r="AG36" i="45"/>
  <c r="AF34" i="39"/>
  <c r="AG33" i="39"/>
  <c r="AF38" i="45"/>
  <c r="AG37" i="45"/>
  <c r="AG34" i="39"/>
  <c r="AF35" i="39"/>
  <c r="AF39" i="45"/>
  <c r="AG38" i="45"/>
  <c r="AF36" i="39"/>
  <c r="AG35" i="39"/>
  <c r="AF40" i="45"/>
  <c r="AG39" i="45"/>
  <c r="AF37" i="39"/>
  <c r="AG36" i="39"/>
  <c r="AG40" i="45"/>
  <c r="AF41" i="45"/>
  <c r="AF38" i="39"/>
  <c r="AG37" i="39"/>
  <c r="AF42" i="45"/>
  <c r="AG41" i="45"/>
  <c r="AF39" i="39"/>
  <c r="AG38" i="39"/>
  <c r="AF43" i="45"/>
  <c r="AG42" i="45"/>
  <c r="AF40" i="39"/>
  <c r="AG39" i="39"/>
  <c r="AG43" i="45"/>
  <c r="AF44" i="45"/>
  <c r="AF41" i="39"/>
  <c r="AG40" i="39"/>
  <c r="AG44" i="45"/>
  <c r="AF45" i="45"/>
  <c r="AF42" i="39"/>
  <c r="AG41" i="39"/>
  <c r="AG45" i="45"/>
  <c r="AF46" i="45"/>
  <c r="AF43" i="39"/>
  <c r="AG42" i="39"/>
  <c r="AF47" i="45"/>
  <c r="AG46" i="45"/>
  <c r="AF44" i="39"/>
  <c r="AG43" i="39"/>
  <c r="AF48" i="45"/>
  <c r="AG47" i="45"/>
  <c r="AG44" i="39"/>
  <c r="AF45" i="39"/>
  <c r="AG48" i="45"/>
  <c r="AF49" i="45"/>
  <c r="AG45" i="39"/>
  <c r="AF46" i="39"/>
  <c r="AG49" i="45"/>
  <c r="AF50" i="45"/>
  <c r="AG46" i="39"/>
  <c r="AF47" i="39"/>
  <c r="AG50" i="45"/>
  <c r="AF51" i="45"/>
  <c r="AF48" i="39"/>
  <c r="AG47" i="39"/>
  <c r="AG51" i="45"/>
  <c r="AF52" i="45"/>
  <c r="AF49" i="39"/>
  <c r="AG48" i="39"/>
  <c r="AG52" i="45"/>
  <c r="AF53" i="45"/>
  <c r="AF50" i="39"/>
  <c r="AG49" i="39"/>
  <c r="AF54" i="45"/>
  <c r="AG53" i="45"/>
  <c r="AG50" i="39"/>
  <c r="AF51" i="39"/>
  <c r="AF55" i="45"/>
  <c r="AG54" i="45"/>
  <c r="AG51" i="39"/>
  <c r="AF52" i="39"/>
  <c r="AF56" i="45"/>
  <c r="AG55" i="45"/>
  <c r="AG52" i="39"/>
  <c r="AF53" i="39"/>
  <c r="AF57" i="45"/>
  <c r="AG56" i="45"/>
  <c r="AG53" i="39"/>
  <c r="AF54" i="39"/>
  <c r="AG57" i="45"/>
  <c r="AF58" i="45"/>
  <c r="AG54" i="39"/>
  <c r="AF55" i="39"/>
  <c r="AG58" i="45"/>
  <c r="AF59" i="45"/>
  <c r="AG55" i="39"/>
  <c r="AF56" i="39"/>
  <c r="AF60" i="45"/>
  <c r="AG59" i="45"/>
  <c r="AG56" i="39"/>
  <c r="AF57" i="39"/>
  <c r="AG60" i="45"/>
  <c r="AF61" i="45"/>
  <c r="AF58" i="39"/>
  <c r="AG57" i="39"/>
  <c r="AF62" i="45"/>
  <c r="AG61" i="45"/>
  <c r="AF59" i="39"/>
  <c r="AG58" i="39"/>
  <c r="AG62" i="45"/>
  <c r="AF63" i="45"/>
  <c r="AG59" i="39"/>
  <c r="AF60" i="39"/>
  <c r="AG63" i="45"/>
  <c r="AF64" i="45"/>
  <c r="AG60" i="39"/>
  <c r="AF61" i="39"/>
  <c r="AF65" i="45"/>
  <c r="AG64" i="45"/>
  <c r="AF62" i="39"/>
  <c r="AG61" i="39"/>
  <c r="AF66" i="45"/>
  <c r="AG65" i="45"/>
  <c r="AG62" i="39"/>
  <c r="AF63" i="39"/>
  <c r="AG66" i="45"/>
  <c r="AF67" i="45"/>
  <c r="AF64" i="39"/>
  <c r="AG63" i="39"/>
  <c r="AG67" i="45"/>
  <c r="AF68" i="45"/>
  <c r="AF65" i="39"/>
  <c r="AG64" i="39"/>
  <c r="AF69" i="45"/>
  <c r="AG69" i="45" s="1"/>
  <c r="AG68" i="45"/>
  <c r="AG65" i="39"/>
  <c r="AF66" i="39"/>
  <c r="AF67" i="39"/>
  <c r="AG66" i="39"/>
  <c r="AF68" i="39"/>
  <c r="AG67" i="39"/>
  <c r="AF69" i="39"/>
  <c r="AG68" i="39"/>
  <c r="AF70" i="39"/>
  <c r="AG69" i="39"/>
  <c r="AF71" i="39"/>
  <c r="AG70" i="39"/>
  <c r="AG71" i="39"/>
  <c r="AF72" i="39"/>
  <c r="AF73" i="39"/>
  <c r="AG72" i="39"/>
  <c r="AF74" i="39"/>
  <c r="AG73" i="39"/>
  <c r="AF75" i="39"/>
  <c r="AG74" i="39"/>
  <c r="AF76" i="39"/>
  <c r="AG75" i="39"/>
  <c r="AG76" i="39"/>
  <c r="AF77" i="39"/>
  <c r="AG77" i="39"/>
  <c r="AF78" i="39"/>
  <c r="AF79" i="39"/>
  <c r="AG78" i="39"/>
  <c r="AF80" i="39"/>
  <c r="AG79" i="39"/>
  <c r="AG80" i="39"/>
  <c r="AF81" i="39"/>
  <c r="AG81" i="39"/>
  <c r="AF82" i="39"/>
  <c r="AF83" i="39"/>
  <c r="AG82" i="39"/>
  <c r="AF84" i="39"/>
  <c r="AG83" i="39"/>
  <c r="AF85" i="39"/>
  <c r="AG84" i="39"/>
  <c r="AG85" i="39"/>
  <c r="AF86" i="39"/>
  <c r="AG86" i="39"/>
  <c r="AF87" i="39"/>
  <c r="AG87" i="39"/>
  <c r="AF88" i="39"/>
  <c r="AG88" i="39"/>
  <c r="AF89" i="39"/>
  <c r="AG89" i="39"/>
  <c r="AF90" i="39"/>
  <c r="AG90" i="39"/>
  <c r="AF91" i="39"/>
  <c r="AF92" i="39"/>
  <c r="AG91" i="39"/>
  <c r="AF93" i="39"/>
  <c r="AG92" i="39"/>
  <c r="AG93" i="39"/>
  <c r="AF94" i="39"/>
  <c r="AG94" i="39"/>
  <c r="AF95" i="39"/>
  <c r="AF96" i="39"/>
  <c r="AG95" i="39"/>
  <c r="AG96" i="39"/>
  <c r="AF97" i="39"/>
  <c r="AF98" i="39"/>
  <c r="AG97" i="39"/>
  <c r="AG98" i="39"/>
  <c r="AF99" i="39"/>
  <c r="AG99" i="39"/>
  <c r="AF100" i="39"/>
  <c r="AF101" i="39"/>
  <c r="AG100" i="39"/>
  <c r="AF102" i="39"/>
  <c r="AG101" i="39"/>
  <c r="AG102" i="39"/>
  <c r="AF103" i="39"/>
  <c r="AF104" i="39"/>
  <c r="AG103" i="39"/>
  <c r="AG104" i="39"/>
  <c r="AF105" i="39"/>
  <c r="AF106" i="39"/>
  <c r="AG105" i="39"/>
  <c r="AG106" i="39"/>
  <c r="AF107" i="39"/>
  <c r="AF108" i="39"/>
  <c r="AG107" i="39"/>
  <c r="AF109" i="39"/>
  <c r="AG108" i="39"/>
  <c r="AG109" i="39"/>
  <c r="AF110" i="39"/>
  <c r="AF111" i="39"/>
  <c r="AG110" i="39"/>
  <c r="AG111" i="39"/>
  <c r="AF112" i="39"/>
  <c r="AF113" i="39"/>
  <c r="AG112" i="39"/>
  <c r="AF114" i="39"/>
  <c r="AG113" i="39"/>
  <c r="AG114" i="39"/>
  <c r="AF115" i="39"/>
  <c r="AG115" i="39"/>
  <c r="AF116" i="39"/>
  <c r="AG116" i="39"/>
  <c r="AF117" i="39"/>
  <c r="AG117" i="39"/>
  <c r="AF118" i="39"/>
  <c r="AG118" i="39"/>
  <c r="AF119" i="39"/>
  <c r="AG119" i="39"/>
  <c r="AF120" i="39"/>
  <c r="AF121" i="39"/>
  <c r="AG120" i="39"/>
  <c r="AF122" i="39"/>
  <c r="AG121" i="39"/>
  <c r="AF123" i="39"/>
  <c r="AG122" i="39"/>
  <c r="AF124" i="39"/>
  <c r="AG123" i="39"/>
  <c r="AF125" i="39"/>
  <c r="AG124" i="39"/>
  <c r="AG125" i="39"/>
  <c r="AF126" i="39"/>
  <c r="AG126" i="39"/>
  <c r="AF127" i="39"/>
  <c r="AG127" i="39"/>
  <c r="AF128" i="39"/>
  <c r="AF129" i="39"/>
  <c r="AG128" i="39"/>
  <c r="AF130" i="39"/>
  <c r="AG129" i="39"/>
  <c r="AF131" i="39"/>
  <c r="AG130" i="39"/>
  <c r="AG131" i="39"/>
  <c r="AF132" i="39"/>
  <c r="D6" i="42" l="1"/>
  <c r="N19" i="49"/>
  <c r="N18" i="49"/>
  <c r="N12" i="49"/>
  <c r="N20" i="49"/>
  <c r="N13" i="49"/>
  <c r="N14" i="49"/>
  <c r="N15" i="49"/>
  <c r="N16" i="49"/>
  <c r="N17" i="49"/>
  <c r="P6" i="42"/>
  <c r="N12" i="50" a="1"/>
  <c r="C39" i="29"/>
  <c r="O8" i="42"/>
  <c r="P8" i="42" s="1"/>
  <c r="AG13" i="39"/>
  <c r="H4" i="42"/>
  <c r="AG132" i="39"/>
  <c r="O7" i="42"/>
  <c r="M9" i="42"/>
  <c r="E6" i="42"/>
  <c r="C7" i="42" s="1"/>
  <c r="E7" i="42" s="1"/>
  <c r="F6" i="42"/>
  <c r="L14" i="50" a="1"/>
  <c r="P7" i="42"/>
  <c r="H5" i="42"/>
  <c r="I5" i="42" s="1"/>
  <c r="I4" i="42"/>
  <c r="N9" i="42"/>
  <c r="M10" i="42"/>
  <c r="C8" i="42"/>
  <c r="F7" i="42"/>
  <c r="N10" i="42"/>
  <c r="M11" i="42"/>
  <c r="N11" i="42" s="1"/>
  <c r="D7" i="42" l="1"/>
  <c r="N13" i="50"/>
  <c r="N17" i="50"/>
  <c r="N18" i="50"/>
  <c r="N20" i="50"/>
  <c r="N16" i="50"/>
  <c r="N15" i="50"/>
  <c r="N12" i="50"/>
  <c r="N14" i="50"/>
  <c r="N19" i="50"/>
  <c r="L18" i="50"/>
  <c r="L14" i="50"/>
  <c r="L21" i="50"/>
  <c r="L15" i="50"/>
  <c r="L19" i="50"/>
  <c r="L17" i="50"/>
  <c r="L22" i="50"/>
  <c r="L16" i="50"/>
  <c r="L20" i="50"/>
  <c r="D8" i="42"/>
  <c r="O11" i="42"/>
  <c r="P11" i="42"/>
  <c r="Q14" i="50"/>
  <c r="R16" i="50"/>
  <c r="O10" i="42"/>
  <c r="Q17" i="50"/>
  <c r="Q18" i="50"/>
  <c r="O9" i="42"/>
  <c r="R17" i="50"/>
  <c r="R18" i="50"/>
  <c r="Q12" i="50"/>
  <c r="H6" i="42"/>
  <c r="M12" i="42"/>
  <c r="I6" i="42"/>
  <c r="R12" i="50"/>
  <c r="Q15" i="50"/>
  <c r="R20" i="50"/>
  <c r="Q19" i="50"/>
  <c r="R15" i="50"/>
  <c r="Q20" i="50"/>
  <c r="R19" i="50"/>
  <c r="E8" i="42"/>
  <c r="C9" i="42" s="1"/>
  <c r="R14" i="50"/>
  <c r="H7" i="42"/>
  <c r="R13" i="50"/>
  <c r="Q16" i="50"/>
  <c r="Q13" i="50"/>
  <c r="P14" i="50"/>
  <c r="P20" i="50"/>
  <c r="O16" i="50"/>
  <c r="P16" i="50"/>
  <c r="O20" i="50"/>
  <c r="O19" i="50"/>
  <c r="P17" i="50"/>
  <c r="O14" i="50"/>
  <c r="P15" i="50"/>
  <c r="O17" i="50"/>
  <c r="O15" i="50"/>
  <c r="O18" i="50"/>
  <c r="P18" i="50"/>
  <c r="P19" i="50"/>
  <c r="N12" i="42"/>
  <c r="M13" i="42"/>
  <c r="N13" i="42"/>
  <c r="M14" i="42"/>
  <c r="N14" i="42"/>
  <c r="M15" i="42"/>
  <c r="M16" i="42"/>
  <c r="N15" i="42"/>
  <c r="N16" i="42"/>
  <c r="M17" i="42"/>
  <c r="M18" i="42"/>
  <c r="N17" i="42"/>
  <c r="N18" i="42"/>
  <c r="M19" i="42"/>
  <c r="N19" i="42"/>
  <c r="M20" i="42"/>
  <c r="M21" i="42"/>
  <c r="N20" i="42"/>
  <c r="M22" i="42"/>
  <c r="N21" i="42"/>
  <c r="N22" i="42"/>
  <c r="M23" i="42"/>
  <c r="M24" i="42"/>
  <c r="N23" i="42"/>
  <c r="M25" i="42"/>
  <c r="N24" i="42"/>
  <c r="M26" i="42"/>
  <c r="N25" i="42"/>
  <c r="N26" i="42"/>
  <c r="M27" i="42"/>
  <c r="M28" i="42"/>
  <c r="N27" i="42"/>
  <c r="N28" i="42"/>
  <c r="M29" i="42"/>
  <c r="M30" i="42"/>
  <c r="N29" i="42"/>
  <c r="M31" i="42"/>
  <c r="N30" i="42"/>
  <c r="N31" i="42"/>
  <c r="M32" i="42"/>
  <c r="M33" i="42"/>
  <c r="N32" i="42"/>
  <c r="M34" i="42"/>
  <c r="N33" i="42"/>
  <c r="M35" i="42"/>
  <c r="N34" i="42"/>
  <c r="M36" i="42"/>
  <c r="N35" i="42"/>
  <c r="N36" i="42"/>
  <c r="M37" i="42"/>
  <c r="M38" i="42"/>
  <c r="N37" i="42"/>
  <c r="M39" i="42"/>
  <c r="N38" i="42"/>
  <c r="M40" i="42"/>
  <c r="N39" i="42"/>
  <c r="M41" i="42"/>
  <c r="N40" i="42"/>
  <c r="N41" i="42"/>
  <c r="M42" i="42"/>
  <c r="M43" i="42"/>
  <c r="N42" i="42"/>
  <c r="N43" i="42"/>
  <c r="M44" i="42"/>
  <c r="M45" i="42"/>
  <c r="N44" i="42"/>
  <c r="N45" i="42"/>
  <c r="M46" i="42"/>
  <c r="M47" i="42"/>
  <c r="N46" i="42"/>
  <c r="M48" i="42"/>
  <c r="N47" i="42"/>
  <c r="M49" i="42"/>
  <c r="N48" i="42"/>
  <c r="M50" i="42"/>
  <c r="N49" i="42"/>
  <c r="M51" i="42"/>
  <c r="N50" i="42"/>
  <c r="M52" i="42"/>
  <c r="N51" i="42"/>
  <c r="M53" i="42"/>
  <c r="N52" i="42"/>
  <c r="N53" i="42"/>
  <c r="M54" i="42"/>
  <c r="M55" i="42"/>
  <c r="N54" i="42"/>
  <c r="N55" i="42"/>
  <c r="M56" i="42"/>
  <c r="N56" i="42"/>
  <c r="M57" i="42"/>
  <c r="M58" i="42"/>
  <c r="N57" i="42"/>
  <c r="M59" i="42"/>
  <c r="N58" i="42"/>
  <c r="M60" i="42"/>
  <c r="N59" i="42"/>
  <c r="N60" i="42"/>
  <c r="M61" i="42"/>
  <c r="N61" i="42"/>
  <c r="M62" i="42"/>
  <c r="N62" i="42"/>
  <c r="M63" i="42"/>
  <c r="N63" i="42"/>
  <c r="M64" i="42"/>
  <c r="M65" i="42"/>
  <c r="N64" i="42"/>
  <c r="M66" i="42"/>
  <c r="N65" i="42"/>
  <c r="N66" i="42"/>
  <c r="M67" i="42"/>
  <c r="M68" i="42"/>
  <c r="N67" i="42"/>
  <c r="N68" i="42"/>
  <c r="M69" i="42"/>
  <c r="N69" i="42"/>
  <c r="M70" i="42"/>
  <c r="M71" i="42"/>
  <c r="N70" i="42"/>
  <c r="N71" i="42"/>
  <c r="M72" i="42"/>
  <c r="M73" i="42"/>
  <c r="N72" i="42"/>
  <c r="N73" i="42"/>
  <c r="M74" i="42"/>
  <c r="M75" i="42"/>
  <c r="N74" i="42"/>
  <c r="M76" i="42"/>
  <c r="N75" i="42"/>
  <c r="N76" i="42"/>
  <c r="M77" i="42"/>
  <c r="M78" i="42"/>
  <c r="N77" i="42"/>
  <c r="M79" i="42"/>
  <c r="N78" i="42"/>
  <c r="N79" i="42"/>
  <c r="M80" i="42"/>
  <c r="M81" i="42"/>
  <c r="N80" i="42"/>
  <c r="M82" i="42"/>
  <c r="N81" i="42"/>
  <c r="M83" i="42"/>
  <c r="N82" i="42"/>
  <c r="M84" i="42"/>
  <c r="N83" i="42"/>
  <c r="M85" i="42"/>
  <c r="N84" i="42"/>
  <c r="N85" i="42"/>
  <c r="M86" i="42"/>
  <c r="N86" i="42"/>
  <c r="M87" i="42"/>
  <c r="N87" i="42"/>
  <c r="M88" i="42"/>
  <c r="M89" i="42"/>
  <c r="N88" i="42"/>
  <c r="N89" i="42"/>
  <c r="M90" i="42"/>
  <c r="M91" i="42"/>
  <c r="N90" i="42"/>
  <c r="M92" i="42"/>
  <c r="N91" i="42"/>
  <c r="M93" i="42"/>
  <c r="N92" i="42"/>
  <c r="N93" i="42"/>
  <c r="M94" i="42"/>
  <c r="M95" i="42"/>
  <c r="N94" i="42"/>
  <c r="N95" i="42"/>
  <c r="M96" i="42"/>
  <c r="M97" i="42"/>
  <c r="N96" i="42"/>
  <c r="M98" i="42"/>
  <c r="N97" i="42"/>
  <c r="N98" i="42"/>
  <c r="M99" i="42"/>
  <c r="M100" i="42"/>
  <c r="N99" i="42"/>
  <c r="M101" i="42"/>
  <c r="N100" i="42"/>
  <c r="M102" i="42"/>
  <c r="N101" i="42"/>
  <c r="M103" i="42"/>
  <c r="N102" i="42"/>
  <c r="M104" i="42"/>
  <c r="N103" i="42"/>
  <c r="M105" i="42"/>
  <c r="N104" i="42"/>
  <c r="N105" i="42"/>
  <c r="M106" i="42"/>
  <c r="N106" i="42"/>
  <c r="M107" i="42"/>
  <c r="M108" i="42"/>
  <c r="N107" i="42"/>
  <c r="N108" i="42"/>
  <c r="M109" i="42"/>
  <c r="N109" i="42"/>
  <c r="M110" i="42"/>
  <c r="M111" i="42"/>
  <c r="N110" i="42"/>
  <c r="M112" i="42"/>
  <c r="N111" i="42"/>
  <c r="M113" i="42"/>
  <c r="N112" i="42"/>
  <c r="M114" i="42"/>
  <c r="N113" i="42"/>
  <c r="N114" i="42"/>
  <c r="M115" i="42"/>
  <c r="N115" i="42"/>
  <c r="M116" i="42"/>
  <c r="M117" i="42"/>
  <c r="N116" i="42"/>
  <c r="M118" i="42"/>
  <c r="N117" i="42"/>
  <c r="N118" i="42"/>
  <c r="M119" i="42"/>
  <c r="M120" i="42"/>
  <c r="N119" i="42"/>
  <c r="N120" i="42"/>
  <c r="M121" i="42"/>
  <c r="N121" i="42"/>
  <c r="M122" i="42"/>
  <c r="M123" i="42"/>
  <c r="N122" i="42"/>
  <c r="N123" i="42"/>
  <c r="M124" i="42"/>
  <c r="M125" i="42"/>
  <c r="N124" i="42"/>
  <c r="N125" i="42"/>
  <c r="M126" i="42"/>
  <c r="M127" i="42"/>
  <c r="N126" i="42"/>
  <c r="N127" i="42"/>
  <c r="M128" i="42"/>
  <c r="N128" i="42"/>
  <c r="M129" i="42"/>
  <c r="N129" i="42"/>
  <c r="M130" i="42"/>
  <c r="M131" i="42"/>
  <c r="N130" i="42"/>
  <c r="N131" i="42"/>
  <c r="M132" i="42"/>
  <c r="N132" i="42"/>
  <c r="M133" i="42"/>
  <c r="N133" i="42"/>
  <c r="M134" i="42"/>
  <c r="N134" i="42"/>
  <c r="M135" i="42"/>
  <c r="N135" i="42"/>
  <c r="M136" i="42"/>
  <c r="M137" i="42"/>
  <c r="N136" i="42"/>
  <c r="N137" i="42"/>
  <c r="M138" i="42"/>
  <c r="M139" i="42"/>
  <c r="N138" i="42"/>
  <c r="N139" i="42"/>
  <c r="M140" i="42"/>
  <c r="N140" i="42"/>
  <c r="M141" i="42"/>
  <c r="M142" i="42"/>
  <c r="N141" i="42"/>
  <c r="N142" i="42"/>
  <c r="M143" i="42"/>
  <c r="N143" i="42"/>
  <c r="M144" i="42"/>
  <c r="N144" i="42"/>
  <c r="M145" i="42"/>
  <c r="N145" i="42"/>
  <c r="M146" i="42"/>
  <c r="N146" i="42"/>
  <c r="M147" i="42"/>
  <c r="N147" i="42"/>
  <c r="M148" i="42"/>
  <c r="M149" i="42"/>
  <c r="N148" i="42"/>
  <c r="M150" i="42"/>
  <c r="N149" i="42"/>
  <c r="M151" i="42"/>
  <c r="N150" i="42"/>
  <c r="M152" i="42"/>
  <c r="N151" i="42"/>
  <c r="N152" i="42"/>
  <c r="M153" i="42"/>
  <c r="N153" i="42"/>
  <c r="M154" i="42"/>
  <c r="M155" i="42"/>
  <c r="N154" i="42"/>
  <c r="N155" i="42"/>
  <c r="M156" i="42"/>
  <c r="M157" i="42"/>
  <c r="N156" i="42"/>
  <c r="M158" i="42"/>
  <c r="N157" i="42"/>
  <c r="N158" i="42"/>
  <c r="M159" i="42"/>
  <c r="N159" i="42"/>
  <c r="M160" i="42"/>
  <c r="M161" i="42"/>
  <c r="N160" i="42"/>
  <c r="M162" i="42"/>
  <c r="N161" i="42"/>
  <c r="M163" i="42"/>
  <c r="N162" i="42"/>
  <c r="N163" i="42"/>
  <c r="M164" i="42"/>
  <c r="N164" i="42"/>
  <c r="M165" i="42"/>
  <c r="N165" i="42"/>
  <c r="M166" i="42"/>
  <c r="M167" i="42"/>
  <c r="N166" i="42"/>
  <c r="M168" i="42"/>
  <c r="N167" i="42"/>
  <c r="M169" i="42"/>
  <c r="N168" i="42"/>
  <c r="N169" i="42"/>
  <c r="M170" i="42"/>
  <c r="M171" i="42"/>
  <c r="N170" i="42"/>
  <c r="N171" i="42"/>
  <c r="M172" i="42"/>
  <c r="M173" i="42"/>
  <c r="N172" i="42"/>
  <c r="N173" i="42"/>
  <c r="M174" i="42"/>
  <c r="N174" i="42"/>
  <c r="M175" i="42"/>
  <c r="N175" i="42"/>
  <c r="M176" i="42"/>
  <c r="N176" i="42"/>
  <c r="M177" i="42"/>
  <c r="M178" i="42"/>
  <c r="N177" i="42"/>
  <c r="N178" i="42"/>
  <c r="M179" i="42"/>
  <c r="N179" i="42"/>
  <c r="M180" i="42"/>
  <c r="M181" i="42"/>
  <c r="N180" i="42"/>
  <c r="N181" i="42"/>
  <c r="M182" i="42"/>
  <c r="M183" i="42"/>
  <c r="N182" i="42"/>
  <c r="N183" i="42"/>
  <c r="M184" i="42"/>
  <c r="M185" i="42"/>
  <c r="N184" i="42"/>
  <c r="M186" i="42"/>
  <c r="N185" i="42"/>
  <c r="M187" i="42"/>
  <c r="N186" i="42"/>
  <c r="M188" i="42"/>
  <c r="N187" i="42"/>
  <c r="N188" i="42"/>
  <c r="M189" i="42"/>
  <c r="N189" i="42"/>
  <c r="M190" i="42"/>
  <c r="N190" i="42"/>
  <c r="M191" i="42"/>
  <c r="M192" i="42"/>
  <c r="N191" i="42"/>
  <c r="N192" i="42"/>
  <c r="M193" i="42"/>
  <c r="M194" i="42"/>
  <c r="N193" i="42"/>
  <c r="M195" i="42"/>
  <c r="N194" i="42"/>
  <c r="N195" i="42"/>
  <c r="M196" i="42"/>
  <c r="N196" i="42"/>
  <c r="M197" i="42"/>
  <c r="M198" i="42"/>
  <c r="N197" i="42"/>
  <c r="N198" i="42"/>
  <c r="M199" i="42"/>
  <c r="N199" i="42"/>
  <c r="M200" i="42"/>
  <c r="N200" i="42"/>
  <c r="M201" i="42"/>
  <c r="N201" i="42"/>
  <c r="M202" i="42"/>
  <c r="M203" i="42"/>
  <c r="N202" i="42"/>
  <c r="N203" i="42"/>
  <c r="M204" i="42"/>
  <c r="N204" i="42"/>
  <c r="M205" i="42"/>
  <c r="N205" i="42"/>
  <c r="M206" i="42"/>
  <c r="M207" i="42"/>
  <c r="N206" i="42"/>
  <c r="M208" i="42"/>
  <c r="N207" i="42"/>
  <c r="M209" i="42"/>
  <c r="N208" i="42"/>
  <c r="N209" i="42"/>
  <c r="M210" i="42"/>
  <c r="N210" i="42"/>
  <c r="M211" i="42"/>
  <c r="M212" i="42"/>
  <c r="N211" i="42"/>
  <c r="N212" i="42"/>
  <c r="M213" i="42"/>
  <c r="N213" i="42"/>
  <c r="M214" i="42"/>
  <c r="M215" i="42"/>
  <c r="N214" i="42"/>
  <c r="M216" i="42"/>
  <c r="N215" i="42"/>
  <c r="M217" i="42"/>
  <c r="N216" i="42"/>
  <c r="N217" i="42"/>
  <c r="M218" i="42"/>
  <c r="M219" i="42"/>
  <c r="N218" i="42"/>
  <c r="N219" i="42"/>
  <c r="M220" i="42"/>
  <c r="N220" i="42"/>
  <c r="M221" i="42"/>
  <c r="M222" i="42"/>
  <c r="N221" i="42"/>
  <c r="N222" i="42"/>
  <c r="M223" i="42"/>
  <c r="M224" i="42"/>
  <c r="N223" i="42"/>
  <c r="M225" i="42"/>
  <c r="N224" i="42"/>
  <c r="M226" i="42"/>
  <c r="N225" i="42"/>
  <c r="M227" i="42"/>
  <c r="N226" i="42"/>
  <c r="N227" i="42"/>
  <c r="M228" i="42"/>
  <c r="M229" i="42"/>
  <c r="N228" i="42"/>
  <c r="N229" i="42"/>
  <c r="M230" i="42"/>
  <c r="M231" i="42"/>
  <c r="N230" i="42"/>
  <c r="N231" i="42"/>
  <c r="M232" i="42"/>
  <c r="M233" i="42"/>
  <c r="N232" i="42"/>
  <c r="M234" i="42"/>
  <c r="N233" i="42"/>
  <c r="M235" i="42"/>
  <c r="N234" i="42"/>
  <c r="N235" i="42"/>
  <c r="M236" i="42"/>
  <c r="M237" i="42"/>
  <c r="N236" i="42"/>
  <c r="N237" i="42"/>
  <c r="M238" i="42"/>
  <c r="N238" i="42"/>
  <c r="M239" i="42"/>
  <c r="M240" i="42"/>
  <c r="N239" i="42"/>
  <c r="N240" i="42"/>
  <c r="M241" i="42"/>
  <c r="M242" i="42"/>
  <c r="N241" i="42"/>
  <c r="N242" i="42"/>
  <c r="M243" i="42"/>
  <c r="N243" i="42"/>
  <c r="M244" i="42"/>
  <c r="N244" i="42"/>
  <c r="M245" i="42"/>
  <c r="N245" i="42"/>
  <c r="M246" i="42"/>
  <c r="N246" i="42"/>
  <c r="M247" i="42"/>
  <c r="N247" i="42"/>
  <c r="M248" i="42"/>
  <c r="M249" i="42"/>
  <c r="N248" i="42"/>
  <c r="N249" i="42"/>
  <c r="M250" i="42"/>
  <c r="M251" i="42"/>
  <c r="N250" i="42"/>
  <c r="N251" i="42"/>
  <c r="M252" i="42"/>
  <c r="M253" i="42"/>
  <c r="N252" i="42"/>
  <c r="M254" i="42"/>
  <c r="N253" i="42"/>
  <c r="N254" i="42"/>
  <c r="M255" i="42"/>
  <c r="N255" i="42"/>
  <c r="M256" i="42"/>
  <c r="M257" i="42"/>
  <c r="N256" i="42"/>
  <c r="M258" i="42"/>
  <c r="N257" i="42"/>
  <c r="N258" i="42"/>
  <c r="M259" i="42"/>
  <c r="N259" i="42"/>
  <c r="M260" i="42"/>
  <c r="M261" i="42"/>
  <c r="N260" i="42"/>
  <c r="M262" i="42"/>
  <c r="N261" i="42"/>
  <c r="M263" i="42"/>
  <c r="N262" i="42"/>
  <c r="M264" i="42"/>
  <c r="N263" i="42"/>
  <c r="N264" i="42"/>
  <c r="M265" i="42"/>
  <c r="M266" i="42"/>
  <c r="N265" i="42"/>
  <c r="N266" i="42"/>
  <c r="M267" i="42"/>
  <c r="M268" i="42"/>
  <c r="N267" i="42"/>
  <c r="N268" i="42"/>
  <c r="M269" i="42"/>
  <c r="N269" i="42"/>
  <c r="M270" i="42"/>
  <c r="N270" i="42"/>
  <c r="M271" i="42"/>
  <c r="M272" i="42"/>
  <c r="N271" i="42"/>
  <c r="N272" i="42"/>
  <c r="M273" i="42"/>
  <c r="N273" i="42"/>
  <c r="M274" i="42"/>
  <c r="M275" i="42"/>
  <c r="N274" i="42"/>
  <c r="M276" i="42"/>
  <c r="N275" i="42"/>
  <c r="M277" i="42"/>
  <c r="N276" i="42"/>
  <c r="N277" i="42"/>
  <c r="M278" i="42"/>
  <c r="M279" i="42"/>
  <c r="N278" i="42"/>
  <c r="N279" i="42"/>
  <c r="M280" i="42"/>
  <c r="M281" i="42"/>
  <c r="N280" i="42"/>
  <c r="M282" i="42"/>
  <c r="N281" i="42"/>
  <c r="N282" i="42"/>
  <c r="M283" i="42"/>
  <c r="M284" i="42"/>
  <c r="N283" i="42"/>
  <c r="N284" i="42"/>
  <c r="M285" i="42"/>
  <c r="N285" i="42"/>
  <c r="M286" i="42"/>
  <c r="N286" i="42"/>
  <c r="M287" i="42"/>
  <c r="N287" i="42"/>
  <c r="M288" i="42"/>
  <c r="N288" i="42"/>
  <c r="M289" i="42"/>
  <c r="M290" i="42"/>
  <c r="N289" i="42"/>
  <c r="N290" i="42"/>
  <c r="M291" i="42"/>
  <c r="N291" i="42"/>
  <c r="M292" i="42"/>
  <c r="M293" i="42"/>
  <c r="N292" i="42"/>
  <c r="M294" i="42"/>
  <c r="N293" i="42"/>
  <c r="M295" i="42"/>
  <c r="N294" i="42"/>
  <c r="N295" i="42"/>
  <c r="M296" i="42"/>
  <c r="M297" i="42"/>
  <c r="N296" i="42"/>
  <c r="M298" i="42"/>
  <c r="N297" i="42"/>
  <c r="N298" i="42"/>
  <c r="M299" i="42"/>
  <c r="N299" i="42"/>
  <c r="M300" i="42"/>
  <c r="N300" i="42"/>
  <c r="M301" i="42"/>
  <c r="N301" i="42"/>
  <c r="M302" i="42"/>
  <c r="M303" i="42"/>
  <c r="N302" i="42"/>
  <c r="N303" i="42"/>
  <c r="M304" i="42"/>
  <c r="N304" i="42"/>
  <c r="M305" i="42"/>
  <c r="N305" i="42"/>
  <c r="M306" i="42"/>
  <c r="M307" i="42"/>
  <c r="N306" i="42"/>
  <c r="M308" i="42"/>
  <c r="N307" i="42"/>
  <c r="M309" i="42"/>
  <c r="N308" i="42"/>
  <c r="M310" i="42"/>
  <c r="N309" i="42"/>
  <c r="N310" i="42"/>
  <c r="M311" i="42"/>
  <c r="N311" i="42"/>
  <c r="M312" i="42"/>
  <c r="N312" i="42"/>
  <c r="M313" i="42"/>
  <c r="M314" i="42"/>
  <c r="N313" i="42"/>
  <c r="M315" i="42"/>
  <c r="N314" i="42"/>
  <c r="N315" i="42"/>
  <c r="M316" i="42"/>
  <c r="M317" i="42"/>
  <c r="N316" i="42"/>
  <c r="N317" i="42"/>
  <c r="M318" i="42"/>
  <c r="N318" i="42"/>
  <c r="M319" i="42"/>
  <c r="M320" i="42"/>
  <c r="N319" i="42"/>
  <c r="M321" i="42"/>
  <c r="N320" i="42"/>
  <c r="M322" i="42"/>
  <c r="N321" i="42"/>
  <c r="N322" i="42"/>
  <c r="M323" i="42"/>
  <c r="M324" i="42"/>
  <c r="N323" i="42"/>
  <c r="N324" i="42"/>
  <c r="M325" i="42"/>
  <c r="N325" i="42"/>
  <c r="M326" i="42"/>
  <c r="M327" i="42"/>
  <c r="N326" i="42"/>
  <c r="N327" i="42"/>
  <c r="M328" i="42"/>
  <c r="N328" i="42"/>
  <c r="M329" i="42"/>
  <c r="N329" i="42"/>
  <c r="M330" i="42"/>
  <c r="M331" i="42"/>
  <c r="N330" i="42"/>
  <c r="M332" i="42"/>
  <c r="N331" i="42"/>
  <c r="N332" i="42"/>
  <c r="M333" i="42"/>
  <c r="N333" i="42"/>
  <c r="M334" i="42"/>
  <c r="M335" i="42"/>
  <c r="N334" i="42"/>
  <c r="M336" i="42"/>
  <c r="N335" i="42"/>
  <c r="M337" i="42"/>
  <c r="N336" i="42"/>
  <c r="M338" i="42"/>
  <c r="N337" i="42"/>
  <c r="N338" i="42"/>
  <c r="M339" i="42"/>
  <c r="N339" i="42"/>
  <c r="M340" i="42"/>
  <c r="N340" i="42"/>
  <c r="M341" i="42"/>
  <c r="M342" i="42"/>
  <c r="N341" i="42"/>
  <c r="N342" i="42"/>
  <c r="M343" i="42"/>
  <c r="N343" i="42"/>
  <c r="M344" i="42"/>
  <c r="M345" i="42"/>
  <c r="N344" i="42"/>
  <c r="M346" i="42"/>
  <c r="N345" i="42"/>
  <c r="M347" i="42"/>
  <c r="N346" i="42"/>
  <c r="N347" i="42"/>
  <c r="M348" i="42"/>
  <c r="N348" i="42"/>
  <c r="M349" i="42"/>
  <c r="M350" i="42"/>
  <c r="N349" i="42"/>
  <c r="D9" i="42" l="1"/>
  <c r="O349" i="42"/>
  <c r="O342" i="42"/>
  <c r="O334" i="42"/>
  <c r="O325" i="42"/>
  <c r="O317" i="42"/>
  <c r="O309" i="42"/>
  <c r="O301" i="42"/>
  <c r="O293" i="42"/>
  <c r="O285" i="42"/>
  <c r="O277" i="42"/>
  <c r="O269" i="42"/>
  <c r="O261" i="42"/>
  <c r="O253" i="42"/>
  <c r="O245" i="42"/>
  <c r="O237" i="42"/>
  <c r="O229" i="42"/>
  <c r="O220" i="42"/>
  <c r="O212" i="42"/>
  <c r="O204" i="42"/>
  <c r="O196" i="42"/>
  <c r="O188" i="42"/>
  <c r="O180" i="42"/>
  <c r="O172" i="42"/>
  <c r="O164" i="42"/>
  <c r="O156" i="42"/>
  <c r="O148" i="42"/>
  <c r="O140" i="42"/>
  <c r="O132" i="42"/>
  <c r="O124" i="42"/>
  <c r="O116" i="42"/>
  <c r="O107" i="42"/>
  <c r="O99" i="42"/>
  <c r="O91" i="42"/>
  <c r="O83" i="42"/>
  <c r="O75" i="42"/>
  <c r="O67" i="42"/>
  <c r="O59" i="42"/>
  <c r="O51" i="42"/>
  <c r="O43" i="42"/>
  <c r="O35" i="42"/>
  <c r="O27" i="42"/>
  <c r="O19" i="42"/>
  <c r="I39" i="29"/>
  <c r="F8" i="42"/>
  <c r="P188" i="42"/>
  <c r="O243" i="42"/>
  <c r="O178" i="42"/>
  <c r="O146" i="42"/>
  <c r="O122" i="42"/>
  <c r="O105" i="42"/>
  <c r="O81" i="42"/>
  <c r="O57" i="42"/>
  <c r="O33" i="42"/>
  <c r="P10" i="42"/>
  <c r="O347" i="42"/>
  <c r="O314" i="42"/>
  <c r="O290" i="42"/>
  <c r="O266" i="42"/>
  <c r="O242" i="42"/>
  <c r="O217" i="42"/>
  <c r="O185" i="42"/>
  <c r="O161" i="42"/>
  <c r="O129" i="42"/>
  <c r="O104" i="42"/>
  <c r="O80" i="42"/>
  <c r="O56" i="42"/>
  <c r="O32" i="42"/>
  <c r="O281" i="42"/>
  <c r="O216" i="42"/>
  <c r="O184" i="42"/>
  <c r="O160" i="42"/>
  <c r="O136" i="42"/>
  <c r="O103" i="42"/>
  <c r="O79" i="42"/>
  <c r="O55" i="42"/>
  <c r="O31" i="42"/>
  <c r="O337" i="42"/>
  <c r="O312" i="42"/>
  <c r="O288" i="42"/>
  <c r="O264" i="42"/>
  <c r="O240" i="42"/>
  <c r="O215" i="42"/>
  <c r="O191" i="42"/>
  <c r="O167" i="42"/>
  <c r="O143" i="42"/>
  <c r="O119" i="42"/>
  <c r="O94" i="42"/>
  <c r="O70" i="42"/>
  <c r="O46" i="42"/>
  <c r="O22" i="42"/>
  <c r="O327" i="42"/>
  <c r="O303" i="42"/>
  <c r="O279" i="42"/>
  <c r="O255" i="42"/>
  <c r="O222" i="42"/>
  <c r="O198" i="42"/>
  <c r="O174" i="42"/>
  <c r="O150" i="42"/>
  <c r="P150" i="42" s="1"/>
  <c r="O126" i="42"/>
  <c r="O93" i="42"/>
  <c r="O61" i="42"/>
  <c r="O29" i="42"/>
  <c r="I7" i="42"/>
  <c r="O335" i="42"/>
  <c r="O294" i="42"/>
  <c r="O262" i="42"/>
  <c r="O238" i="42"/>
  <c r="O213" i="42"/>
  <c r="O189" i="42"/>
  <c r="O157" i="42"/>
  <c r="O141" i="42"/>
  <c r="O108" i="42"/>
  <c r="O84" i="42"/>
  <c r="O52" i="42"/>
  <c r="O20" i="42"/>
  <c r="P238" i="42"/>
  <c r="N350" i="42"/>
  <c r="O350" i="42" s="1"/>
  <c r="O341" i="42"/>
  <c r="O333" i="42"/>
  <c r="O324" i="42"/>
  <c r="O316" i="42"/>
  <c r="O308" i="42"/>
  <c r="O300" i="42"/>
  <c r="O292" i="42"/>
  <c r="O284" i="42"/>
  <c r="O276" i="42"/>
  <c r="O268" i="42"/>
  <c r="O260" i="42"/>
  <c r="O252" i="42"/>
  <c r="O244" i="42"/>
  <c r="O236" i="42"/>
  <c r="O227" i="42"/>
  <c r="O219" i="42"/>
  <c r="O211" i="42"/>
  <c r="O203" i="42"/>
  <c r="O195" i="42"/>
  <c r="O187" i="42"/>
  <c r="O179" i="42"/>
  <c r="O171" i="42"/>
  <c r="O163" i="42"/>
  <c r="O155" i="42"/>
  <c r="O147" i="42"/>
  <c r="O139" i="42"/>
  <c r="O131" i="42"/>
  <c r="O123" i="42"/>
  <c r="O115" i="42"/>
  <c r="O106" i="42"/>
  <c r="O98" i="42"/>
  <c r="O90" i="42"/>
  <c r="O82" i="42"/>
  <c r="O74" i="42"/>
  <c r="O66" i="42"/>
  <c r="O58" i="42"/>
  <c r="O50" i="42"/>
  <c r="O42" i="42"/>
  <c r="O34" i="42"/>
  <c r="O26" i="42"/>
  <c r="O18" i="42"/>
  <c r="P9" i="42"/>
  <c r="E9" i="42"/>
  <c r="O315" i="42"/>
  <c r="O283" i="42"/>
  <c r="O267" i="42"/>
  <c r="O251" i="42"/>
  <c r="O226" i="42"/>
  <c r="O210" i="42"/>
  <c r="P210" i="42" s="1"/>
  <c r="O194" i="42"/>
  <c r="O170" i="42"/>
  <c r="O154" i="42"/>
  <c r="O138" i="42"/>
  <c r="O114" i="42"/>
  <c r="O89" i="42"/>
  <c r="O65" i="42"/>
  <c r="O41" i="42"/>
  <c r="O17" i="42"/>
  <c r="O228" i="42"/>
  <c r="O339" i="42"/>
  <c r="O322" i="42"/>
  <c r="O306" i="42"/>
  <c r="O282" i="42"/>
  <c r="O258" i="42"/>
  <c r="O234" i="42"/>
  <c r="O209" i="42"/>
  <c r="O193" i="42"/>
  <c r="O169" i="42"/>
  <c r="O145" i="42"/>
  <c r="O121" i="42"/>
  <c r="O96" i="42"/>
  <c r="O72" i="42"/>
  <c r="O48" i="42"/>
  <c r="O24" i="42"/>
  <c r="H8" i="42"/>
  <c r="O346" i="42"/>
  <c r="O330" i="42"/>
  <c r="P330" i="42" s="1"/>
  <c r="O321" i="42"/>
  <c r="O305" i="42"/>
  <c r="O289" i="42"/>
  <c r="O265" i="42"/>
  <c r="O249" i="42"/>
  <c r="O233" i="42"/>
  <c r="O208" i="42"/>
  <c r="O192" i="42"/>
  <c r="O168" i="42"/>
  <c r="O144" i="42"/>
  <c r="O120" i="42"/>
  <c r="O87" i="42"/>
  <c r="O63" i="42"/>
  <c r="O39" i="42"/>
  <c r="O15" i="42"/>
  <c r="C10" i="42"/>
  <c r="O345" i="42"/>
  <c r="O304" i="42"/>
  <c r="O272" i="42"/>
  <c r="O248" i="42"/>
  <c r="O223" i="42"/>
  <c r="O199" i="42"/>
  <c r="O175" i="42"/>
  <c r="O151" i="42"/>
  <c r="O127" i="42"/>
  <c r="O102" i="42"/>
  <c r="O78" i="42"/>
  <c r="O54" i="42"/>
  <c r="O30" i="42"/>
  <c r="P178" i="42"/>
  <c r="P164" i="42"/>
  <c r="O336" i="42"/>
  <c r="O319" i="42"/>
  <c r="O287" i="42"/>
  <c r="O263" i="42"/>
  <c r="O239" i="42"/>
  <c r="O214" i="42"/>
  <c r="O190" i="42"/>
  <c r="O166" i="42"/>
  <c r="O142" i="42"/>
  <c r="O118" i="42"/>
  <c r="O85" i="42"/>
  <c r="O69" i="42"/>
  <c r="O45" i="42"/>
  <c r="O21" i="42"/>
  <c r="O110" i="42"/>
  <c r="O326" i="42"/>
  <c r="O302" i="42"/>
  <c r="O278" i="42"/>
  <c r="O246" i="42"/>
  <c r="O221" i="42"/>
  <c r="O181" i="42"/>
  <c r="O165" i="42"/>
  <c r="O149" i="42"/>
  <c r="O117" i="42"/>
  <c r="O100" i="42"/>
  <c r="O76" i="42"/>
  <c r="O44" i="42"/>
  <c r="O36" i="42"/>
  <c r="O12" i="42"/>
  <c r="O348" i="42"/>
  <c r="O340" i="42"/>
  <c r="O332" i="42"/>
  <c r="O323" i="42"/>
  <c r="O307" i="42"/>
  <c r="O299" i="42"/>
  <c r="O291" i="42"/>
  <c r="O275" i="42"/>
  <c r="O259" i="42"/>
  <c r="O235" i="42"/>
  <c r="O218" i="42"/>
  <c r="O202" i="42"/>
  <c r="O186" i="42"/>
  <c r="O162" i="42"/>
  <c r="O130" i="42"/>
  <c r="O97" i="42"/>
  <c r="O73" i="42"/>
  <c r="P73" i="42" s="1"/>
  <c r="O49" i="42"/>
  <c r="O25" i="42"/>
  <c r="P167" i="42"/>
  <c r="O331" i="42"/>
  <c r="O298" i="42"/>
  <c r="O274" i="42"/>
  <c r="O250" i="42"/>
  <c r="O225" i="42"/>
  <c r="O201" i="42"/>
  <c r="O177" i="42"/>
  <c r="O153" i="42"/>
  <c r="O137" i="42"/>
  <c r="O113" i="42"/>
  <c r="O88" i="42"/>
  <c r="O64" i="42"/>
  <c r="O40" i="42"/>
  <c r="O16" i="42"/>
  <c r="P147" i="42"/>
  <c r="O338" i="42"/>
  <c r="O313" i="42"/>
  <c r="O297" i="42"/>
  <c r="O273" i="42"/>
  <c r="O257" i="42"/>
  <c r="O241" i="42"/>
  <c r="O224" i="42"/>
  <c r="O200" i="42"/>
  <c r="O176" i="42"/>
  <c r="O152" i="42"/>
  <c r="O128" i="42"/>
  <c r="O95" i="42"/>
  <c r="O71" i="42"/>
  <c r="O47" i="42"/>
  <c r="O23" i="42"/>
  <c r="O328" i="42"/>
  <c r="O329" i="42"/>
  <c r="O320" i="42"/>
  <c r="O296" i="42"/>
  <c r="O280" i="42"/>
  <c r="O256" i="42"/>
  <c r="O232" i="42"/>
  <c r="O207" i="42"/>
  <c r="O183" i="42"/>
  <c r="O159" i="42"/>
  <c r="O135" i="42"/>
  <c r="O111" i="42"/>
  <c r="O86" i="42"/>
  <c r="O62" i="42"/>
  <c r="O38" i="42"/>
  <c r="O14" i="42"/>
  <c r="O344" i="42"/>
  <c r="O295" i="42"/>
  <c r="O271" i="42"/>
  <c r="O247" i="42"/>
  <c r="O231" i="42"/>
  <c r="O206" i="42"/>
  <c r="O182" i="42"/>
  <c r="O158" i="42"/>
  <c r="O134" i="42"/>
  <c r="O109" i="42"/>
  <c r="O77" i="42"/>
  <c r="O53" i="42"/>
  <c r="O37" i="42"/>
  <c r="O13" i="42"/>
  <c r="O343" i="42"/>
  <c r="O286" i="42"/>
  <c r="O270" i="42"/>
  <c r="O230" i="42"/>
  <c r="O205" i="42"/>
  <c r="O173" i="42"/>
  <c r="O125" i="42"/>
  <c r="O92" i="42"/>
  <c r="O60" i="42"/>
  <c r="O28" i="42"/>
  <c r="F9" i="42"/>
  <c r="O112" i="42"/>
  <c r="O311" i="42"/>
  <c r="O101" i="42"/>
  <c r="P334" i="42"/>
  <c r="O318" i="42"/>
  <c r="O310" i="42"/>
  <c r="O254" i="42"/>
  <c r="O197" i="42"/>
  <c r="O133" i="42"/>
  <c r="O68" i="42"/>
  <c r="P177" i="42"/>
  <c r="D10" i="42" l="1"/>
  <c r="P68" i="42"/>
  <c r="P112" i="42"/>
  <c r="P270" i="42"/>
  <c r="P134" i="42"/>
  <c r="P344" i="42"/>
  <c r="P183" i="42"/>
  <c r="P328" i="42"/>
  <c r="P200" i="42"/>
  <c r="P16" i="42"/>
  <c r="P225" i="42"/>
  <c r="P130" i="42"/>
  <c r="P291" i="42"/>
  <c r="P36" i="42"/>
  <c r="P221" i="42"/>
  <c r="P69" i="42"/>
  <c r="P263" i="42"/>
  <c r="P127" i="42"/>
  <c r="P345" i="42"/>
  <c r="P192" i="42"/>
  <c r="P346" i="42"/>
  <c r="P193" i="42"/>
  <c r="P228" i="42"/>
  <c r="P170" i="42"/>
  <c r="P26" i="42"/>
  <c r="P90" i="42"/>
  <c r="P163" i="42"/>
  <c r="P227" i="42"/>
  <c r="P292" i="42"/>
  <c r="P20" i="42"/>
  <c r="P262" i="42"/>
  <c r="P198" i="42"/>
  <c r="P70" i="42"/>
  <c r="P288" i="42"/>
  <c r="P160" i="42"/>
  <c r="P129" i="42"/>
  <c r="P347" i="42"/>
  <c r="P19" i="42"/>
  <c r="P83" i="42"/>
  <c r="P148" i="42"/>
  <c r="P229" i="42"/>
  <c r="P293" i="42"/>
  <c r="H9" i="42"/>
  <c r="P133" i="42"/>
  <c r="P28" i="42"/>
  <c r="P286" i="42"/>
  <c r="P158" i="42"/>
  <c r="P14" i="42"/>
  <c r="P207" i="42"/>
  <c r="P23" i="42"/>
  <c r="P224" i="42"/>
  <c r="P40" i="42"/>
  <c r="P250" i="42"/>
  <c r="P162" i="42"/>
  <c r="P299" i="42"/>
  <c r="P246" i="42"/>
  <c r="P85" i="42"/>
  <c r="P287" i="42"/>
  <c r="P151" i="42"/>
  <c r="P15" i="42"/>
  <c r="P208" i="42"/>
  <c r="P24" i="42"/>
  <c r="P209" i="42"/>
  <c r="P17" i="42"/>
  <c r="P194" i="42"/>
  <c r="P34" i="42"/>
  <c r="P98" i="42"/>
  <c r="P171" i="42"/>
  <c r="P236" i="42"/>
  <c r="P300" i="42"/>
  <c r="P294" i="42"/>
  <c r="P222" i="42"/>
  <c r="P94" i="42"/>
  <c r="P312" i="42"/>
  <c r="P184" i="42"/>
  <c r="P161" i="42"/>
  <c r="P33" i="42"/>
  <c r="P27" i="42"/>
  <c r="P156" i="42"/>
  <c r="P237" i="42"/>
  <c r="P301" i="42"/>
  <c r="I8" i="42"/>
  <c r="P197" i="42"/>
  <c r="P343" i="42"/>
  <c r="P182" i="42"/>
  <c r="P232" i="42"/>
  <c r="P241" i="42"/>
  <c r="P274" i="42"/>
  <c r="P307" i="42"/>
  <c r="P278" i="42"/>
  <c r="P319" i="42"/>
  <c r="P39" i="42"/>
  <c r="P48" i="42"/>
  <c r="P41" i="42"/>
  <c r="P42" i="42"/>
  <c r="P179" i="42"/>
  <c r="P308" i="42"/>
  <c r="P335" i="42"/>
  <c r="P119" i="42"/>
  <c r="P216" i="42"/>
  <c r="P57" i="42"/>
  <c r="P99" i="42"/>
  <c r="P245" i="42"/>
  <c r="E10" i="42"/>
  <c r="P92" i="42"/>
  <c r="P13" i="42"/>
  <c r="P62" i="42"/>
  <c r="P71" i="42"/>
  <c r="P257" i="42"/>
  <c r="P298" i="42"/>
  <c r="P323" i="42"/>
  <c r="P302" i="42"/>
  <c r="P336" i="42"/>
  <c r="P63" i="42"/>
  <c r="P72" i="42"/>
  <c r="P65" i="42"/>
  <c r="P50" i="42"/>
  <c r="P187" i="42"/>
  <c r="P316" i="42"/>
  <c r="P29" i="42"/>
  <c r="P143" i="42"/>
  <c r="P281" i="42"/>
  <c r="P81" i="42"/>
  <c r="P107" i="42"/>
  <c r="P253" i="42"/>
  <c r="C11" i="42"/>
  <c r="P125" i="42"/>
  <c r="P37" i="42"/>
  <c r="P231" i="42"/>
  <c r="P86" i="42"/>
  <c r="P95" i="42"/>
  <c r="P113" i="42"/>
  <c r="P218" i="42"/>
  <c r="P117" i="42"/>
  <c r="P166" i="42"/>
  <c r="P223" i="42"/>
  <c r="P265" i="42"/>
  <c r="P282" i="42"/>
  <c r="P267" i="42"/>
  <c r="P123" i="42"/>
  <c r="P260" i="42"/>
  <c r="P141" i="42"/>
  <c r="P303" i="42"/>
  <c r="P55" i="42"/>
  <c r="P242" i="42"/>
  <c r="P51" i="42"/>
  <c r="P196" i="42"/>
  <c r="P325" i="42"/>
  <c r="P318" i="42"/>
  <c r="P53" i="42"/>
  <c r="P247" i="42"/>
  <c r="P111" i="42"/>
  <c r="P128" i="42"/>
  <c r="P297" i="42"/>
  <c r="P25" i="42"/>
  <c r="P340" i="42"/>
  <c r="P110" i="42"/>
  <c r="P54" i="42"/>
  <c r="P120" i="42"/>
  <c r="P121" i="42"/>
  <c r="P283" i="42"/>
  <c r="P131" i="42"/>
  <c r="P333" i="42"/>
  <c r="P327" i="42"/>
  <c r="P56" i="42"/>
  <c r="P59" i="42"/>
  <c r="P204" i="42"/>
  <c r="P342" i="42"/>
  <c r="P77" i="42"/>
  <c r="P271" i="42"/>
  <c r="P135" i="42"/>
  <c r="P313" i="42"/>
  <c r="P259" i="42"/>
  <c r="P21" i="42"/>
  <c r="P272" i="42"/>
  <c r="P145" i="42"/>
  <c r="P315" i="42"/>
  <c r="P211" i="42"/>
  <c r="P189" i="42"/>
  <c r="P240" i="42"/>
  <c r="P290" i="42"/>
  <c r="P132" i="42"/>
  <c r="P349" i="42"/>
  <c r="P311" i="42"/>
  <c r="P295" i="42"/>
  <c r="P159" i="42"/>
  <c r="P338" i="42"/>
  <c r="P275" i="42"/>
  <c r="P45" i="42"/>
  <c r="P304" i="42"/>
  <c r="P169" i="42"/>
  <c r="P18" i="42"/>
  <c r="P155" i="42"/>
  <c r="P350" i="42"/>
  <c r="P264" i="42"/>
  <c r="P314" i="42"/>
  <c r="P140" i="42"/>
  <c r="P44" i="42"/>
  <c r="P52" i="42"/>
  <c r="P91" i="42"/>
  <c r="P60" i="42"/>
  <c r="P38" i="42"/>
  <c r="P47" i="42"/>
  <c r="P64" i="42"/>
  <c r="P186" i="42"/>
  <c r="P76" i="42"/>
  <c r="P118" i="42"/>
  <c r="P175" i="42"/>
  <c r="P233" i="42"/>
  <c r="P234" i="42"/>
  <c r="P226" i="42"/>
  <c r="P106" i="42"/>
  <c r="P244" i="42"/>
  <c r="P84" i="42"/>
  <c r="P255" i="42"/>
  <c r="P337" i="42"/>
  <c r="P185" i="42"/>
  <c r="P35" i="42"/>
  <c r="P172" i="42"/>
  <c r="P309" i="42"/>
  <c r="P254" i="42"/>
  <c r="P206" i="42"/>
  <c r="P256" i="42"/>
  <c r="P88" i="42"/>
  <c r="P202" i="42"/>
  <c r="P100" i="42"/>
  <c r="P142" i="42"/>
  <c r="P199" i="42"/>
  <c r="P249" i="42"/>
  <c r="P258" i="42"/>
  <c r="P251" i="42"/>
  <c r="P115" i="42"/>
  <c r="P252" i="42"/>
  <c r="P108" i="42"/>
  <c r="P279" i="42"/>
  <c r="P31" i="42"/>
  <c r="P217" i="42"/>
  <c r="P43" i="42"/>
  <c r="P180" i="42"/>
  <c r="P317" i="42"/>
  <c r="P310" i="42"/>
  <c r="P280" i="42"/>
  <c r="P273" i="42"/>
  <c r="P331" i="42"/>
  <c r="P332" i="42"/>
  <c r="P326" i="42"/>
  <c r="P30" i="42"/>
  <c r="P87" i="42"/>
  <c r="P96" i="42"/>
  <c r="P89" i="42"/>
  <c r="P58" i="42"/>
  <c r="P195" i="42"/>
  <c r="P324" i="42"/>
  <c r="P61" i="42"/>
  <c r="P191" i="42"/>
  <c r="P32" i="42"/>
  <c r="P105" i="42"/>
  <c r="P116" i="42"/>
  <c r="P261" i="42"/>
  <c r="F10" i="42"/>
  <c r="P173" i="42"/>
  <c r="P137" i="42"/>
  <c r="P235" i="42"/>
  <c r="P149" i="42"/>
  <c r="P190" i="42"/>
  <c r="P248" i="42"/>
  <c r="P289" i="42"/>
  <c r="P114" i="42"/>
  <c r="P66" i="42"/>
  <c r="P268" i="42"/>
  <c r="P93" i="42"/>
  <c r="P79" i="42"/>
  <c r="P122" i="42"/>
  <c r="P269" i="42"/>
  <c r="P101" i="42"/>
  <c r="P320" i="42"/>
  <c r="P153" i="42"/>
  <c r="P165" i="42"/>
  <c r="P78" i="42"/>
  <c r="P305" i="42"/>
  <c r="P138" i="42"/>
  <c r="P139" i="42"/>
  <c r="P341" i="42"/>
  <c r="P126" i="42"/>
  <c r="P103" i="42"/>
  <c r="P146" i="42"/>
  <c r="P212" i="42"/>
  <c r="P230" i="42"/>
  <c r="P176" i="42"/>
  <c r="P97" i="42"/>
  <c r="P181" i="42"/>
  <c r="P102" i="42"/>
  <c r="P168" i="42"/>
  <c r="P339" i="42"/>
  <c r="P82" i="42"/>
  <c r="P284" i="42"/>
  <c r="P174" i="42"/>
  <c r="P136" i="42"/>
  <c r="P243" i="42"/>
  <c r="P220" i="42"/>
  <c r="P296" i="42"/>
  <c r="P306" i="42"/>
  <c r="P203" i="42"/>
  <c r="P157" i="42"/>
  <c r="P215" i="42"/>
  <c r="P266" i="42"/>
  <c r="P124" i="42"/>
  <c r="P205" i="42"/>
  <c r="P152" i="42"/>
  <c r="P49" i="42"/>
  <c r="P348" i="42"/>
  <c r="P214" i="42"/>
  <c r="P144" i="42"/>
  <c r="P322" i="42"/>
  <c r="P74" i="42"/>
  <c r="P276" i="42"/>
  <c r="P22" i="42"/>
  <c r="P80" i="42"/>
  <c r="P67" i="42"/>
  <c r="P277" i="42"/>
  <c r="P109" i="42"/>
  <c r="P329" i="42"/>
  <c r="P201" i="42"/>
  <c r="P12" i="42"/>
  <c r="P239" i="42"/>
  <c r="P321" i="42"/>
  <c r="P154" i="42"/>
  <c r="P219" i="42"/>
  <c r="P213" i="42"/>
  <c r="P46" i="42"/>
  <c r="P104" i="42"/>
  <c r="P75" i="42"/>
  <c r="P285" i="42"/>
  <c r="D11" i="42" l="1"/>
  <c r="D35" i="29"/>
  <c r="I9" i="42"/>
  <c r="C38" i="29"/>
  <c r="N27" i="49"/>
  <c r="U24" i="49" s="1"/>
  <c r="D33" i="29"/>
  <c r="W24" i="49"/>
  <c r="J35" i="29"/>
  <c r="N27" i="50" s="1"/>
  <c r="O24" i="49"/>
  <c r="Q30" i="50"/>
  <c r="O25" i="49"/>
  <c r="I38" i="29"/>
  <c r="O24" i="50"/>
  <c r="J33" i="29"/>
  <c r="O26" i="49"/>
  <c r="O25" i="50"/>
  <c r="Q30" i="49"/>
  <c r="E11" i="42"/>
  <c r="U24" i="50"/>
  <c r="H10" i="42"/>
  <c r="V24" i="49"/>
  <c r="P31" i="50" l="1"/>
  <c r="T25" i="50"/>
  <c r="T25" i="49"/>
  <c r="P31" i="49"/>
  <c r="V24" i="50"/>
  <c r="F11" i="42"/>
  <c r="W24" i="50"/>
  <c r="U25" i="49"/>
  <c r="R26" i="49"/>
  <c r="R24" i="49"/>
  <c r="R25" i="50"/>
  <c r="U25" i="50"/>
  <c r="V25" i="50" s="1"/>
  <c r="Q31" i="50"/>
  <c r="I10" i="42"/>
  <c r="W25" i="49"/>
  <c r="R24" i="50"/>
  <c r="O26" i="50"/>
  <c r="R26" i="50" s="1"/>
  <c r="Q31" i="49"/>
  <c r="R25" i="49"/>
  <c r="V25" i="49"/>
  <c r="X24" i="50" l="1"/>
  <c r="X25" i="50" s="1"/>
  <c r="X24" i="49"/>
  <c r="X25" i="49"/>
  <c r="P32" i="49"/>
  <c r="T26" i="49"/>
  <c r="T26" i="50"/>
  <c r="U26" i="50"/>
  <c r="V26" i="50"/>
  <c r="Q32" i="49"/>
  <c r="W25" i="50"/>
  <c r="H11" i="42"/>
  <c r="U26" i="49"/>
  <c r="V26" i="49"/>
  <c r="X26" i="50" l="1"/>
  <c r="I11" i="42"/>
  <c r="W26" i="50"/>
  <c r="W26" i="49"/>
  <c r="X26" i="49" l="1"/>
  <c r="J20" i="29" l="1"/>
  <c r="J21" i="29"/>
  <c r="I22" i="43"/>
  <c r="J6" i="43"/>
  <c r="L6" i="43" s="1"/>
  <c r="I19" i="39"/>
  <c r="I21" i="45"/>
  <c r="I20" i="45"/>
  <c r="I27" i="39"/>
  <c r="I24" i="39"/>
  <c r="I23" i="43"/>
  <c r="I18" i="45"/>
  <c r="I23" i="45"/>
  <c r="I24" i="43"/>
  <c r="I21" i="39"/>
  <c r="J7" i="45"/>
  <c r="L7" i="45" s="1"/>
  <c r="I19" i="45"/>
  <c r="J6" i="45"/>
  <c r="L6" i="45" s="1"/>
  <c r="I22" i="39"/>
  <c r="I18" i="43"/>
  <c r="I18" i="39"/>
  <c r="I20" i="39"/>
  <c r="J5" i="39"/>
  <c r="L5" i="39" s="1"/>
  <c r="I26" i="39"/>
  <c r="J6" i="39"/>
  <c r="L6" i="39" s="1"/>
  <c r="J5" i="45"/>
  <c r="L5" i="45" s="1"/>
  <c r="I21" i="43"/>
  <c r="I20" i="43"/>
  <c r="J22" i="29"/>
  <c r="I22" i="45"/>
  <c r="J7" i="43"/>
  <c r="L7" i="43" s="1"/>
  <c r="I19" i="43"/>
  <c r="I25" i="39"/>
  <c r="I23" i="39"/>
  <c r="J5" i="43"/>
  <c r="L5" i="43" s="1"/>
  <c r="I24" i="45"/>
  <c r="S11" i="49" a="1"/>
  <c r="S11" i="50" a="1"/>
  <c r="E3" i="45"/>
  <c r="E3" i="43"/>
  <c r="G2" i="42"/>
  <c r="E3" i="39"/>
  <c r="Q191" i="42"/>
  <c r="Q56" i="42"/>
  <c r="J5" i="42"/>
  <c r="Q64" i="42"/>
  <c r="R115" i="42"/>
  <c r="Q253" i="42"/>
  <c r="Q17" i="42"/>
  <c r="R234" i="42"/>
  <c r="Q109" i="42"/>
  <c r="Q71" i="42"/>
  <c r="Q349" i="42"/>
  <c r="R315" i="42"/>
  <c r="Q317" i="42"/>
  <c r="R118" i="42"/>
  <c r="R34" i="42"/>
  <c r="Q223" i="42"/>
  <c r="Q174" i="42"/>
  <c r="Q139" i="42"/>
  <c r="R185" i="42"/>
  <c r="Q61" i="42"/>
  <c r="R49" i="42"/>
  <c r="R197" i="42"/>
  <c r="R149" i="42"/>
  <c r="R95" i="42"/>
  <c r="Q285" i="42"/>
  <c r="Q135" i="42"/>
  <c r="R91" i="42"/>
  <c r="Q30" i="42"/>
  <c r="R332" i="42"/>
  <c r="Q131" i="42"/>
  <c r="I3" i="39"/>
  <c r="R166" i="42"/>
  <c r="R155" i="42"/>
  <c r="Q299" i="42"/>
  <c r="Q327" i="42"/>
  <c r="R276" i="42"/>
  <c r="Q171" i="42"/>
  <c r="Q220" i="42"/>
  <c r="R67" i="42"/>
  <c r="Q279" i="42"/>
  <c r="Q121" i="42"/>
  <c r="R42" i="42"/>
  <c r="R37" i="42"/>
  <c r="R347" i="42"/>
  <c r="R318" i="42"/>
  <c r="R21" i="42"/>
  <c r="Q268" i="42"/>
  <c r="R170" i="42"/>
  <c r="Q13" i="42"/>
  <c r="J2" i="42"/>
  <c r="R154" i="42"/>
  <c r="Q117" i="42"/>
  <c r="Q231" i="42"/>
  <c r="R71" i="42"/>
  <c r="Q95" i="42"/>
  <c r="R298" i="42"/>
  <c r="Q46" i="42"/>
  <c r="R202" i="42"/>
  <c r="Q267" i="42"/>
  <c r="R4" i="42"/>
  <c r="R269" i="42"/>
  <c r="Q15" i="42"/>
  <c r="Q127" i="42"/>
  <c r="R261" i="42"/>
  <c r="P13" i="50"/>
  <c r="R41" i="42"/>
  <c r="R2" i="42"/>
  <c r="R17" i="42"/>
  <c r="Q78" i="42"/>
  <c r="R78" i="42"/>
  <c r="R173" i="42"/>
  <c r="G9" i="42"/>
  <c r="Q177" i="42"/>
  <c r="R323" i="42"/>
  <c r="R243" i="42"/>
  <c r="R13" i="42"/>
  <c r="Q270" i="42"/>
  <c r="R206" i="42"/>
  <c r="Q175" i="42"/>
  <c r="Q265" i="42"/>
  <c r="R322" i="42"/>
  <c r="Q296" i="42"/>
  <c r="Q70" i="42"/>
  <c r="Q99" i="42"/>
  <c r="R50" i="42"/>
  <c r="R74" i="42"/>
  <c r="Q155" i="42"/>
  <c r="Q102" i="42"/>
  <c r="Q138" i="42"/>
  <c r="R227" i="42"/>
  <c r="Q166" i="42"/>
  <c r="Q33" i="42"/>
  <c r="R93" i="42"/>
  <c r="R207" i="42"/>
  <c r="Q210" i="42"/>
  <c r="Q85" i="42"/>
  <c r="R242" i="42"/>
  <c r="R266" i="42"/>
  <c r="Q203" i="42"/>
  <c r="R349" i="42"/>
  <c r="Q57" i="42"/>
  <c r="Q230" i="42"/>
  <c r="R85" i="42"/>
  <c r="Q319" i="42"/>
  <c r="Q52" i="42"/>
  <c r="Q149" i="42"/>
  <c r="Q103" i="42"/>
  <c r="R337" i="42"/>
  <c r="Q322" i="42"/>
  <c r="R286" i="42"/>
  <c r="R203" i="42"/>
  <c r="Q192" i="42"/>
  <c r="R294" i="42"/>
  <c r="R98" i="42"/>
  <c r="R274" i="42"/>
  <c r="Q65" i="42"/>
  <c r="Q96" i="42"/>
  <c r="Q202" i="42"/>
  <c r="Q10" i="42"/>
  <c r="Q206" i="42"/>
  <c r="O3" i="50"/>
  <c r="R58" i="42"/>
  <c r="Q59" i="42"/>
  <c r="R297" i="42"/>
  <c r="R130" i="42"/>
  <c r="R20" i="42"/>
  <c r="R251" i="42"/>
  <c r="Q236" i="42"/>
  <c r="Q60" i="42"/>
  <c r="R310" i="42"/>
  <c r="Q258" i="42"/>
  <c r="R25" i="42"/>
  <c r="Q132" i="42"/>
  <c r="Q167" i="42"/>
  <c r="R258" i="42"/>
  <c r="Q216" i="42"/>
  <c r="R257" i="42"/>
  <c r="R70" i="42"/>
  <c r="R144" i="42"/>
  <c r="R117" i="42"/>
  <c r="Q245" i="42"/>
  <c r="P8" i="49"/>
  <c r="Q302" i="42"/>
  <c r="Q143" i="42"/>
  <c r="R253" i="42"/>
  <c r="Q280" i="42"/>
  <c r="Q12" i="42"/>
  <c r="Q198" i="42"/>
  <c r="Q77" i="42"/>
  <c r="Q194" i="42"/>
  <c r="G7" i="42"/>
  <c r="R107" i="42"/>
  <c r="R279" i="42"/>
  <c r="R47" i="42"/>
  <c r="R174" i="42"/>
  <c r="R255" i="42"/>
  <c r="R252" i="42"/>
  <c r="Q315" i="42"/>
  <c r="P7" i="49"/>
  <c r="R267" i="42"/>
  <c r="R31" i="49"/>
  <c r="Q259" i="42"/>
  <c r="R222" i="42"/>
  <c r="R262" i="42"/>
  <c r="Q122" i="42"/>
  <c r="Q118" i="42"/>
  <c r="R218" i="42"/>
  <c r="R284" i="42"/>
  <c r="R54" i="42"/>
  <c r="Q146" i="42"/>
  <c r="R305" i="42"/>
  <c r="R89" i="42"/>
  <c r="R325" i="42"/>
  <c r="R171" i="42"/>
  <c r="R301" i="42"/>
  <c r="Q2" i="42"/>
  <c r="Q81" i="42"/>
  <c r="R178" i="42"/>
  <c r="R200" i="42"/>
  <c r="Q67" i="42"/>
  <c r="R217" i="42"/>
  <c r="Q8" i="42"/>
  <c r="P6" i="49"/>
  <c r="Q22" i="42"/>
  <c r="R84" i="42"/>
  <c r="R11" i="42"/>
  <c r="R82" i="42"/>
  <c r="Q172" i="42"/>
  <c r="R103" i="42"/>
  <c r="Q129" i="42"/>
  <c r="R350" i="42"/>
  <c r="Q335" i="42"/>
  <c r="R289" i="42"/>
  <c r="R215" i="42"/>
  <c r="Q249" i="42"/>
  <c r="I7" i="43"/>
  <c r="K7" i="43" s="1"/>
  <c r="R224" i="42"/>
  <c r="R60" i="42"/>
  <c r="O6" i="49"/>
  <c r="R136" i="42"/>
  <c r="Q212" i="42"/>
  <c r="J10" i="42"/>
  <c r="J9" i="42"/>
  <c r="Q147" i="42"/>
  <c r="R77" i="42"/>
  <c r="R132" i="42"/>
  <c r="Q234" i="42"/>
  <c r="Q219" i="42"/>
  <c r="Q324" i="42"/>
  <c r="P3" i="49"/>
  <c r="R148" i="42"/>
  <c r="Q152" i="42"/>
  <c r="R216" i="42"/>
  <c r="R188" i="42"/>
  <c r="R8" i="42"/>
  <c r="R168" i="42"/>
  <c r="R213" i="42"/>
  <c r="R22" i="42"/>
  <c r="Q284" i="42"/>
  <c r="Q332" i="42"/>
  <c r="R221" i="42"/>
  <c r="Q63" i="42"/>
  <c r="Q169" i="42"/>
  <c r="R139" i="42"/>
  <c r="R219" i="42"/>
  <c r="Q201" i="42"/>
  <c r="R314" i="42"/>
  <c r="P4" i="49"/>
  <c r="O7" i="49"/>
  <c r="R324" i="42"/>
  <c r="R329" i="42"/>
  <c r="Q266" i="42"/>
  <c r="R53" i="42"/>
  <c r="Q197" i="42"/>
  <c r="Q69" i="42"/>
  <c r="Q90" i="42"/>
  <c r="R73" i="42"/>
  <c r="Q150" i="42"/>
  <c r="Q264" i="42"/>
  <c r="Q114" i="42"/>
  <c r="R256" i="42"/>
  <c r="Q250" i="42"/>
  <c r="Q204" i="42"/>
  <c r="R343" i="42"/>
  <c r="R44" i="42"/>
  <c r="R113" i="42"/>
  <c r="R292" i="42"/>
  <c r="Q86" i="42"/>
  <c r="R346" i="42"/>
  <c r="Q162" i="42"/>
  <c r="R56" i="42"/>
  <c r="R319" i="42"/>
  <c r="R100" i="42"/>
  <c r="Q307" i="42"/>
  <c r="Q125" i="42"/>
  <c r="R124" i="42"/>
  <c r="R97" i="42"/>
  <c r="Q119" i="42"/>
  <c r="R80" i="42"/>
  <c r="R102" i="42"/>
  <c r="Q87" i="42"/>
  <c r="Q25" i="42"/>
  <c r="R165" i="42"/>
  <c r="Q304" i="42"/>
  <c r="Q200" i="42"/>
  <c r="R87" i="42"/>
  <c r="Q80" i="42"/>
  <c r="Q242" i="42"/>
  <c r="O4" i="50"/>
  <c r="R69" i="42"/>
  <c r="R126" i="42"/>
  <c r="R111" i="42"/>
  <c r="Q185" i="42"/>
  <c r="Q311" i="42"/>
  <c r="I3" i="45"/>
  <c r="Q239" i="42"/>
  <c r="R36" i="42"/>
  <c r="Q5" i="42"/>
  <c r="Q120" i="42"/>
  <c r="Q182" i="42"/>
  <c r="R35" i="42"/>
  <c r="Q243" i="42"/>
  <c r="R12" i="42"/>
  <c r="R45" i="42"/>
  <c r="Q101" i="42"/>
  <c r="Q159" i="42"/>
  <c r="R191" i="42"/>
  <c r="Q100" i="42"/>
  <c r="R160" i="42"/>
  <c r="R23" i="42"/>
  <c r="R285" i="42"/>
  <c r="Q328" i="42"/>
  <c r="Q316" i="42"/>
  <c r="R133" i="42"/>
  <c r="Q181" i="42"/>
  <c r="Q225" i="42"/>
  <c r="Q297" i="42"/>
  <c r="Q75" i="42"/>
  <c r="Q333" i="42"/>
  <c r="R177" i="42"/>
  <c r="R348" i="42"/>
  <c r="Q40" i="42"/>
  <c r="R249" i="42"/>
  <c r="R131" i="42"/>
  <c r="R228" i="42"/>
  <c r="Q55" i="42"/>
  <c r="Q274" i="42"/>
  <c r="Q188" i="42"/>
  <c r="Q39" i="42"/>
  <c r="R63" i="42"/>
  <c r="R275" i="42"/>
  <c r="R142" i="42"/>
  <c r="R151" i="42"/>
  <c r="Q289" i="42"/>
  <c r="Q205" i="42"/>
  <c r="Q50" i="42"/>
  <c r="Q241" i="42"/>
  <c r="R157" i="42"/>
  <c r="Q193" i="42"/>
  <c r="G3" i="42"/>
  <c r="R18" i="42"/>
  <c r="R201" i="42"/>
  <c r="R333" i="42"/>
  <c r="O4" i="49"/>
  <c r="Q153" i="42"/>
  <c r="Q91" i="42"/>
  <c r="Q176" i="42"/>
  <c r="Q214" i="42"/>
  <c r="Q165" i="42"/>
  <c r="R119" i="42"/>
  <c r="Q44" i="42"/>
  <c r="Q43" i="42"/>
  <c r="Q261" i="42"/>
  <c r="Q157" i="42"/>
  <c r="R260" i="42"/>
  <c r="Q232" i="42"/>
  <c r="Q104" i="42"/>
  <c r="Q111" i="42"/>
  <c r="Q6" i="42"/>
  <c r="R334" i="42"/>
  <c r="R331" i="42"/>
  <c r="R27" i="42"/>
  <c r="Q14" i="42"/>
  <c r="Q262" i="42"/>
  <c r="Q19" i="42"/>
  <c r="R112" i="42"/>
  <c r="R96" i="42"/>
  <c r="Q338" i="42"/>
  <c r="Q140" i="42"/>
  <c r="R198" i="42"/>
  <c r="Q257" i="42"/>
  <c r="Q325" i="42"/>
  <c r="Q156" i="42"/>
  <c r="R147" i="42"/>
  <c r="J3" i="42"/>
  <c r="Q290" i="42"/>
  <c r="Q336" i="42"/>
  <c r="R24" i="42"/>
  <c r="R176" i="42"/>
  <c r="Q186" i="42"/>
  <c r="P12" i="49"/>
  <c r="Q21" i="42"/>
  <c r="Q246" i="42"/>
  <c r="J8" i="42"/>
  <c r="R161" i="42"/>
  <c r="R33" i="42"/>
  <c r="Q105" i="42"/>
  <c r="R72" i="42"/>
  <c r="Q151" i="42"/>
  <c r="R40" i="42"/>
  <c r="Q233" i="42"/>
  <c r="R232" i="42"/>
  <c r="R9" i="42"/>
  <c r="I6" i="43"/>
  <c r="K6" i="43" s="1"/>
  <c r="R270" i="42"/>
  <c r="R99" i="42"/>
  <c r="R248" i="42"/>
  <c r="R159" i="42"/>
  <c r="R163" i="42"/>
  <c r="R250" i="42"/>
  <c r="Q288" i="42"/>
  <c r="O13" i="49"/>
  <c r="Q20" i="42"/>
  <c r="Q224" i="42"/>
  <c r="Q26" i="42"/>
  <c r="R291" i="42"/>
  <c r="R59" i="42"/>
  <c r="Q195" i="42"/>
  <c r="G5" i="42"/>
  <c r="R244" i="42"/>
  <c r="R192" i="42"/>
  <c r="R14" i="42"/>
  <c r="Q29" i="42"/>
  <c r="Q321" i="42"/>
  <c r="Q37" i="42"/>
  <c r="Q62" i="42"/>
  <c r="Q211" i="42"/>
  <c r="Q142" i="42"/>
  <c r="R309" i="42"/>
  <c r="R281" i="42"/>
  <c r="R181" i="42"/>
  <c r="Q313" i="42"/>
  <c r="R31" i="42"/>
  <c r="R32" i="49"/>
  <c r="Q126" i="42"/>
  <c r="G10" i="42"/>
  <c r="Q163" i="42"/>
  <c r="Q348" i="42"/>
  <c r="Q148" i="42"/>
  <c r="Q183" i="42"/>
  <c r="R307" i="42"/>
  <c r="R223" i="42"/>
  <c r="Q115" i="42"/>
  <c r="R272" i="42"/>
  <c r="Q283" i="42"/>
  <c r="Q339" i="42"/>
  <c r="R76" i="42"/>
  <c r="R66" i="42"/>
  <c r="R303" i="42"/>
  <c r="Q137" i="42"/>
  <c r="R209" i="42"/>
  <c r="Q170" i="42"/>
  <c r="R105" i="42"/>
  <c r="Q344" i="42"/>
  <c r="Q345" i="42"/>
  <c r="R167" i="42"/>
  <c r="R273" i="42"/>
  <c r="Q240" i="42"/>
  <c r="Q331" i="42"/>
  <c r="Q199" i="42"/>
  <c r="R138" i="42"/>
  <c r="Q342" i="42"/>
  <c r="R128" i="42"/>
  <c r="R196" i="42"/>
  <c r="Q160" i="42"/>
  <c r="R211" i="42"/>
  <c r="R123" i="42"/>
  <c r="Q11" i="42"/>
  <c r="Q189" i="42"/>
  <c r="Q293" i="42"/>
  <c r="Q9" i="42"/>
  <c r="Q4" i="42"/>
  <c r="R121" i="42"/>
  <c r="R336" i="42"/>
  <c r="Q247" i="42"/>
  <c r="Q48" i="42"/>
  <c r="Q260" i="42"/>
  <c r="Q42" i="42"/>
  <c r="O5" i="50"/>
  <c r="Q347" i="42"/>
  <c r="R125" i="42"/>
  <c r="P5" i="49"/>
  <c r="Q53" i="42"/>
  <c r="R238" i="42"/>
  <c r="R220" i="42"/>
  <c r="R156" i="42"/>
  <c r="R265" i="42"/>
  <c r="R120" i="42"/>
  <c r="R184" i="42"/>
  <c r="Q323" i="42"/>
  <c r="R263" i="42"/>
  <c r="R182" i="42"/>
  <c r="O8" i="49"/>
  <c r="R304" i="42"/>
  <c r="Q308" i="42"/>
  <c r="Q168" i="42"/>
  <c r="R328" i="42"/>
  <c r="R186" i="42"/>
  <c r="Q269" i="42"/>
  <c r="Q305" i="42"/>
  <c r="Q294" i="42"/>
  <c r="Q72" i="42"/>
  <c r="R194" i="42"/>
  <c r="R145" i="42"/>
  <c r="Q187" i="42"/>
  <c r="R101" i="42"/>
  <c r="Q51" i="42"/>
  <c r="R335" i="42"/>
  <c r="Q106" i="42"/>
  <c r="R30" i="42"/>
  <c r="Q97" i="42"/>
  <c r="R299" i="42"/>
  <c r="R86" i="42"/>
  <c r="R300" i="42"/>
  <c r="Q3" i="42"/>
  <c r="Q207" i="42"/>
  <c r="P13" i="49"/>
  <c r="G11" i="42"/>
  <c r="R55" i="42"/>
  <c r="Q73" i="42"/>
  <c r="R164" i="42"/>
  <c r="R254" i="42"/>
  <c r="O3" i="49"/>
  <c r="Q94" i="42"/>
  <c r="Q154" i="42"/>
  <c r="Q38" i="42"/>
  <c r="R204" i="42"/>
  <c r="R320" i="42"/>
  <c r="Q273" i="42"/>
  <c r="G8" i="42"/>
  <c r="Q144" i="42"/>
  <c r="R175" i="42"/>
  <c r="Q116" i="42"/>
  <c r="R330" i="42"/>
  <c r="R75" i="42"/>
  <c r="Q276" i="42"/>
  <c r="R340" i="42"/>
  <c r="R52" i="42"/>
  <c r="J7" i="42"/>
  <c r="Q227" i="42"/>
  <c r="R308" i="42"/>
  <c r="R57" i="42"/>
  <c r="R277" i="42"/>
  <c r="Q287" i="42"/>
  <c r="O13" i="50"/>
  <c r="O14" i="49"/>
  <c r="R195" i="42"/>
  <c r="Q303" i="42"/>
  <c r="R172" i="42"/>
  <c r="Q136" i="42"/>
  <c r="Q263" i="42"/>
  <c r="Q228" i="42"/>
  <c r="R229" i="42"/>
  <c r="G4" i="42"/>
  <c r="Q130" i="42"/>
  <c r="Q196" i="42"/>
  <c r="O6" i="50"/>
  <c r="Q251" i="42"/>
  <c r="Q208" i="42"/>
  <c r="Q35" i="42"/>
  <c r="R62" i="42"/>
  <c r="R129" i="42"/>
  <c r="J4" i="42"/>
  <c r="Q252" i="42"/>
  <c r="R282" i="42"/>
  <c r="R81" i="42"/>
  <c r="Q312" i="42"/>
  <c r="R169" i="42"/>
  <c r="R302" i="42"/>
  <c r="R268" i="42"/>
  <c r="Q68" i="42"/>
  <c r="Q295" i="42"/>
  <c r="Q27" i="42"/>
  <c r="Q306" i="42"/>
  <c r="R152" i="42"/>
  <c r="R313" i="42"/>
  <c r="R61" i="42"/>
  <c r="Q124" i="42"/>
  <c r="R311" i="42"/>
  <c r="Q36" i="42"/>
  <c r="R230" i="42"/>
  <c r="R246" i="42"/>
  <c r="Q318" i="42"/>
  <c r="R288" i="42"/>
  <c r="R135" i="42"/>
  <c r="P14" i="49"/>
  <c r="R306" i="42"/>
  <c r="R137" i="42"/>
  <c r="R312" i="42"/>
  <c r="Q244" i="42"/>
  <c r="Q161" i="42"/>
  <c r="R65" i="42"/>
  <c r="Q286" i="42"/>
  <c r="R51" i="42"/>
  <c r="Q164" i="42"/>
  <c r="R316" i="42"/>
  <c r="Q128" i="42"/>
  <c r="Q300" i="42"/>
  <c r="Q222" i="42"/>
  <c r="Q320" i="42"/>
  <c r="Q334" i="42"/>
  <c r="R140" i="42"/>
  <c r="Q82" i="42"/>
  <c r="Q141" i="42"/>
  <c r="Q79" i="42"/>
  <c r="R259" i="42"/>
  <c r="R210" i="42"/>
  <c r="Q330" i="42"/>
  <c r="Q314" i="42"/>
  <c r="R237" i="42"/>
  <c r="R236" i="42"/>
  <c r="Q32" i="42"/>
  <c r="Q76" i="42"/>
  <c r="R10" i="42"/>
  <c r="Q89" i="42"/>
  <c r="R180" i="42"/>
  <c r="Q337" i="42"/>
  <c r="Q49" i="42"/>
  <c r="R26" i="42"/>
  <c r="J11" i="42"/>
  <c r="R79" i="42"/>
  <c r="R127" i="42"/>
  <c r="Q7" i="42"/>
  <c r="R104" i="42"/>
  <c r="Q309" i="42"/>
  <c r="Q112" i="42"/>
  <c r="R179" i="42"/>
  <c r="R226" i="42"/>
  <c r="Q84" i="42"/>
  <c r="Q66" i="42"/>
  <c r="R116" i="42"/>
  <c r="O12" i="49"/>
  <c r="Q45" i="42"/>
  <c r="R39" i="42"/>
  <c r="R134" i="42"/>
  <c r="Q329" i="42"/>
  <c r="Q92" i="42"/>
  <c r="Q218" i="42"/>
  <c r="R68" i="42"/>
  <c r="Q281" i="42"/>
  <c r="R235" i="42"/>
  <c r="Q58" i="42"/>
  <c r="R88" i="42"/>
  <c r="Q24" i="42"/>
  <c r="R187" i="42"/>
  <c r="R29" i="42"/>
  <c r="Q34" i="42"/>
  <c r="Q98" i="42"/>
  <c r="R327" i="42"/>
  <c r="R15" i="42"/>
  <c r="R150" i="42"/>
  <c r="Q256" i="42"/>
  <c r="Q16" i="42"/>
  <c r="R199" i="42"/>
  <c r="R345" i="42"/>
  <c r="R38" i="42"/>
  <c r="P4" i="50"/>
  <c r="R64" i="42"/>
  <c r="R6" i="42"/>
  <c r="Q298" i="42"/>
  <c r="R16" i="42"/>
  <c r="R290" i="42"/>
  <c r="R280" i="42"/>
  <c r="R212" i="42"/>
  <c r="G6" i="42"/>
  <c r="R233" i="42"/>
  <c r="Q226" i="42"/>
  <c r="R108" i="42"/>
  <c r="R28" i="42"/>
  <c r="R46" i="42"/>
  <c r="Q237" i="42"/>
  <c r="R342" i="42"/>
  <c r="Q110" i="42"/>
  <c r="Q180" i="42"/>
  <c r="R5" i="42"/>
  <c r="R83" i="42"/>
  <c r="I5" i="43"/>
  <c r="K5" i="43" s="1"/>
  <c r="Q282" i="42"/>
  <c r="R283" i="42"/>
  <c r="Q158" i="42"/>
  <c r="Q341" i="42"/>
  <c r="Q215" i="42"/>
  <c r="Q340" i="42"/>
  <c r="R193" i="42"/>
  <c r="R190" i="42"/>
  <c r="I3" i="43"/>
  <c r="R153" i="42"/>
  <c r="Q346" i="42"/>
  <c r="R326" i="42"/>
  <c r="R158" i="42"/>
  <c r="R7" i="42"/>
  <c r="R208" i="42"/>
  <c r="R109" i="42"/>
  <c r="R339" i="42"/>
  <c r="Q254" i="42"/>
  <c r="R321" i="42"/>
  <c r="R114" i="42"/>
  <c r="R43" i="42"/>
  <c r="Q229" i="42"/>
  <c r="R271" i="42"/>
  <c r="R296" i="42"/>
  <c r="Q113" i="42"/>
  <c r="R122" i="42"/>
  <c r="R245" i="42"/>
  <c r="R264" i="42"/>
  <c r="R19" i="42"/>
  <c r="R32" i="42"/>
  <c r="Q173" i="42"/>
  <c r="R278" i="42"/>
  <c r="Q23" i="42"/>
  <c r="Q190" i="42"/>
  <c r="Q343" i="42"/>
  <c r="Q248" i="42"/>
  <c r="Q83" i="42"/>
  <c r="R110" i="42"/>
  <c r="Q272" i="42"/>
  <c r="R146" i="42"/>
  <c r="Q277" i="42"/>
  <c r="R48" i="42"/>
  <c r="Q209" i="42"/>
  <c r="R295" i="42"/>
  <c r="R205" i="42"/>
  <c r="Q326" i="42"/>
  <c r="Q238" i="42"/>
  <c r="O5" i="49"/>
  <c r="R240" i="42"/>
  <c r="Q213" i="42"/>
  <c r="Q133" i="42"/>
  <c r="Q292" i="42"/>
  <c r="Q31" i="42"/>
  <c r="Q275" i="42"/>
  <c r="R106" i="42"/>
  <c r="R183" i="42"/>
  <c r="Q291" i="42"/>
  <c r="Q107" i="42"/>
  <c r="R90" i="42"/>
  <c r="Q179" i="42"/>
  <c r="Q217" i="42"/>
  <c r="Q255" i="42"/>
  <c r="R239" i="42"/>
  <c r="R341" i="42"/>
  <c r="Q271" i="42"/>
  <c r="Q235" i="42"/>
  <c r="R141" i="42"/>
  <c r="R143" i="42"/>
  <c r="Q54" i="42"/>
  <c r="R247" i="42"/>
  <c r="Q134" i="42"/>
  <c r="R92" i="42"/>
  <c r="R338" i="42"/>
  <c r="Q74" i="42"/>
  <c r="Q145" i="42"/>
  <c r="Q41" i="42"/>
  <c r="Q310" i="42"/>
  <c r="R162" i="42"/>
  <c r="Q278" i="42"/>
  <c r="R287" i="42"/>
  <c r="R241" i="42"/>
  <c r="Q221" i="42"/>
  <c r="R189" i="42"/>
  <c r="R94" i="42"/>
  <c r="R344" i="42"/>
  <c r="Q18" i="42"/>
  <c r="Q88" i="42"/>
  <c r="Q301" i="42"/>
  <c r="Q108" i="42"/>
  <c r="Q47" i="42"/>
  <c r="R231" i="42"/>
  <c r="J6" i="42"/>
  <c r="Q350" i="42"/>
  <c r="R317" i="42"/>
  <c r="R225" i="42"/>
  <c r="Q178" i="42"/>
  <c r="R3" i="42"/>
  <c r="Q93" i="42"/>
  <c r="Q123" i="42"/>
  <c r="Q28" i="42"/>
  <c r="R293" i="42"/>
  <c r="R30" i="49"/>
  <c r="R214" i="42"/>
  <c r="Q184" i="42"/>
  <c r="P6" i="50"/>
  <c r="R31" i="50"/>
  <c r="O12" i="50"/>
  <c r="P5" i="50"/>
  <c r="R30" i="50"/>
  <c r="P12" i="50"/>
  <c r="P3" i="50"/>
  <c r="F3" i="45"/>
  <c r="J10" i="45"/>
  <c r="F3" i="43"/>
  <c r="J10" i="43"/>
  <c r="J10" i="39"/>
  <c r="F3" i="39"/>
  <c r="K3" i="45"/>
  <c r="K10" i="45"/>
  <c r="G3" i="45"/>
  <c r="H3" i="45" s="1"/>
  <c r="J3" i="45" s="1"/>
  <c r="L3" i="45" s="1"/>
  <c r="G3" i="43"/>
  <c r="H3" i="43" s="1"/>
  <c r="J3" i="43" s="1"/>
  <c r="L3" i="43" s="1"/>
  <c r="K3" i="43"/>
  <c r="K10" i="43"/>
  <c r="G3" i="39"/>
  <c r="H3" i="39" s="1"/>
  <c r="J3" i="39" s="1"/>
  <c r="L3" i="39" s="1"/>
  <c r="K3" i="39"/>
  <c r="K10" i="39"/>
  <c r="L10" i="39" l="1"/>
  <c r="M10" i="39"/>
  <c r="N10" i="39"/>
  <c r="M3" i="39"/>
  <c r="N3" i="39" s="1"/>
  <c r="N10" i="43"/>
  <c r="L10" i="43"/>
  <c r="M10" i="43"/>
  <c r="M3" i="43"/>
  <c r="N3" i="43" s="1"/>
  <c r="L10" i="45"/>
  <c r="N10" i="45"/>
  <c r="M10" i="45"/>
  <c r="M3" i="45"/>
  <c r="N3" i="45" s="1"/>
  <c r="I5" i="39"/>
  <c r="I6" i="39"/>
  <c r="S184" i="42"/>
  <c r="I5" i="45"/>
  <c r="S28" i="42"/>
  <c r="S123" i="42"/>
  <c r="S93" i="42"/>
  <c r="S178" i="42"/>
  <c r="S350" i="42"/>
  <c r="S47" i="42"/>
  <c r="S108" i="42"/>
  <c r="S301" i="42"/>
  <c r="S88" i="42"/>
  <c r="S18" i="42"/>
  <c r="S221" i="42"/>
  <c r="S278" i="42"/>
  <c r="S310" i="42"/>
  <c r="S41" i="42"/>
  <c r="S145" i="42"/>
  <c r="S74" i="42"/>
  <c r="S134" i="42"/>
  <c r="S54" i="42"/>
  <c r="S235" i="42"/>
  <c r="S271" i="42"/>
  <c r="S255" i="42"/>
  <c r="S217" i="42"/>
  <c r="S179" i="42"/>
  <c r="S107" i="42"/>
  <c r="S291" i="42"/>
  <c r="S275" i="42"/>
  <c r="S31" i="42"/>
  <c r="S292" i="42"/>
  <c r="S133" i="42"/>
  <c r="S213" i="42"/>
  <c r="S238" i="42"/>
  <c r="S326" i="42"/>
  <c r="S209" i="42"/>
  <c r="S277" i="42"/>
  <c r="S272" i="42"/>
  <c r="S83" i="42"/>
  <c r="S248" i="42"/>
  <c r="S343" i="42"/>
  <c r="S190" i="42"/>
  <c r="S23" i="42"/>
  <c r="S173" i="42"/>
  <c r="S113" i="42"/>
  <c r="S229" i="42"/>
  <c r="S254" i="42"/>
  <c r="S346" i="42"/>
  <c r="S340" i="42"/>
  <c r="S215" i="42"/>
  <c r="S341" i="42"/>
  <c r="S158" i="42"/>
  <c r="S282" i="42"/>
  <c r="M5" i="43"/>
  <c r="N5" i="43" s="1"/>
  <c r="S180" i="42"/>
  <c r="S110" i="42"/>
  <c r="S237" i="42"/>
  <c r="S226" i="42"/>
  <c r="K6" i="42"/>
  <c r="S298" i="42"/>
  <c r="S16" i="42"/>
  <c r="S256" i="42"/>
  <c r="S98" i="42"/>
  <c r="S34" i="42"/>
  <c r="S24" i="42"/>
  <c r="S58" i="42"/>
  <c r="S281" i="42"/>
  <c r="S218" i="42"/>
  <c r="S92" i="42"/>
  <c r="S329" i="42"/>
  <c r="S45" i="42"/>
  <c r="S66" i="42"/>
  <c r="S84" i="42"/>
  <c r="S112" i="42"/>
  <c r="S309" i="42"/>
  <c r="S7" i="42"/>
  <c r="S49" i="42"/>
  <c r="S337" i="42"/>
  <c r="S89" i="42"/>
  <c r="S76" i="42"/>
  <c r="S32" i="42"/>
  <c r="S314" i="42"/>
  <c r="S330" i="42"/>
  <c r="S79" i="42"/>
  <c r="S141" i="42"/>
  <c r="S82" i="42"/>
  <c r="S334" i="42"/>
  <c r="S320" i="42"/>
  <c r="S222" i="42"/>
  <c r="S300" i="42"/>
  <c r="S128" i="42"/>
  <c r="S164" i="42"/>
  <c r="S286" i="42"/>
  <c r="S161" i="42"/>
  <c r="S244" i="42"/>
  <c r="S318" i="42"/>
  <c r="S36" i="42"/>
  <c r="S124" i="42"/>
  <c r="S306" i="42"/>
  <c r="S27" i="42"/>
  <c r="S295" i="42"/>
  <c r="S68" i="42"/>
  <c r="S312" i="42"/>
  <c r="S252" i="42"/>
  <c r="S35" i="42"/>
  <c r="S208" i="42"/>
  <c r="S251" i="42"/>
  <c r="S196" i="42"/>
  <c r="S130" i="42"/>
  <c r="K4" i="42"/>
  <c r="S228" i="42"/>
  <c r="S263" i="42"/>
  <c r="S136" i="42"/>
  <c r="S303" i="42"/>
  <c r="S287" i="42"/>
  <c r="S227" i="42"/>
  <c r="S276" i="42"/>
  <c r="S116" i="42"/>
  <c r="S144" i="42"/>
  <c r="K8" i="42"/>
  <c r="S273" i="42"/>
  <c r="S38" i="42"/>
  <c r="S154" i="42"/>
  <c r="S94" i="42"/>
  <c r="S73" i="42"/>
  <c r="K11" i="42"/>
  <c r="S207" i="42"/>
  <c r="S3" i="42"/>
  <c r="S97" i="42"/>
  <c r="S106" i="42"/>
  <c r="S51" i="42"/>
  <c r="S187" i="42"/>
  <c r="S72" i="42"/>
  <c r="S294" i="42"/>
  <c r="S305" i="42"/>
  <c r="S269" i="42"/>
  <c r="S168" i="42"/>
  <c r="S308" i="42"/>
  <c r="S323" i="42"/>
  <c r="S53" i="42"/>
  <c r="S347" i="42"/>
  <c r="S42" i="42"/>
  <c r="S260" i="42"/>
  <c r="S48" i="42"/>
  <c r="S247" i="42"/>
  <c r="S4" i="42"/>
  <c r="S9" i="42"/>
  <c r="S293" i="42"/>
  <c r="S189" i="42"/>
  <c r="S11" i="42"/>
  <c r="S160" i="42"/>
  <c r="S342" i="42"/>
  <c r="S199" i="42"/>
  <c r="S331" i="42"/>
  <c r="S240" i="42"/>
  <c r="S345" i="42"/>
  <c r="S344" i="42"/>
  <c r="S170" i="42"/>
  <c r="S137" i="42"/>
  <c r="S339" i="42"/>
  <c r="S283" i="42"/>
  <c r="S115" i="42"/>
  <c r="S183" i="42"/>
  <c r="S148" i="42"/>
  <c r="S348" i="42"/>
  <c r="S163" i="42"/>
  <c r="K10" i="42"/>
  <c r="S126" i="42"/>
  <c r="I7" i="45"/>
  <c r="S313" i="42"/>
  <c r="S142" i="42"/>
  <c r="S211" i="42"/>
  <c r="S62" i="42"/>
  <c r="S37" i="42"/>
  <c r="S321" i="42"/>
  <c r="S29" i="42"/>
  <c r="K5" i="42"/>
  <c r="S195" i="42"/>
  <c r="S26" i="42"/>
  <c r="S224" i="42"/>
  <c r="S20" i="42"/>
  <c r="S288" i="42"/>
  <c r="M6" i="43"/>
  <c r="N6" i="43" s="1"/>
  <c r="S233" i="42"/>
  <c r="S151" i="42"/>
  <c r="S105" i="42"/>
  <c r="S246" i="42"/>
  <c r="S21" i="42"/>
  <c r="S186" i="42"/>
  <c r="S336" i="42"/>
  <c r="S290" i="42"/>
  <c r="S156" i="42"/>
  <c r="S325" i="42"/>
  <c r="S257" i="42"/>
  <c r="S140" i="42"/>
  <c r="S338" i="42"/>
  <c r="S19" i="42"/>
  <c r="S262" i="42"/>
  <c r="S14" i="42"/>
  <c r="S6" i="42"/>
  <c r="S111" i="42"/>
  <c r="S104" i="42"/>
  <c r="S232" i="42"/>
  <c r="S157" i="42"/>
  <c r="S261" i="42"/>
  <c r="S43" i="42"/>
  <c r="S44" i="42"/>
  <c r="S165" i="42"/>
  <c r="S214" i="42"/>
  <c r="S176" i="42"/>
  <c r="S91" i="42"/>
  <c r="S153" i="42"/>
  <c r="K3" i="42"/>
  <c r="S193" i="42"/>
  <c r="S241" i="42"/>
  <c r="S50" i="42"/>
  <c r="S205" i="42"/>
  <c r="S289" i="42"/>
  <c r="S39" i="42"/>
  <c r="S188" i="42"/>
  <c r="S274" i="42"/>
  <c r="S55" i="42"/>
  <c r="S40" i="42"/>
  <c r="S333" i="42"/>
  <c r="S75" i="42"/>
  <c r="S297" i="42"/>
  <c r="S225" i="42"/>
  <c r="S181" i="42"/>
  <c r="S316" i="42"/>
  <c r="S328" i="42"/>
  <c r="S100" i="42"/>
  <c r="S159" i="42"/>
  <c r="S101" i="42"/>
  <c r="S243" i="42"/>
  <c r="S182" i="42"/>
  <c r="S120" i="42"/>
  <c r="S5" i="42"/>
  <c r="S239" i="42"/>
  <c r="S311" i="42"/>
  <c r="S185" i="42"/>
  <c r="S242" i="42"/>
  <c r="S80" i="42"/>
  <c r="S200" i="42"/>
  <c r="S304" i="42"/>
  <c r="S25" i="42"/>
  <c r="S87" i="42"/>
  <c r="S119" i="42"/>
  <c r="S125" i="42"/>
  <c r="S307" i="42"/>
  <c r="S162" i="42"/>
  <c r="S86" i="42"/>
  <c r="S204" i="42"/>
  <c r="S250" i="42"/>
  <c r="S114" i="42"/>
  <c r="S264" i="42"/>
  <c r="S150" i="42"/>
  <c r="S90" i="42"/>
  <c r="S69" i="42"/>
  <c r="S197" i="42"/>
  <c r="S266" i="42"/>
  <c r="S201" i="42"/>
  <c r="S169" i="42"/>
  <c r="S63" i="42"/>
  <c r="S332" i="42"/>
  <c r="S284" i="42"/>
  <c r="S152" i="42"/>
  <c r="S324" i="42"/>
  <c r="S219" i="42"/>
  <c r="S234" i="42"/>
  <c r="S147" i="42"/>
  <c r="S212" i="42"/>
  <c r="M7" i="43"/>
  <c r="N7" i="43" s="1"/>
  <c r="S249" i="42"/>
  <c r="S335" i="42"/>
  <c r="S129" i="42"/>
  <c r="S172" i="42"/>
  <c r="S22" i="42"/>
  <c r="S8" i="42"/>
  <c r="S67" i="42"/>
  <c r="S81" i="42"/>
  <c r="S2" i="42"/>
  <c r="S146" i="42"/>
  <c r="S118" i="42"/>
  <c r="S122" i="42"/>
  <c r="S259" i="42"/>
  <c r="I6" i="45"/>
  <c r="S315" i="42"/>
  <c r="K7" i="42"/>
  <c r="S194" i="42"/>
  <c r="S77" i="42"/>
  <c r="S198" i="42"/>
  <c r="S12" i="42"/>
  <c r="S280" i="42"/>
  <c r="S143" i="42"/>
  <c r="S302" i="42"/>
  <c r="S245" i="42"/>
  <c r="S216" i="42"/>
  <c r="S167" i="42"/>
  <c r="S132" i="42"/>
  <c r="S258" i="42"/>
  <c r="S60" i="42"/>
  <c r="S236" i="42"/>
  <c r="S59" i="42"/>
  <c r="S206" i="42"/>
  <c r="S10" i="42"/>
  <c r="S202" i="42"/>
  <c r="S96" i="42"/>
  <c r="S65" i="42"/>
  <c r="S192" i="42"/>
  <c r="S322" i="42"/>
  <c r="S103" i="42"/>
  <c r="S149" i="42"/>
  <c r="S52" i="42"/>
  <c r="S319" i="42"/>
  <c r="S230" i="42"/>
  <c r="S57" i="42"/>
  <c r="S203" i="42"/>
  <c r="S85" i="42"/>
  <c r="S210" i="42"/>
  <c r="S33" i="42"/>
  <c r="S166" i="42"/>
  <c r="S138" i="42"/>
  <c r="S102" i="42"/>
  <c r="S155" i="42"/>
  <c r="S99" i="42"/>
  <c r="S70" i="42"/>
  <c r="S296" i="42"/>
  <c r="S265" i="42"/>
  <c r="S175" i="42"/>
  <c r="S270" i="42"/>
  <c r="S177" i="42"/>
  <c r="K9" i="42"/>
  <c r="S78" i="42"/>
  <c r="S127" i="42"/>
  <c r="S15" i="42"/>
  <c r="S267" i="42"/>
  <c r="S46" i="42"/>
  <c r="S95" i="42"/>
  <c r="S231" i="42"/>
  <c r="S117" i="42"/>
  <c r="S13" i="42"/>
  <c r="S268" i="42"/>
  <c r="S121" i="42"/>
  <c r="S279" i="42"/>
  <c r="S220" i="42"/>
  <c r="S171" i="42"/>
  <c r="S327" i="42"/>
  <c r="S299" i="42"/>
  <c r="S131" i="42"/>
  <c r="S30" i="42"/>
  <c r="S135" i="42"/>
  <c r="S285" i="42"/>
  <c r="S61" i="42"/>
  <c r="S139" i="42"/>
  <c r="S174" i="42"/>
  <c r="S223" i="42"/>
  <c r="S317" i="42"/>
  <c r="S349" i="42"/>
  <c r="S71" i="42"/>
  <c r="S109" i="42"/>
  <c r="S17" i="42"/>
  <c r="S253" i="42"/>
  <c r="S64" i="42"/>
  <c r="S56" i="42"/>
  <c r="S191" i="42"/>
  <c r="K2" i="42"/>
  <c r="S17" i="50"/>
  <c r="S13" i="50"/>
  <c r="S18" i="50"/>
  <c r="S14" i="50"/>
  <c r="S15" i="50"/>
  <c r="S16" i="50"/>
  <c r="S11" i="50"/>
  <c r="S19" i="50"/>
  <c r="S12" i="50"/>
  <c r="S20" i="50"/>
  <c r="S20" i="49"/>
  <c r="S18" i="49"/>
  <c r="S14" i="49"/>
  <c r="S16" i="49"/>
  <c r="S11" i="49"/>
  <c r="S15" i="49"/>
  <c r="S19" i="49"/>
  <c r="S12" i="49"/>
  <c r="S13" i="49"/>
  <c r="S17" i="49"/>
  <c r="U3" i="39" a="1"/>
  <c r="U9" i="39" a="1"/>
  <c r="U13" i="39" a="1"/>
  <c r="U3" i="45" a="1"/>
  <c r="U9" i="45" a="1"/>
  <c r="U13" i="45" a="1"/>
  <c r="T9" i="39" a="1"/>
  <c r="T3" i="39" a="1"/>
  <c r="S3" i="45" a="1"/>
  <c r="S3" i="39" a="1"/>
  <c r="T3" i="45" a="1"/>
  <c r="T9" i="45" a="1"/>
  <c r="K6" i="45"/>
  <c r="S3" i="43" a="1"/>
  <c r="K6" i="39"/>
  <c r="K5" i="39"/>
  <c r="K7" i="45"/>
  <c r="T3" i="43" a="1"/>
  <c r="T9" i="43" a="1"/>
  <c r="U3" i="43" a="1"/>
  <c r="U13" i="43" a="1"/>
  <c r="U9" i="43" a="1"/>
  <c r="K5" i="45"/>
  <c r="M5" i="45" l="1"/>
  <c r="N5" i="45" s="1"/>
  <c r="U9" i="43"/>
  <c r="U10" i="43"/>
  <c r="U13" i="43"/>
  <c r="AA13" i="43" s="1"/>
  <c r="U3" i="43"/>
  <c r="U5" i="43"/>
  <c r="U4" i="43"/>
  <c r="T10" i="43"/>
  <c r="T9" i="43"/>
  <c r="T4" i="43"/>
  <c r="T5" i="43"/>
  <c r="T3" i="43"/>
  <c r="M7" i="45"/>
  <c r="N7" i="45" s="1"/>
  <c r="M5" i="39"/>
  <c r="N5" i="39" s="1"/>
  <c r="M6" i="39"/>
  <c r="N6" i="39" s="1"/>
  <c r="S4" i="43"/>
  <c r="S3" i="43"/>
  <c r="S5" i="43"/>
  <c r="M6" i="45"/>
  <c r="N6" i="45" s="1"/>
  <c r="T10" i="45"/>
  <c r="T9" i="45"/>
  <c r="T4" i="45"/>
  <c r="T5" i="45"/>
  <c r="T3" i="45"/>
  <c r="S3" i="39"/>
  <c r="S4" i="39"/>
  <c r="S5" i="39"/>
  <c r="S4" i="45"/>
  <c r="S3" i="45"/>
  <c r="S5" i="45"/>
  <c r="T4" i="39"/>
  <c r="T5" i="39"/>
  <c r="T3" i="39"/>
  <c r="T9" i="39"/>
  <c r="T10" i="39"/>
  <c r="U13" i="45"/>
  <c r="AA13" i="45" s="1"/>
  <c r="U10" i="45"/>
  <c r="U9" i="45"/>
  <c r="U5" i="45"/>
  <c r="U3" i="45"/>
  <c r="U4" i="45"/>
  <c r="U13" i="39"/>
  <c r="AA13" i="39" s="1"/>
  <c r="U10" i="39"/>
  <c r="U9" i="39"/>
  <c r="U3" i="39"/>
  <c r="U4" i="39"/>
  <c r="U5" i="39"/>
  <c r="AA3" i="45" l="1" a="1"/>
  <c r="AA9" i="45" a="1"/>
  <c r="AA9" i="39" a="1"/>
  <c r="AA3" i="39" a="1"/>
  <c r="AA3" i="43" a="1"/>
  <c r="AA9" i="43" a="1"/>
  <c r="AB10" i="43" l="1"/>
  <c r="AA9" i="43"/>
  <c r="AB9" i="43"/>
  <c r="AA10" i="43"/>
  <c r="AC4" i="43"/>
  <c r="AB5" i="43"/>
  <c r="AA5" i="43"/>
  <c r="AA4" i="43"/>
  <c r="AC5" i="43"/>
  <c r="AB3" i="43"/>
  <c r="AC3" i="43"/>
  <c r="AB4" i="43"/>
  <c r="AA3" i="43"/>
  <c r="AB3" i="39"/>
  <c r="AC3" i="39"/>
  <c r="AA4" i="39"/>
  <c r="AC5" i="39"/>
  <c r="AB4" i="39"/>
  <c r="AA5" i="39"/>
  <c r="AA3" i="39"/>
  <c r="AB5" i="39"/>
  <c r="AC4" i="39"/>
  <c r="AB9" i="39"/>
  <c r="AA9" i="39"/>
  <c r="AB10" i="39"/>
  <c r="AA10" i="39"/>
  <c r="AB10" i="45"/>
  <c r="AA10" i="45"/>
  <c r="AB9" i="45"/>
  <c r="AA9" i="45"/>
  <c r="AB5" i="45"/>
  <c r="AB4" i="45"/>
  <c r="AA5" i="45"/>
  <c r="AC3" i="45"/>
  <c r="AA4" i="45"/>
  <c r="AC5" i="45"/>
  <c r="AA3" i="45"/>
  <c r="AC4" i="45"/>
  <c r="AB3" i="45"/>
  <c r="J39" i="29"/>
  <c r="J38" i="29"/>
  <c r="H13" i="39"/>
  <c r="D38" i="29"/>
  <c r="N4" i="39"/>
  <c r="H13" i="45"/>
  <c r="D39" i="29"/>
  <c r="N4" i="45"/>
  <c r="H13" i="43"/>
  <c r="N4" i="43"/>
  <c r="Y3" i="45" a="1"/>
  <c r="Y13" i="45"/>
  <c r="Y9" i="45" a="1"/>
  <c r="Y9" i="43" a="1"/>
  <c r="Y13" i="43"/>
  <c r="Y3" i="43" a="1"/>
  <c r="Y4" i="43"/>
  <c r="Y3" i="45"/>
  <c r="Y4" i="45"/>
  <c r="Y5" i="45"/>
  <c r="W3" i="45" a="1"/>
  <c r="Y5" i="43"/>
  <c r="Y3" i="43"/>
  <c r="W3" i="45"/>
  <c r="Y10" i="43"/>
  <c r="Y9" i="43"/>
  <c r="Y9" i="45"/>
  <c r="Y10" i="45"/>
  <c r="W9" i="45" a="1"/>
  <c r="W10" i="45"/>
  <c r="W5" i="45"/>
  <c r="W4" i="45"/>
  <c r="W9" i="45"/>
  <c r="AI60" i="45"/>
  <c r="AJ55" i="45"/>
  <c r="AJ8" i="45"/>
  <c r="AJ46" i="45"/>
  <c r="AJ41" i="45"/>
  <c r="AJ21" i="45"/>
  <c r="AJ67" i="45"/>
  <c r="AJ40" i="45"/>
  <c r="AJ7" i="45"/>
  <c r="AJ54" i="45"/>
  <c r="AI35" i="45"/>
  <c r="AI9" i="45"/>
  <c r="AJ16" i="45"/>
  <c r="AJ13" i="45"/>
  <c r="AI49" i="45"/>
  <c r="AI11" i="45"/>
  <c r="AJ53" i="45"/>
  <c r="AJ44" i="45"/>
  <c r="AJ59" i="45"/>
  <c r="AI37" i="45"/>
  <c r="AI57" i="45"/>
  <c r="AJ52" i="45"/>
  <c r="AJ25" i="45"/>
  <c r="AJ27" i="45"/>
  <c r="AI8" i="45"/>
  <c r="AI7" i="45"/>
  <c r="AJ39" i="45"/>
  <c r="AJ50" i="45"/>
  <c r="AJ43" i="45"/>
  <c r="AJ37" i="45"/>
  <c r="AJ58" i="45"/>
  <c r="AJ47" i="45"/>
  <c r="AJ49" i="45"/>
  <c r="AJ9" i="45"/>
  <c r="AJ6" i="45"/>
  <c r="AI23" i="45"/>
  <c r="AI16" i="45"/>
  <c r="AJ5" i="45"/>
  <c r="AJ57" i="45"/>
  <c r="AJ66" i="45"/>
  <c r="AJ23" i="45"/>
  <c r="AJ3" i="45"/>
  <c r="AI64" i="45"/>
  <c r="AI4" i="45"/>
  <c r="AJ42" i="45"/>
  <c r="AJ24" i="45"/>
  <c r="AJ56" i="45"/>
  <c r="AI29" i="45"/>
  <c r="AJ62" i="45"/>
  <c r="AJ33" i="45"/>
  <c r="AJ51" i="45"/>
  <c r="AJ36" i="45"/>
  <c r="AJ30" i="45"/>
  <c r="AJ68" i="45"/>
  <c r="AJ22" i="45"/>
  <c r="AJ61" i="45"/>
  <c r="AJ64" i="45"/>
  <c r="AI40" i="45"/>
  <c r="AI6" i="45"/>
  <c r="AI54" i="45"/>
  <c r="AJ29" i="45"/>
  <c r="AJ28" i="45"/>
  <c r="AJ31" i="45"/>
  <c r="AJ10" i="45"/>
  <c r="AJ63" i="45"/>
  <c r="AJ34" i="45"/>
  <c r="AJ26" i="45"/>
  <c r="AJ45" i="45"/>
  <c r="AJ14" i="45"/>
  <c r="AI38" i="45"/>
  <c r="AJ17" i="45"/>
  <c r="AJ12" i="45"/>
  <c r="AJ11" i="45"/>
  <c r="AI66" i="45"/>
  <c r="AI34" i="45"/>
  <c r="AJ18" i="45"/>
  <c r="AJ15" i="45"/>
  <c r="AJ19" i="45"/>
  <c r="AJ4" i="45"/>
  <c r="AJ69" i="45"/>
  <c r="AJ48" i="45"/>
  <c r="AJ38" i="45"/>
  <c r="AJ20" i="45"/>
  <c r="AI41" i="45"/>
  <c r="AJ60" i="45"/>
  <c r="AI44" i="45"/>
  <c r="AJ35" i="45"/>
  <c r="AI24" i="45"/>
  <c r="AJ65" i="45"/>
  <c r="AJ32" i="45"/>
  <c r="AI47" i="45"/>
  <c r="AI12" i="45"/>
  <c r="AI56" i="45"/>
  <c r="AI36" i="45"/>
  <c r="AI67" i="45"/>
  <c r="AI18" i="45"/>
  <c r="AI68" i="45"/>
  <c r="AI50" i="45"/>
  <c r="AI63" i="45"/>
  <c r="AI30" i="45"/>
  <c r="AI19" i="45"/>
  <c r="AI52" i="45"/>
  <c r="AI55" i="45"/>
  <c r="AI61" i="45"/>
  <c r="AI53" i="45"/>
  <c r="AI48" i="45"/>
  <c r="AI59" i="45"/>
  <c r="AI65" i="45"/>
  <c r="AI21" i="45"/>
  <c r="AI22" i="45"/>
  <c r="AI15" i="45"/>
  <c r="AI46" i="45"/>
  <c r="AI14" i="45"/>
  <c r="AI5" i="45"/>
  <c r="AI27" i="45"/>
  <c r="AI10" i="45"/>
  <c r="AI69" i="45"/>
  <c r="AI32" i="45"/>
  <c r="AI39" i="45"/>
  <c r="AI28" i="45"/>
  <c r="AI26" i="45"/>
  <c r="AI3" i="45"/>
  <c r="AI17" i="45"/>
  <c r="AI51" i="45"/>
  <c r="AI13" i="45"/>
  <c r="AI25" i="45"/>
  <c r="AI33" i="45"/>
  <c r="AI58" i="45"/>
  <c r="AI20" i="45"/>
  <c r="AI45" i="45"/>
  <c r="AI62" i="45"/>
  <c r="AI43" i="45"/>
  <c r="AI31" i="45"/>
  <c r="AI42" i="45"/>
  <c r="N24" i="45"/>
  <c r="N20" i="45"/>
  <c r="O21" i="45"/>
  <c r="D35" i="45"/>
  <c r="J6" i="33"/>
  <c r="N6" i="33"/>
  <c r="N23" i="45"/>
  <c r="N19" i="45"/>
  <c r="O22" i="45"/>
  <c r="D36" i="45"/>
  <c r="J7" i="33"/>
  <c r="N7" i="33"/>
  <c r="O19" i="45"/>
  <c r="D33" i="45"/>
  <c r="J4" i="33"/>
  <c r="N4" i="33"/>
  <c r="O23" i="45"/>
  <c r="D37" i="45"/>
  <c r="J8" i="33"/>
  <c r="N8" i="33"/>
  <c r="N21" i="45"/>
  <c r="N22" i="45"/>
  <c r="N18" i="45"/>
  <c r="O18" i="45"/>
  <c r="D32" i="45"/>
  <c r="J3" i="33"/>
  <c r="N3" i="33"/>
  <c r="O24" i="45"/>
  <c r="D38" i="45"/>
  <c r="J9" i="33"/>
  <c r="N9" i="33"/>
  <c r="O20" i="45"/>
  <c r="D34" i="45"/>
  <c r="J5" i="33"/>
  <c r="N5" i="33"/>
  <c r="Y9" i="39" a="1"/>
  <c r="Y10" i="39"/>
  <c r="Y9" i="39"/>
  <c r="W9" i="39" a="1"/>
  <c r="W10" i="39"/>
  <c r="W9" i="39"/>
  <c r="N19" i="39"/>
  <c r="D33" i="39"/>
  <c r="J18" i="33"/>
  <c r="N18" i="33"/>
  <c r="N21" i="39"/>
  <c r="D35" i="39"/>
  <c r="J20" i="33"/>
  <c r="N20" i="33"/>
  <c r="N25" i="39"/>
  <c r="D39" i="39"/>
  <c r="J24" i="33"/>
  <c r="N24" i="33"/>
  <c r="N18" i="39"/>
  <c r="D32" i="39"/>
  <c r="J17" i="33"/>
  <c r="N17" i="33"/>
  <c r="N22" i="39"/>
  <c r="D36" i="39"/>
  <c r="J21" i="33"/>
  <c r="N21" i="33"/>
  <c r="N26" i="39"/>
  <c r="D40" i="39"/>
  <c r="J25" i="33"/>
  <c r="N25" i="33"/>
  <c r="N20" i="39"/>
  <c r="D34" i="39"/>
  <c r="J19" i="33"/>
  <c r="N19" i="33"/>
  <c r="N23" i="39"/>
  <c r="D37" i="39"/>
  <c r="J22" i="33"/>
  <c r="N22" i="33"/>
  <c r="N24" i="39"/>
  <c r="D38" i="39"/>
  <c r="J23" i="33"/>
  <c r="N23" i="33"/>
  <c r="N27" i="39"/>
  <c r="D41" i="39"/>
  <c r="J26" i="33"/>
  <c r="N26" i="33"/>
  <c r="P17" i="33"/>
  <c r="AI29" i="39"/>
  <c r="AI57" i="39"/>
  <c r="AI46" i="39"/>
  <c r="AI104" i="39"/>
  <c r="AI21" i="39"/>
  <c r="AI24" i="39"/>
  <c r="AI64" i="39"/>
  <c r="AI28" i="39"/>
  <c r="AI69" i="39"/>
  <c r="AI3" i="39"/>
  <c r="AI109" i="39"/>
  <c r="AI119" i="39"/>
  <c r="AI18" i="39"/>
  <c r="AI9" i="39"/>
  <c r="AI90" i="39"/>
  <c r="AI124" i="39"/>
  <c r="AI20" i="39"/>
  <c r="AI43" i="39"/>
  <c r="AI94" i="39"/>
  <c r="AI75" i="39"/>
  <c r="AI97" i="39"/>
  <c r="AI88" i="39"/>
  <c r="AI65" i="39"/>
  <c r="AI17" i="39"/>
  <c r="AI126" i="39"/>
  <c r="AI39" i="39"/>
  <c r="AI113" i="39"/>
  <c r="AI85" i="39"/>
  <c r="AI128" i="39"/>
  <c r="AI127" i="39"/>
  <c r="AI112" i="39"/>
  <c r="AI80" i="39"/>
  <c r="AI13" i="39"/>
  <c r="AI67" i="39"/>
  <c r="AI62" i="39"/>
  <c r="AI66" i="39"/>
  <c r="AI129" i="39"/>
  <c r="AI68" i="39"/>
  <c r="AI92" i="39"/>
  <c r="AI47" i="39"/>
  <c r="AI115" i="39"/>
  <c r="AI53" i="39"/>
  <c r="AI4" i="39"/>
  <c r="AI61" i="39"/>
  <c r="AI105" i="39"/>
  <c r="AI16" i="39"/>
  <c r="AI31" i="39"/>
  <c r="AI103" i="39"/>
  <c r="AI116" i="39"/>
  <c r="AI8" i="39"/>
  <c r="AI32" i="39"/>
  <c r="AI71" i="39"/>
  <c r="AI55" i="39"/>
  <c r="AI38" i="39"/>
  <c r="AI114" i="39"/>
  <c r="AI83" i="39"/>
  <c r="AI120" i="39"/>
  <c r="AI74" i="39"/>
  <c r="AI131" i="39"/>
  <c r="AI121" i="39"/>
  <c r="AI93" i="39"/>
  <c r="AI41" i="39"/>
  <c r="AI84" i="39"/>
  <c r="AI106" i="39"/>
  <c r="AI130" i="39"/>
  <c r="AI7" i="39"/>
  <c r="AI11" i="39"/>
  <c r="AI36" i="39"/>
  <c r="AI102" i="39"/>
  <c r="AI70" i="39"/>
  <c r="AI23" i="39"/>
  <c r="AI122" i="39"/>
  <c r="AI33" i="39"/>
  <c r="AI27" i="39"/>
  <c r="AI34" i="39"/>
  <c r="AI60" i="39"/>
  <c r="AI95" i="39"/>
  <c r="AI14" i="39"/>
  <c r="AI58" i="39"/>
  <c r="AI101" i="39"/>
  <c r="AI50" i="39"/>
  <c r="AI82" i="39"/>
  <c r="AI5" i="39"/>
  <c r="AI37" i="39"/>
  <c r="AI99" i="39"/>
  <c r="AI63" i="39"/>
  <c r="AI91" i="39"/>
  <c r="AI48" i="39"/>
  <c r="AI15" i="39"/>
  <c r="AI56" i="39"/>
  <c r="AI111" i="39"/>
  <c r="AI89" i="39"/>
  <c r="AI72" i="39"/>
  <c r="AI86" i="39"/>
  <c r="AI81" i="39"/>
  <c r="AI26" i="39"/>
  <c r="AI10" i="39"/>
  <c r="AI132" i="39"/>
  <c r="AI6" i="39"/>
  <c r="AI44" i="39"/>
  <c r="AI98" i="39"/>
  <c r="AI118" i="39"/>
  <c r="AI59" i="39"/>
  <c r="AI22" i="39"/>
  <c r="AI45" i="39"/>
  <c r="AI52" i="39"/>
  <c r="AI54" i="39"/>
  <c r="AI77" i="39"/>
  <c r="AI96" i="39"/>
  <c r="AI40" i="39"/>
  <c r="AI100" i="39"/>
  <c r="AI125" i="39"/>
  <c r="AI76" i="39"/>
  <c r="AI79" i="39"/>
  <c r="AI123" i="39"/>
  <c r="AI117" i="39"/>
  <c r="AI30" i="39"/>
  <c r="AI73" i="39"/>
  <c r="AI51" i="39"/>
  <c r="AI87" i="39"/>
  <c r="AI49" i="39"/>
  <c r="AI107" i="39"/>
  <c r="AI35" i="39"/>
  <c r="AI78" i="39"/>
  <c r="AI42" i="39"/>
  <c r="AI12" i="39"/>
  <c r="AI19" i="39"/>
  <c r="AI25" i="39"/>
  <c r="AI110" i="39"/>
  <c r="AI108" i="39"/>
  <c r="Y3" i="39" a="1"/>
  <c r="Y3" i="39"/>
  <c r="W3" i="39" a="1"/>
  <c r="W4" i="39"/>
  <c r="W5" i="39"/>
  <c r="W3" i="39"/>
  <c r="AJ29" i="39"/>
  <c r="O20" i="39"/>
  <c r="O26" i="39"/>
  <c r="O19" i="39"/>
  <c r="O21" i="39"/>
  <c r="O24" i="39"/>
  <c r="O27" i="39"/>
  <c r="O25" i="39"/>
  <c r="O18" i="39"/>
  <c r="O23" i="39"/>
  <c r="O22" i="39"/>
  <c r="AJ48" i="39"/>
  <c r="AJ56" i="39"/>
  <c r="AJ76" i="39"/>
  <c r="AJ115" i="39"/>
  <c r="AJ6" i="39"/>
  <c r="AJ58" i="39"/>
  <c r="AJ79" i="39"/>
  <c r="AJ41" i="39"/>
  <c r="AJ104" i="39"/>
  <c r="AJ78" i="39"/>
  <c r="AJ65" i="39"/>
  <c r="AJ96" i="39"/>
  <c r="AJ95" i="39"/>
  <c r="AJ132" i="39"/>
  <c r="AJ98" i="39"/>
  <c r="AJ128" i="39"/>
  <c r="AJ124" i="39"/>
  <c r="AJ28" i="39"/>
  <c r="AJ14" i="39"/>
  <c r="AJ3" i="39"/>
  <c r="AJ31" i="39"/>
  <c r="AJ80" i="39"/>
  <c r="AJ13" i="39"/>
  <c r="AJ39" i="39"/>
  <c r="AJ88" i="39"/>
  <c r="AJ91" i="39"/>
  <c r="AJ70" i="39"/>
  <c r="AJ12" i="39"/>
  <c r="AJ105" i="39"/>
  <c r="AJ129" i="39"/>
  <c r="AJ77" i="39"/>
  <c r="AJ26" i="39"/>
  <c r="AJ113" i="39"/>
  <c r="AJ69" i="39"/>
  <c r="AJ93" i="39"/>
  <c r="AJ43" i="39"/>
  <c r="AJ100" i="39"/>
  <c r="AJ73" i="39"/>
  <c r="AJ17" i="39"/>
  <c r="AJ4" i="39"/>
  <c r="AJ106" i="39"/>
  <c r="AJ66" i="39"/>
  <c r="AJ87" i="39"/>
  <c r="AJ62" i="39"/>
  <c r="AJ34" i="39"/>
  <c r="AJ47" i="39"/>
  <c r="AJ5" i="39"/>
  <c r="AJ116" i="39"/>
  <c r="AJ10" i="39"/>
  <c r="AJ59" i="39"/>
  <c r="AJ61" i="39"/>
  <c r="AJ127" i="39"/>
  <c r="AJ9" i="39"/>
  <c r="AJ107" i="39"/>
  <c r="AJ42" i="39"/>
  <c r="AJ36" i="39"/>
  <c r="AJ123" i="39"/>
  <c r="AJ15" i="39"/>
  <c r="AJ24" i="39"/>
  <c r="AJ63" i="39"/>
  <c r="AJ125" i="39"/>
  <c r="AJ18" i="39"/>
  <c r="AJ103" i="39"/>
  <c r="AJ22" i="39"/>
  <c r="AJ74" i="39"/>
  <c r="AJ60" i="39"/>
  <c r="AJ55" i="39"/>
  <c r="AJ92" i="39"/>
  <c r="AJ64" i="39"/>
  <c r="AJ54" i="39"/>
  <c r="AJ118" i="39"/>
  <c r="AJ121" i="39"/>
  <c r="AJ84" i="39"/>
  <c r="AJ81" i="39"/>
  <c r="AJ111" i="39"/>
  <c r="AJ94" i="39"/>
  <c r="AJ112" i="39"/>
  <c r="AJ57" i="39"/>
  <c r="AJ23" i="39"/>
  <c r="AJ30" i="39"/>
  <c r="AJ35" i="39"/>
  <c r="AJ130" i="39"/>
  <c r="AJ20" i="39"/>
  <c r="AJ126" i="39"/>
  <c r="AJ83" i="39"/>
  <c r="AJ38" i="39"/>
  <c r="AJ90" i="39"/>
  <c r="AJ102" i="39"/>
  <c r="AJ40" i="39"/>
  <c r="AJ45" i="39"/>
  <c r="AJ101" i="39"/>
  <c r="AJ27" i="39"/>
  <c r="AJ82" i="39"/>
  <c r="AJ44" i="39"/>
  <c r="AJ89" i="39"/>
  <c r="AJ37" i="39"/>
  <c r="AJ7" i="39"/>
  <c r="AJ53" i="39"/>
  <c r="AJ21" i="39"/>
  <c r="AJ122" i="39"/>
  <c r="AJ97" i="39"/>
  <c r="AJ108" i="39"/>
  <c r="AJ71" i="39"/>
  <c r="AJ16" i="39"/>
  <c r="AJ117" i="39"/>
  <c r="AJ75" i="39"/>
  <c r="AJ72" i="39"/>
  <c r="AJ46" i="39"/>
  <c r="AJ68" i="39"/>
  <c r="AJ85" i="39"/>
  <c r="AJ109" i="39"/>
  <c r="AJ120" i="39"/>
  <c r="AJ19" i="39"/>
  <c r="AJ114" i="39"/>
  <c r="AJ119" i="39"/>
  <c r="AJ52" i="39"/>
  <c r="AJ86" i="39"/>
  <c r="AJ131" i="39"/>
  <c r="AJ33" i="39"/>
  <c r="AJ67" i="39"/>
  <c r="AJ49" i="39"/>
  <c r="AJ32" i="39"/>
  <c r="AJ11" i="39"/>
  <c r="AJ8" i="39"/>
  <c r="AJ50" i="39"/>
  <c r="AJ110" i="39"/>
  <c r="AJ99" i="39"/>
  <c r="AJ51" i="39"/>
  <c r="AJ25" i="39"/>
  <c r="Y5" i="39"/>
  <c r="Y4" i="39"/>
  <c r="Y13" i="39"/>
  <c r="W13" i="39"/>
  <c r="M27" i="39"/>
  <c r="M25" i="39"/>
  <c r="M24" i="39"/>
  <c r="M23" i="39"/>
  <c r="M22" i="39"/>
  <c r="M19" i="39"/>
  <c r="M21" i="39"/>
  <c r="M26" i="39"/>
  <c r="M18" i="39"/>
  <c r="M20" i="39"/>
  <c r="AH121" i="39"/>
  <c r="AH9" i="39"/>
  <c r="AH94" i="39"/>
  <c r="AH130" i="39"/>
  <c r="AH52" i="39"/>
  <c r="AH12" i="39"/>
  <c r="AH122" i="39"/>
  <c r="AH47" i="39"/>
  <c r="AH42" i="39"/>
  <c r="AH90" i="39"/>
  <c r="AH73" i="39"/>
  <c r="AH107" i="39"/>
  <c r="AH34" i="39"/>
  <c r="AH89" i="39"/>
  <c r="AH69" i="39"/>
  <c r="AH40" i="39"/>
  <c r="AH91" i="39"/>
  <c r="AH57" i="39"/>
  <c r="AH62" i="39"/>
  <c r="AH8" i="39"/>
  <c r="AH86" i="39"/>
  <c r="AH22" i="39"/>
  <c r="AH67" i="39"/>
  <c r="AH54" i="39"/>
  <c r="AH39" i="39"/>
  <c r="AH30" i="39"/>
  <c r="AH84" i="39"/>
  <c r="AH87" i="39"/>
  <c r="AH28" i="39"/>
  <c r="AH50" i="39"/>
  <c r="AH33" i="39"/>
  <c r="AH83" i="39"/>
  <c r="AH65" i="39"/>
  <c r="AH96" i="39"/>
  <c r="AH5" i="39"/>
  <c r="AH100" i="39"/>
  <c r="AH110" i="39"/>
  <c r="AH16" i="39"/>
  <c r="AH105" i="39"/>
  <c r="AH97" i="39"/>
  <c r="AH63" i="39"/>
  <c r="AH55" i="39"/>
  <c r="AH71" i="39"/>
  <c r="AH113" i="39"/>
  <c r="AH124" i="39"/>
  <c r="AH126" i="39"/>
  <c r="AH15" i="39"/>
  <c r="AH6" i="39"/>
  <c r="AH60" i="39"/>
  <c r="AH85" i="39"/>
  <c r="AH19" i="39"/>
  <c r="AH76" i="39"/>
  <c r="AH31" i="39"/>
  <c r="AH53" i="39"/>
  <c r="AH45" i="39"/>
  <c r="AH13" i="39"/>
  <c r="AH10" i="39"/>
  <c r="AH131" i="39"/>
  <c r="AH44" i="39"/>
  <c r="AH98" i="39"/>
  <c r="AH7" i="39"/>
  <c r="AH78" i="39"/>
  <c r="AH95" i="39"/>
  <c r="AH36" i="39"/>
  <c r="AH25" i="39"/>
  <c r="AH49" i="39"/>
  <c r="AH112" i="39"/>
  <c r="AH129" i="39"/>
  <c r="AH128" i="39"/>
  <c r="AH18" i="39"/>
  <c r="AH114" i="39"/>
  <c r="AH119" i="39"/>
  <c r="AH99" i="39"/>
  <c r="AH61" i="39"/>
  <c r="AH58" i="39"/>
  <c r="AH38" i="39"/>
  <c r="AH3" i="39"/>
  <c r="AH111" i="39"/>
  <c r="AH102" i="39"/>
  <c r="AH79" i="39"/>
  <c r="AH23" i="39"/>
  <c r="AH88" i="39"/>
  <c r="AH127" i="39"/>
  <c r="AH51" i="39"/>
  <c r="AH46" i="39"/>
  <c r="AH21" i="39"/>
  <c r="AH82" i="39"/>
  <c r="AH68" i="39"/>
  <c r="AH118" i="39"/>
  <c r="AH20" i="39"/>
  <c r="AH104" i="39"/>
  <c r="AH101" i="39"/>
  <c r="AH123" i="39"/>
  <c r="AH64" i="39"/>
  <c r="AH81" i="39"/>
  <c r="AH117" i="39"/>
  <c r="AH43" i="39"/>
  <c r="AH115" i="39"/>
  <c r="AH35" i="39"/>
  <c r="AH108" i="39"/>
  <c r="AH77" i="39"/>
  <c r="AH66" i="39"/>
  <c r="AH4" i="39"/>
  <c r="AH125" i="39"/>
  <c r="AH26" i="39"/>
  <c r="AH41" i="39"/>
  <c r="AH93" i="39"/>
  <c r="AH56" i="39"/>
  <c r="AH29" i="39"/>
  <c r="AH74" i="39"/>
  <c r="AH103" i="39"/>
  <c r="AH120" i="39"/>
  <c r="AH24" i="39"/>
  <c r="AH92" i="39"/>
  <c r="AH17" i="39"/>
  <c r="AH32" i="39"/>
  <c r="AH132" i="39"/>
  <c r="AH59" i="39"/>
  <c r="AH109" i="39"/>
  <c r="AH48" i="39"/>
  <c r="AH75" i="39"/>
  <c r="AH27" i="39"/>
  <c r="AH72" i="39"/>
  <c r="AH70" i="39"/>
  <c r="AH14" i="39"/>
  <c r="AH106" i="39"/>
  <c r="AH116" i="39"/>
  <c r="AH37" i="39"/>
  <c r="AH80" i="39"/>
  <c r="AH11" i="39"/>
  <c r="W13" i="43"/>
  <c r="M20" i="43"/>
  <c r="M18" i="43"/>
  <c r="M21" i="43"/>
  <c r="M22" i="43"/>
  <c r="M24" i="43"/>
  <c r="M19" i="43"/>
  <c r="AH22" i="43"/>
  <c r="AH44" i="43"/>
  <c r="AH29" i="43"/>
  <c r="AH32" i="43"/>
  <c r="AH21" i="43"/>
  <c r="AH38" i="43"/>
  <c r="AH37" i="43"/>
  <c r="AH42" i="43"/>
  <c r="AH13" i="43"/>
  <c r="AH63" i="43"/>
  <c r="AH9" i="43"/>
  <c r="AH62" i="43"/>
  <c r="AH45" i="43"/>
  <c r="AH49" i="43"/>
  <c r="AH23" i="43"/>
  <c r="AH26" i="43"/>
  <c r="AH41" i="43"/>
  <c r="AH31" i="43"/>
  <c r="AH39" i="43"/>
  <c r="AH20" i="43"/>
  <c r="AH27" i="43"/>
  <c r="AH46" i="43"/>
  <c r="AH50" i="43"/>
  <c r="AH33" i="43"/>
  <c r="AH8" i="43"/>
  <c r="AH56" i="43"/>
  <c r="AH66" i="43"/>
  <c r="AH7" i="43"/>
  <c r="AH5" i="43"/>
  <c r="AH47" i="43"/>
  <c r="AH4" i="43"/>
  <c r="AH12" i="43"/>
  <c r="AH54" i="43"/>
  <c r="AH19" i="43"/>
  <c r="AH58" i="43"/>
  <c r="AH18" i="43"/>
  <c r="AH51" i="43"/>
  <c r="AH35" i="43"/>
  <c r="AH25" i="43"/>
  <c r="AH11" i="43"/>
  <c r="AH64" i="43"/>
  <c r="AH53" i="43"/>
  <c r="AH30" i="43"/>
  <c r="AH55" i="43"/>
  <c r="AH24" i="43"/>
  <c r="AH14" i="43"/>
  <c r="AH28" i="43"/>
  <c r="AH48" i="43"/>
  <c r="AH3" i="43"/>
  <c r="AH67" i="43"/>
  <c r="AH57" i="43"/>
  <c r="AH16" i="43"/>
  <c r="AH36" i="43"/>
  <c r="AH34" i="43"/>
  <c r="AH17" i="43"/>
  <c r="AH61" i="43"/>
  <c r="AH52" i="43"/>
  <c r="AH6" i="43"/>
  <c r="AH65" i="43"/>
  <c r="AH15" i="43"/>
  <c r="AH59" i="43"/>
  <c r="AH40" i="43"/>
  <c r="AH10" i="43"/>
  <c r="AH60" i="43"/>
  <c r="AH43" i="43"/>
  <c r="M23" i="43"/>
  <c r="W13" i="45"/>
  <c r="M23" i="45"/>
  <c r="M22" i="45"/>
  <c r="M21" i="45"/>
  <c r="M24" i="45"/>
  <c r="M20" i="45"/>
  <c r="M18" i="45"/>
  <c r="AH37" i="45"/>
  <c r="AH3" i="45"/>
  <c r="AH56" i="45"/>
  <c r="AH35" i="45"/>
  <c r="AH7" i="45"/>
  <c r="AH18" i="45"/>
  <c r="AH9" i="45"/>
  <c r="AH51" i="45"/>
  <c r="AH19" i="45"/>
  <c r="AH32" i="45"/>
  <c r="AH65" i="45"/>
  <c r="AH41" i="45"/>
  <c r="AH23" i="45"/>
  <c r="AH55" i="45"/>
  <c r="AH14" i="45"/>
  <c r="AH31" i="45"/>
  <c r="AH25" i="45"/>
  <c r="AH13" i="45"/>
  <c r="AH36" i="45"/>
  <c r="AH5" i="45"/>
  <c r="AH29" i="45"/>
  <c r="AH67" i="45"/>
  <c r="AH48" i="45"/>
  <c r="AH43" i="45"/>
  <c r="AH11" i="45"/>
  <c r="AH46" i="45"/>
  <c r="AH42" i="45"/>
  <c r="AH47" i="45"/>
  <c r="AH16" i="45"/>
  <c r="AH21" i="45"/>
  <c r="AH53" i="45"/>
  <c r="AH52" i="45"/>
  <c r="AH66" i="45"/>
  <c r="AH4" i="45"/>
  <c r="AH44" i="45"/>
  <c r="AH6" i="45"/>
  <c r="AH57" i="45"/>
  <c r="AH28" i="45"/>
  <c r="AH64" i="45"/>
  <c r="AH39" i="45"/>
  <c r="AH24" i="45"/>
  <c r="AH59" i="45"/>
  <c r="AH58" i="45"/>
  <c r="AH27" i="45"/>
  <c r="AH15" i="45"/>
  <c r="AH61" i="45"/>
  <c r="AH60" i="45"/>
  <c r="AH30" i="45"/>
  <c r="AH12" i="45"/>
  <c r="AH33" i="45"/>
  <c r="AH45" i="45"/>
  <c r="AH22" i="45"/>
  <c r="AH34" i="45"/>
  <c r="AH8" i="45"/>
  <c r="AH40" i="45"/>
  <c r="AH49" i="45"/>
  <c r="AH10" i="45"/>
  <c r="AH68" i="45"/>
  <c r="AH26" i="45"/>
  <c r="AH63" i="45"/>
  <c r="AH17" i="45"/>
  <c r="AH20" i="45"/>
  <c r="AH38" i="45"/>
  <c r="AH54" i="45"/>
  <c r="AH69" i="45"/>
  <c r="AH50" i="45"/>
  <c r="AH62" i="45"/>
  <c r="M19" i="45"/>
  <c r="W9" i="43" a="1"/>
  <c r="W10" i="43"/>
  <c r="W9" i="43"/>
  <c r="N20" i="43"/>
  <c r="N21" i="43"/>
  <c r="N18" i="43"/>
  <c r="N24" i="43"/>
  <c r="N22" i="43"/>
  <c r="N23" i="43"/>
  <c r="N19" i="43"/>
  <c r="AI10" i="43"/>
  <c r="AI36" i="43"/>
  <c r="AI7" i="43"/>
  <c r="AI14" i="43"/>
  <c r="AI26" i="43"/>
  <c r="AI62" i="43"/>
  <c r="AI52" i="43"/>
  <c r="AI4" i="43"/>
  <c r="AI44" i="43"/>
  <c r="AI56" i="43"/>
  <c r="AI22" i="43"/>
  <c r="AI24" i="43"/>
  <c r="AI38" i="43"/>
  <c r="AI33" i="43"/>
  <c r="AI12" i="43"/>
  <c r="AI41" i="43"/>
  <c r="AI58" i="43"/>
  <c r="AI20" i="43"/>
  <c r="AI6" i="43"/>
  <c r="AI9" i="43"/>
  <c r="AI35" i="43"/>
  <c r="AI28" i="43"/>
  <c r="AI48" i="43"/>
  <c r="AI49" i="43"/>
  <c r="AI47" i="43"/>
  <c r="AI5" i="43"/>
  <c r="AI51" i="43"/>
  <c r="AI3" i="43"/>
  <c r="AI21" i="43"/>
  <c r="AI32" i="43"/>
  <c r="AI60" i="43"/>
  <c r="AI61" i="43"/>
  <c r="AI29" i="43"/>
  <c r="AI11" i="43"/>
  <c r="AI37" i="43"/>
  <c r="AI13" i="43"/>
  <c r="AI46" i="43"/>
  <c r="AI31" i="43"/>
  <c r="AI55" i="43"/>
  <c r="AI64" i="43"/>
  <c r="AI8" i="43"/>
  <c r="AI43" i="43"/>
  <c r="AI45" i="43"/>
  <c r="AI63" i="43"/>
  <c r="AI19" i="43"/>
  <c r="AI34" i="43"/>
  <c r="AI27" i="43"/>
  <c r="AI25" i="43"/>
  <c r="AI16" i="43"/>
  <c r="AI54" i="43"/>
  <c r="AI59" i="43"/>
  <c r="AI18" i="43"/>
  <c r="AI30" i="43"/>
  <c r="AI42" i="43"/>
  <c r="AI67" i="43"/>
  <c r="AI65" i="43"/>
  <c r="AI17" i="43"/>
  <c r="AI66" i="43"/>
  <c r="AI40" i="43"/>
  <c r="AI23" i="43"/>
  <c r="AI50" i="43"/>
  <c r="AI57" i="43"/>
  <c r="AI15" i="43"/>
  <c r="AI39" i="43"/>
  <c r="AI53" i="43"/>
  <c r="W3" i="43" a="1"/>
  <c r="W4" i="43"/>
  <c r="W5" i="43"/>
  <c r="W3" i="43"/>
  <c r="O23" i="43"/>
  <c r="D37" i="43"/>
  <c r="J15" i="33"/>
  <c r="N15" i="33"/>
  <c r="O18" i="43"/>
  <c r="D32" i="43"/>
  <c r="J10" i="33"/>
  <c r="N10" i="33"/>
  <c r="O22" i="43"/>
  <c r="D36" i="43"/>
  <c r="J14" i="33"/>
  <c r="N14" i="33"/>
  <c r="O21" i="43"/>
  <c r="D35" i="43"/>
  <c r="J13" i="33"/>
  <c r="N13" i="33"/>
  <c r="O19" i="43"/>
  <c r="D33" i="43"/>
  <c r="J11" i="33"/>
  <c r="N11" i="33"/>
  <c r="O24" i="43"/>
  <c r="D38" i="43"/>
  <c r="J16" i="33"/>
  <c r="N16" i="33"/>
  <c r="O20" i="43"/>
  <c r="D34" i="43"/>
  <c r="J12" i="33"/>
  <c r="N12" i="33"/>
  <c r="AJ21" i="43"/>
  <c r="AJ10" i="43"/>
  <c r="AJ57" i="43"/>
  <c r="AJ5" i="43"/>
  <c r="AJ7" i="43"/>
  <c r="AJ55" i="43"/>
  <c r="AJ29" i="43"/>
  <c r="AJ45" i="43"/>
  <c r="AJ16" i="43"/>
  <c r="AJ51" i="43"/>
  <c r="AJ14" i="43"/>
  <c r="AJ17" i="43"/>
  <c r="AJ12" i="43"/>
  <c r="AJ48" i="43"/>
  <c r="AJ23" i="43"/>
  <c r="AJ11" i="43"/>
  <c r="AJ56" i="43"/>
  <c r="AJ40" i="43"/>
  <c r="AJ18" i="43"/>
  <c r="AJ42" i="43"/>
  <c r="AJ31" i="43"/>
  <c r="AJ25" i="43"/>
  <c r="AJ34" i="43"/>
  <c r="AJ58" i="43"/>
  <c r="AJ6" i="43"/>
  <c r="AJ43" i="43"/>
  <c r="AJ39" i="43"/>
  <c r="AJ66" i="43"/>
  <c r="AJ28" i="43"/>
  <c r="AJ3" i="43"/>
  <c r="AJ46" i="43"/>
  <c r="AJ4" i="43"/>
  <c r="AJ15" i="43"/>
  <c r="AJ33" i="43"/>
  <c r="AJ61" i="43"/>
  <c r="AJ50" i="43"/>
  <c r="AJ60" i="43"/>
  <c r="AJ24" i="43"/>
  <c r="AJ49" i="43"/>
  <c r="AJ37" i="43"/>
  <c r="AJ67" i="43"/>
  <c r="AJ62" i="43"/>
  <c r="AJ30" i="43"/>
  <c r="AJ59" i="43"/>
  <c r="AJ44" i="43"/>
  <c r="AJ41" i="43"/>
  <c r="AJ13" i="43"/>
  <c r="AJ27" i="43"/>
  <c r="AJ36" i="43"/>
  <c r="AJ64" i="43"/>
  <c r="AJ35" i="43"/>
  <c r="AJ65" i="43"/>
  <c r="AJ9" i="43"/>
  <c r="AJ8" i="43"/>
  <c r="AJ20" i="43"/>
  <c r="AJ53" i="43"/>
  <c r="AJ26" i="43"/>
  <c r="AJ32" i="43"/>
  <c r="AJ38" i="43"/>
  <c r="AJ63" i="43"/>
  <c r="AJ22" i="43"/>
  <c r="AJ52" i="43"/>
  <c r="AJ19" i="43"/>
  <c r="AJ47" i="43"/>
  <c r="AJ54" i="43"/>
  <c r="P10" i="33"/>
  <c r="P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<sst xmlns="http://schemas.openxmlformats.org/spreadsheetml/2006/main" count="681" uniqueCount="193">
  <si>
    <t>General Settings</t>
  </si>
  <si>
    <t>Currency</t>
  </si>
  <si>
    <t>Calendar</t>
  </si>
  <si>
    <t>ADDITIONAL SETTINGS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</si>
  <si>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</si>
  <si>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</si>
  <si>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</si>
  <si>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</si>
  <si>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</si>
  <si>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</si>
  <si>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</si>
  <si>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</si>
  <si>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</si>
  <si>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</si>
  <si>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</si>
  <si>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</si>
  <si>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</si>
  <si>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</si>
  <si>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</si>
  <si>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</si>
  <si>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</si>
  <si>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</si>
  <si>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</si>
  <si>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</si>
  <si>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</si>
  <si>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1Y</t>
  </si>
  <si>
    <t>TriggerCounter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</si>
  <si>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</si>
  <si>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</si>
  <si>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</si>
  <si>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</si>
  <si>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</si>
  <si>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</si>
  <si>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</si>
  <si>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</si>
  <si>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</si>
  <si>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</si>
  <si>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</si>
  <si>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</si>
  <si>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</si>
  <si>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</si>
  <si>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</si>
  <si>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</si>
  <si>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</si>
  <si>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</si>
  <si>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</si>
  <si>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</si>
  <si>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</si>
  <si>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</si>
  <si>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</si>
  <si>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</si>
  <si>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</si>
  <si>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</si>
  <si>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</si>
  <si>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</si>
  <si>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</si>
  <si>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</si>
  <si>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 Value</t>
  </si>
  <si>
    <t>3Y</t>
  </si>
  <si>
    <t>Value Date</t>
  </si>
  <si>
    <t>Maturity Date</t>
  </si>
  <si>
    <t>FRA</t>
  </si>
  <si>
    <t>Depo Settings</t>
  </si>
  <si>
    <t>MonotonicCubicNaturalSpline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</si>
  <si>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</si>
  <si>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</si>
  <si>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</si>
  <si>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</si>
  <si>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</si>
  <si>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</si>
  <si>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</si>
  <si>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</si>
  <si>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</si>
  <si>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</si>
  <si>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</si>
  <si>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</si>
  <si>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</si>
  <si>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</si>
  <si>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</si>
  <si>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</si>
  <si>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</si>
  <si>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</si>
  <si>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</si>
  <si>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</si>
  <si>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</si>
  <si>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3M Curve</t>
  </si>
  <si>
    <t>OIS 3M Curve</t>
  </si>
  <si>
    <t>diff</t>
  </si>
  <si>
    <t>3M Market quote</t>
  </si>
  <si>
    <t xml:space="preserve">OIS 3M </t>
  </si>
  <si>
    <t xml:space="preserve">   </t>
  </si>
  <si>
    <t>6M market day counter</t>
  </si>
  <si>
    <t>interp. basis</t>
  </si>
  <si>
    <t>Index</t>
  </si>
  <si>
    <t>Interpolated 6M basis</t>
  </si>
  <si>
    <t>OIS constructor</t>
  </si>
  <si>
    <t>Interpolator</t>
  </si>
  <si>
    <t>selected</t>
  </si>
  <si>
    <t>Basis Interpolation</t>
  </si>
  <si>
    <t>OIS Constructor</t>
  </si>
  <si>
    <t>Synthetic Deposits 6M</t>
  </si>
  <si>
    <t>Instruments Selection</t>
  </si>
  <si>
    <t>Contributions</t>
  </si>
  <si>
    <t>INTERP+FUT</t>
  </si>
  <si>
    <t>Synthetic Deposits 3M</t>
  </si>
  <si>
    <t>Interpolated 3M basis</t>
  </si>
  <si>
    <t>AUD</t>
  </si>
  <si>
    <t>Australia</t>
  </si>
  <si>
    <t>Aonia</t>
  </si>
  <si>
    <t>BBSW</t>
  </si>
  <si>
    <t>3M market day counter</t>
  </si>
  <si>
    <t xml:space="preserve"> </t>
  </si>
  <si>
    <t>Fwd start</t>
  </si>
  <si>
    <t>Spread</t>
  </si>
  <si>
    <t>Swap index</t>
  </si>
  <si>
    <t>QM</t>
  </si>
  <si>
    <t>3AB</t>
  </si>
  <si>
    <t>3BR</t>
  </si>
  <si>
    <t>6BR</t>
  </si>
  <si>
    <t>2Y</t>
  </si>
  <si>
    <t>Interpolated 1M basis</t>
  </si>
  <si>
    <t>0D</t>
  </si>
  <si>
    <t>1BR</t>
  </si>
  <si>
    <t>9M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</si>
  <si>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</si>
  <si>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</si>
  <si>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</si>
  <si>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</si>
  <si>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</si>
  <si>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</si>
  <si>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</si>
  <si>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</si>
  <si>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</si>
  <si>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</si>
  <si>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</si>
  <si>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</si>
  <si>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</si>
  <si>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</si>
  <si>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</si>
  <si>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</si>
  <si>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</si>
  <si>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</si>
  <si>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</si>
  <si>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</si>
  <si>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</si>
  <si>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</si>
  <si>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</si>
  <si>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</si>
  <si>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</si>
  <si>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</si>
  <si>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</si>
  <si>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Start date</t>
  </si>
  <si>
    <t>End date</t>
  </si>
  <si>
    <t>Name</t>
  </si>
  <si>
    <t>Freq</t>
  </si>
  <si>
    <t>Business Day Convention</t>
  </si>
  <si>
    <t>Day Count Convention</t>
  </si>
  <si>
    <t>Quarterly</t>
  </si>
  <si>
    <t>Modified Following</t>
  </si>
  <si>
    <t>Quote</t>
  </si>
  <si>
    <t>RateHelper</t>
  </si>
  <si>
    <t>Include Flag</t>
  </si>
  <si>
    <t>Earliest Date</t>
  </si>
  <si>
    <t>Latest Date</t>
  </si>
  <si>
    <t>instruments</t>
  </si>
  <si>
    <t>error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</si>
  <si>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</si>
  <si>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</si>
  <si>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</si>
  <si>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</si>
  <si>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</si>
  <si>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</si>
  <si>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</si>
  <si>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</si>
  <si>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DayCounter</t>
  </si>
  <si>
    <t>PiecewiseYieldCurve</t>
  </si>
  <si>
    <t>Error</t>
  </si>
  <si>
    <t>Swap 1M Settings</t>
  </si>
  <si>
    <t>Selected</t>
  </si>
  <si>
    <t>Rate</t>
  </si>
  <si>
    <t>Rate Helpers included</t>
  </si>
  <si>
    <t>Pricing Swap 1M</t>
  </si>
  <si>
    <t>Fair Rate</t>
  </si>
  <si>
    <t>Tenor</t>
  </si>
  <si>
    <t>obj</t>
  </si>
  <si>
    <t>Pricing BBSW 1M FRA</t>
  </si>
  <si>
    <t>1M BBSW Curve</t>
  </si>
  <si>
    <t>swap name</t>
  </si>
  <si>
    <t>Semiannual</t>
  </si>
  <si>
    <t>18M</t>
  </si>
  <si>
    <t>Swap 6M Settings</t>
  </si>
  <si>
    <t xml:space="preserve">                     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</si>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</sst>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E+00"/>
    <numFmt numFmtId="176" formatCode="0.000000000"/>
    <numFmt numFmtId="177" formatCode="0.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b/>
      <sz val="8"/>
      <color theme="0"/>
      <name val="Courier New"/>
      <family val="3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9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0" fontId="2" fillId="0" borderId="0"/>
    <xf numFmtId="9" fontId="1" fillId="0" borderId="0" applyFont="0" applyFill="0" applyBorder="0" applyAlignment="0" applyProtection="0"/>
  </cellStyleXfs>
  <cellXfs count="358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6" fillId="5" borderId="4" xfId="14" applyFont="1" applyFill="1" applyBorder="1"/>
    <xf numFmtId="0" fontId="16" fillId="5" borderId="0" xfId="14" applyFont="1" applyFill="1" applyBorder="1"/>
    <xf numFmtId="0" fontId="16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6" fillId="6" borderId="6" xfId="14" applyNumberFormat="1" applyFont="1" applyFill="1" applyBorder="1"/>
    <xf numFmtId="170" fontId="16" fillId="7" borderId="7" xfId="14" applyNumberFormat="1" applyFont="1" applyFill="1" applyBorder="1" applyAlignment="1" applyProtection="1">
      <alignment horizontal="center"/>
    </xf>
    <xf numFmtId="15" fontId="16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6" fillId="7" borderId="7" xfId="14" quotePrefix="1" applyNumberFormat="1" applyFont="1" applyFill="1" applyBorder="1" applyAlignment="1" applyProtection="1">
      <alignment horizontal="left"/>
    </xf>
    <xf numFmtId="170" fontId="16" fillId="7" borderId="7" xfId="14" quotePrefix="1" applyNumberFormat="1" applyFont="1" applyFill="1" applyBorder="1" applyAlignment="1" applyProtection="1">
      <alignment horizontal="center"/>
    </xf>
    <xf numFmtId="172" fontId="16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6" fillId="7" borderId="7" xfId="14" quotePrefix="1" applyNumberFormat="1" applyFont="1" applyFill="1" applyBorder="1" applyAlignment="1" applyProtection="1">
      <alignment horizontal="center"/>
    </xf>
    <xf numFmtId="0" fontId="16" fillId="5" borderId="10" xfId="14" applyFont="1" applyFill="1" applyBorder="1"/>
    <xf numFmtId="0" fontId="16" fillId="5" borderId="11" xfId="14" applyFont="1" applyFill="1" applyBorder="1"/>
    <xf numFmtId="0" fontId="16" fillId="5" borderId="12" xfId="14" applyFont="1" applyFill="1" applyBorder="1"/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5" borderId="18" xfId="14" applyFont="1" applyFill="1" applyBorder="1"/>
    <xf numFmtId="0" fontId="12" fillId="5" borderId="19" xfId="14" applyFont="1" applyFill="1" applyBorder="1"/>
    <xf numFmtId="0" fontId="12" fillId="5" borderId="20" xfId="14" applyFont="1" applyFill="1" applyBorder="1"/>
    <xf numFmtId="0" fontId="12" fillId="0" borderId="0" xfId="14" applyFont="1"/>
    <xf numFmtId="0" fontId="12" fillId="5" borderId="18" xfId="19" applyFont="1" applyFill="1" applyBorder="1" applyAlignment="1">
      <alignment horizontal="center"/>
    </xf>
    <xf numFmtId="0" fontId="12" fillId="5" borderId="19" xfId="19" applyFont="1" applyFill="1" applyBorder="1"/>
    <xf numFmtId="0" fontId="12" fillId="5" borderId="19" xfId="19" applyFont="1" applyFill="1" applyBorder="1" applyAlignment="1">
      <alignment horizontal="center"/>
    </xf>
    <xf numFmtId="0" fontId="12" fillId="5" borderId="20" xfId="18" applyFont="1" applyFill="1" applyBorder="1"/>
    <xf numFmtId="0" fontId="13" fillId="0" borderId="0" xfId="14" applyFont="1"/>
    <xf numFmtId="0" fontId="12" fillId="5" borderId="5" xfId="14" applyFont="1" applyFill="1" applyBorder="1" applyAlignment="1">
      <alignment horizontal="center"/>
    </xf>
    <xf numFmtId="0" fontId="12" fillId="5" borderId="4" xfId="19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19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3" fillId="5" borderId="5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6" fillId="5" borderId="12" xfId="14" applyFont="1" applyFill="1" applyBorder="1"/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0" xfId="15" applyFont="1" applyFill="1" applyBorder="1"/>
    <xf numFmtId="0" fontId="12" fillId="8" borderId="5" xfId="15" applyFont="1" applyFill="1" applyBorder="1"/>
    <xf numFmtId="169" fontId="13" fillId="5" borderId="7" xfId="17" applyNumberFormat="1" applyFont="1" applyFill="1" applyBorder="1" applyAlignment="1">
      <alignment horizontal="center" vertical="center"/>
    </xf>
    <xf numFmtId="0" fontId="12" fillId="6" borderId="6" xfId="15" applyFont="1" applyFill="1" applyBorder="1" applyAlignment="1">
      <alignment horizontal="right" vertical="center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7" fillId="5" borderId="0" xfId="15" applyFont="1" applyFill="1" applyBorder="1" applyAlignment="1">
      <alignment horizontal="right" vertical="center"/>
    </xf>
    <xf numFmtId="0" fontId="18" fillId="5" borderId="0" xfId="15" applyFont="1" applyFill="1" applyBorder="1" applyAlignment="1">
      <alignment horizontal="right" vertical="center"/>
    </xf>
    <xf numFmtId="174" fontId="18" fillId="5" borderId="0" xfId="15" applyNumberFormat="1" applyFont="1" applyFill="1" applyBorder="1" applyAlignment="1">
      <alignment horizontal="right" vertical="center"/>
    </xf>
    <xf numFmtId="0" fontId="12" fillId="5" borderId="24" xfId="14" applyNumberFormat="1" applyFont="1" applyFill="1" applyBorder="1" applyAlignment="1"/>
    <xf numFmtId="0" fontId="12" fillId="0" borderId="4" xfId="20" applyNumberFormat="1" applyFont="1" applyFill="1" applyBorder="1" applyAlignment="1">
      <alignment vertical="center"/>
    </xf>
    <xf numFmtId="172" fontId="12" fillId="0" borderId="5" xfId="20" quotePrefix="1" applyNumberFormat="1" applyFont="1" applyFill="1" applyBorder="1" applyAlignment="1"/>
    <xf numFmtId="0" fontId="12" fillId="0" borderId="26" xfId="20" applyNumberFormat="1" applyFont="1" applyFill="1" applyBorder="1" applyAlignment="1">
      <alignment vertical="center"/>
    </xf>
    <xf numFmtId="172" fontId="12" fillId="0" borderId="27" xfId="20" quotePrefix="1" applyNumberFormat="1" applyFont="1" applyFill="1" applyBorder="1" applyAlignment="1"/>
    <xf numFmtId="0" fontId="12" fillId="0" borderId="10" xfId="20" applyNumberFormat="1" applyFont="1" applyFill="1" applyBorder="1" applyAlignment="1">
      <alignment vertical="center"/>
    </xf>
    <xf numFmtId="172" fontId="12" fillId="0" borderId="12" xfId="20" quotePrefix="1" applyNumberFormat="1" applyFont="1" applyFill="1" applyBorder="1" applyAlignment="1"/>
    <xf numFmtId="172" fontId="12" fillId="0" borderId="28" xfId="20" applyNumberFormat="1" applyFont="1" applyBorder="1" applyAlignment="1"/>
    <xf numFmtId="172" fontId="12" fillId="0" borderId="29" xfId="20" applyNumberFormat="1" applyFont="1" applyBorder="1" applyAlignment="1"/>
    <xf numFmtId="172" fontId="12" fillId="0" borderId="30" xfId="20" applyNumberFormat="1" applyFont="1" applyBorder="1" applyAlignment="1"/>
    <xf numFmtId="172" fontId="12" fillId="0" borderId="4" xfId="20" applyNumberFormat="1" applyFont="1" applyFill="1" applyBorder="1" applyAlignment="1"/>
    <xf numFmtId="172" fontId="12" fillId="0" borderId="5" xfId="20" applyNumberFormat="1" applyFont="1" applyFill="1" applyBorder="1" applyAlignment="1"/>
    <xf numFmtId="172" fontId="12" fillId="0" borderId="26" xfId="20" applyNumberFormat="1" applyFont="1" applyFill="1" applyBorder="1" applyAlignment="1"/>
    <xf numFmtId="172" fontId="12" fillId="0" borderId="27" xfId="20" applyNumberFormat="1" applyFont="1" applyFill="1" applyBorder="1" applyAlignment="1"/>
    <xf numFmtId="172" fontId="12" fillId="0" borderId="10" xfId="20" applyNumberFormat="1" applyFont="1" applyFill="1" applyBorder="1" applyAlignment="1"/>
    <xf numFmtId="172" fontId="12" fillId="0" borderId="12" xfId="20" applyNumberFormat="1" applyFont="1" applyFill="1" applyBorder="1" applyAlignment="1"/>
    <xf numFmtId="0" fontId="12" fillId="0" borderId="4" xfId="20" applyNumberFormat="1" applyFont="1" applyFill="1" applyBorder="1" applyAlignment="1"/>
    <xf numFmtId="0" fontId="12" fillId="0" borderId="26" xfId="20" applyNumberFormat="1" applyFont="1" applyFill="1" applyBorder="1" applyAlignment="1"/>
    <xf numFmtId="0" fontId="12" fillId="0" borderId="10" xfId="20" applyNumberFormat="1" applyFont="1" applyFill="1" applyBorder="1" applyAlignment="1"/>
    <xf numFmtId="0" fontId="12" fillId="5" borderId="28" xfId="19" applyFont="1" applyFill="1" applyBorder="1" applyAlignment="1">
      <alignment horizontal="center"/>
    </xf>
    <xf numFmtId="0" fontId="12" fillId="5" borderId="28" xfId="19" quotePrefix="1" applyFont="1" applyFill="1" applyBorder="1" applyAlignment="1">
      <alignment horizontal="center"/>
    </xf>
    <xf numFmtId="0" fontId="12" fillId="0" borderId="18" xfId="20" applyNumberFormat="1" applyFont="1" applyFill="1" applyBorder="1" applyAlignment="1"/>
    <xf numFmtId="172" fontId="12" fillId="0" borderId="20" xfId="20" quotePrefix="1" applyNumberFormat="1" applyFont="1" applyFill="1" applyBorder="1" applyAlignment="1"/>
    <xf numFmtId="172" fontId="12" fillId="0" borderId="31" xfId="20" applyNumberFormat="1" applyFont="1" applyBorder="1" applyAlignment="1"/>
    <xf numFmtId="172" fontId="12" fillId="0" borderId="18" xfId="20" applyNumberFormat="1" applyFont="1" applyFill="1" applyBorder="1" applyAlignment="1"/>
    <xf numFmtId="172" fontId="12" fillId="0" borderId="20" xfId="20" applyNumberFormat="1" applyFont="1" applyFill="1" applyBorder="1" applyAlignment="1"/>
    <xf numFmtId="0" fontId="12" fillId="8" borderId="33" xfId="14" applyFont="1" applyFill="1" applyBorder="1"/>
    <xf numFmtId="0" fontId="19" fillId="5" borderId="18" xfId="14" applyFont="1" applyFill="1" applyBorder="1" applyAlignment="1"/>
    <xf numFmtId="0" fontId="12" fillId="5" borderId="21" xfId="14" applyNumberFormat="1" applyFont="1" applyFill="1" applyBorder="1" applyAlignment="1"/>
    <xf numFmtId="0" fontId="12" fillId="5" borderId="20" xfId="14" applyNumberFormat="1" applyFont="1" applyFill="1" applyBorder="1" applyAlignment="1"/>
    <xf numFmtId="0" fontId="19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3" xfId="14" applyNumberFormat="1" applyFont="1" applyFill="1" applyBorder="1" applyAlignment="1"/>
    <xf numFmtId="0" fontId="19" fillId="5" borderId="10" xfId="14" applyFont="1" applyFill="1" applyBorder="1" applyAlignment="1"/>
    <xf numFmtId="0" fontId="12" fillId="5" borderId="25" xfId="14" applyNumberFormat="1" applyFont="1" applyFill="1" applyBorder="1" applyAlignment="1"/>
    <xf numFmtId="0" fontId="19" fillId="5" borderId="35" xfId="14" applyFont="1" applyFill="1" applyBorder="1" applyAlignment="1"/>
    <xf numFmtId="0" fontId="12" fillId="5" borderId="28" xfId="14" applyFont="1" applyFill="1" applyBorder="1" applyAlignment="1">
      <alignment horizontal="center"/>
    </xf>
    <xf numFmtId="0" fontId="12" fillId="5" borderId="30" xfId="14" applyFont="1" applyFill="1" applyBorder="1" applyAlignment="1">
      <alignment horizontal="center"/>
    </xf>
    <xf numFmtId="0" fontId="19" fillId="5" borderId="36" xfId="14" applyFont="1" applyFill="1" applyBorder="1" applyAlignment="1"/>
    <xf numFmtId="0" fontId="19" fillId="5" borderId="32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28" xfId="14" applyFont="1" applyBorder="1"/>
    <xf numFmtId="0" fontId="13" fillId="5" borderId="28" xfId="14" applyFont="1" applyFill="1" applyBorder="1" applyAlignment="1">
      <alignment horizontal="center"/>
    </xf>
    <xf numFmtId="0" fontId="12" fillId="0" borderId="28" xfId="19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center" vertical="center"/>
    </xf>
    <xf numFmtId="169" fontId="13" fillId="5" borderId="0" xfId="17" applyNumberFormat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37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7" fillId="5" borderId="11" xfId="15" applyFont="1" applyFill="1" applyBorder="1" applyAlignment="1">
      <alignment horizontal="right" vertical="center"/>
    </xf>
    <xf numFmtId="0" fontId="18" fillId="5" borderId="11" xfId="15" applyFont="1" applyFill="1" applyBorder="1" applyAlignment="1">
      <alignment horizontal="right" vertical="center"/>
    </xf>
    <xf numFmtId="0" fontId="15" fillId="4" borderId="1" xfId="14" applyFont="1" applyFill="1" applyBorder="1" applyAlignment="1">
      <alignment horizontal="centerContinuous"/>
    </xf>
    <xf numFmtId="0" fontId="15" fillId="4" borderId="2" xfId="14" applyFont="1" applyFill="1" applyBorder="1" applyAlignment="1">
      <alignment horizontal="centerContinuous"/>
    </xf>
    <xf numFmtId="0" fontId="15" fillId="4" borderId="3" xfId="14" applyFont="1" applyFill="1" applyBorder="1" applyAlignment="1">
      <alignment horizontal="centerContinuous"/>
    </xf>
    <xf numFmtId="0" fontId="12" fillId="8" borderId="0" xfId="0" applyFont="1" applyFill="1"/>
    <xf numFmtId="172" fontId="12" fillId="8" borderId="0" xfId="0" applyNumberFormat="1" applyFont="1" applyFill="1"/>
    <xf numFmtId="0" fontId="12" fillId="8" borderId="32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8" xfId="17" applyNumberFormat="1" applyFont="1" applyFill="1" applyBorder="1"/>
    <xf numFmtId="172" fontId="12" fillId="8" borderId="23" xfId="0" applyNumberFormat="1" applyFont="1" applyFill="1" applyBorder="1"/>
    <xf numFmtId="0" fontId="12" fillId="8" borderId="35" xfId="0" applyFont="1" applyFill="1" applyBorder="1" applyAlignment="1"/>
    <xf numFmtId="171" fontId="12" fillId="8" borderId="24" xfId="0" applyNumberFormat="1" applyFont="1" applyFill="1" applyBorder="1" applyAlignment="1"/>
    <xf numFmtId="172" fontId="12" fillId="8" borderId="24" xfId="0" applyNumberFormat="1" applyFont="1" applyFill="1" applyBorder="1" applyAlignment="1"/>
    <xf numFmtId="172" fontId="12" fillId="8" borderId="24" xfId="17" applyNumberFormat="1" applyFont="1" applyFill="1" applyBorder="1"/>
    <xf numFmtId="172" fontId="12" fillId="8" borderId="25" xfId="0" applyNumberFormat="1" applyFont="1" applyFill="1" applyBorder="1"/>
    <xf numFmtId="0" fontId="22" fillId="10" borderId="40" xfId="0" applyFont="1" applyFill="1" applyBorder="1" applyAlignment="1">
      <alignment horizontal="center" vertical="center" wrapText="1"/>
    </xf>
    <xf numFmtId="0" fontId="22" fillId="10" borderId="41" xfId="0" applyFont="1" applyFill="1" applyBorder="1" applyAlignment="1">
      <alignment horizontal="center" vertical="center" wrapText="1"/>
    </xf>
    <xf numFmtId="0" fontId="22" fillId="10" borderId="42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0" borderId="34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43" xfId="17" applyNumberFormat="1" applyFont="1" applyFill="1" applyBorder="1"/>
    <xf numFmtId="0" fontId="22" fillId="10" borderId="44" xfId="0" applyFont="1" applyFill="1" applyBorder="1" applyAlignment="1">
      <alignment horizontal="center" vertical="center" wrapText="1"/>
    </xf>
    <xf numFmtId="0" fontId="22" fillId="10" borderId="46" xfId="0" applyFont="1" applyFill="1" applyBorder="1" applyAlignment="1">
      <alignment horizontal="center" vertical="center" wrapText="1"/>
    </xf>
    <xf numFmtId="171" fontId="12" fillId="8" borderId="48" xfId="0" applyNumberFormat="1" applyFont="1" applyFill="1" applyBorder="1"/>
    <xf numFmtId="172" fontId="12" fillId="8" borderId="14" xfId="0" applyNumberFormat="1" applyFont="1" applyFill="1" applyBorder="1"/>
    <xf numFmtId="172" fontId="12" fillId="8" borderId="49" xfId="0" applyNumberFormat="1" applyFont="1" applyFill="1" applyBorder="1"/>
    <xf numFmtId="171" fontId="12" fillId="8" borderId="32" xfId="0" applyNumberFormat="1" applyFont="1" applyFill="1" applyBorder="1"/>
    <xf numFmtId="172" fontId="12" fillId="8" borderId="8" xfId="0" applyNumberFormat="1" applyFont="1" applyFill="1" applyBorder="1"/>
    <xf numFmtId="171" fontId="12" fillId="8" borderId="35" xfId="0" applyNumberFormat="1" applyFont="1" applyFill="1" applyBorder="1"/>
    <xf numFmtId="172" fontId="12" fillId="8" borderId="24" xfId="0" applyNumberFormat="1" applyFont="1" applyFill="1" applyBorder="1"/>
    <xf numFmtId="172" fontId="12" fillId="8" borderId="23" xfId="17" applyNumberFormat="1" applyFont="1" applyFill="1" applyBorder="1"/>
    <xf numFmtId="172" fontId="12" fillId="8" borderId="25" xfId="17" applyNumberFormat="1" applyFont="1" applyFill="1" applyBorder="1"/>
    <xf numFmtId="172" fontId="12" fillId="8" borderId="14" xfId="17" applyNumberFormat="1" applyFont="1" applyFill="1" applyBorder="1"/>
    <xf numFmtId="171" fontId="12" fillId="8" borderId="14" xfId="0" applyNumberFormat="1" applyFont="1" applyFill="1" applyBorder="1" applyAlignment="1"/>
    <xf numFmtId="171" fontId="12" fillId="8" borderId="14" xfId="0" applyNumberFormat="1" applyFont="1" applyFill="1" applyBorder="1"/>
    <xf numFmtId="0" fontId="12" fillId="8" borderId="14" xfId="0" applyFont="1" applyFill="1" applyBorder="1"/>
    <xf numFmtId="171" fontId="12" fillId="8" borderId="8" xfId="0" applyNumberFormat="1" applyFont="1" applyFill="1" applyBorder="1"/>
    <xf numFmtId="0" fontId="12" fillId="8" borderId="8" xfId="0" applyFont="1" applyFill="1" applyBorder="1"/>
    <xf numFmtId="171" fontId="12" fillId="8" borderId="24" xfId="0" applyNumberFormat="1" applyFont="1" applyFill="1" applyBorder="1"/>
    <xf numFmtId="0" fontId="12" fillId="8" borderId="24" xfId="0" applyFont="1" applyFill="1" applyBorder="1"/>
    <xf numFmtId="0" fontId="12" fillId="8" borderId="32" xfId="0" applyFont="1" applyFill="1" applyBorder="1" applyAlignment="1">
      <alignment horizontal="center" vertical="center"/>
    </xf>
    <xf numFmtId="0" fontId="12" fillId="8" borderId="35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3" fillId="10" borderId="36" xfId="0" applyFont="1" applyFill="1" applyBorder="1" applyAlignment="1">
      <alignment horizontal="center" vertical="center" wrapText="1"/>
    </xf>
    <xf numFmtId="0" fontId="23" fillId="10" borderId="21" xfId="0" applyFont="1" applyFill="1" applyBorder="1" applyAlignment="1">
      <alignment horizontal="center" vertical="center" wrapText="1"/>
    </xf>
    <xf numFmtId="0" fontId="23" fillId="10" borderId="38" xfId="0" applyFont="1" applyFill="1" applyBorder="1" applyAlignment="1">
      <alignment horizontal="center" vertical="center" wrapText="1"/>
    </xf>
    <xf numFmtId="0" fontId="0" fillId="0" borderId="32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23" xfId="0" applyNumberFormat="1" applyBorder="1"/>
    <xf numFmtId="0" fontId="0" fillId="0" borderId="35" xfId="0" applyBorder="1"/>
    <xf numFmtId="171" fontId="0" fillId="0" borderId="24" xfId="0" applyNumberFormat="1" applyBorder="1"/>
    <xf numFmtId="172" fontId="0" fillId="0" borderId="24" xfId="0" applyNumberFormat="1" applyBorder="1"/>
    <xf numFmtId="0" fontId="0" fillId="0" borderId="24" xfId="0" applyBorder="1"/>
    <xf numFmtId="172" fontId="0" fillId="0" borderId="25" xfId="0" applyNumberFormat="1" applyBorder="1"/>
    <xf numFmtId="171" fontId="0" fillId="0" borderId="32" xfId="0" applyNumberFormat="1" applyBorder="1"/>
    <xf numFmtId="0" fontId="6" fillId="0" borderId="0" xfId="0" applyFont="1"/>
    <xf numFmtId="0" fontId="12" fillId="8" borderId="0" xfId="0" applyFont="1" applyFill="1" applyAlignment="1">
      <alignment horizontal="center" vertical="center"/>
    </xf>
    <xf numFmtId="0" fontId="12" fillId="8" borderId="17" xfId="0" applyFont="1" applyFill="1" applyBorder="1"/>
    <xf numFmtId="0" fontId="12" fillId="8" borderId="13" xfId="0" applyFont="1" applyFill="1" applyBorder="1"/>
    <xf numFmtId="0" fontId="12" fillId="8" borderId="43" xfId="0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2" xfId="0" applyNumberFormat="1" applyFont="1" applyFill="1" applyBorder="1" applyAlignment="1">
      <alignment horizontal="center" vertical="center"/>
    </xf>
    <xf numFmtId="171" fontId="12" fillId="8" borderId="45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/>
    <xf numFmtId="0" fontId="24" fillId="8" borderId="32" xfId="0" applyFont="1" applyFill="1" applyBorder="1" applyAlignment="1"/>
    <xf numFmtId="172" fontId="24" fillId="8" borderId="23" xfId="17" applyNumberFormat="1" applyFont="1" applyFill="1" applyBorder="1"/>
    <xf numFmtId="171" fontId="12" fillId="8" borderId="37" xfId="0" applyNumberFormat="1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32" xfId="0" applyNumberFormat="1" applyFont="1" applyFill="1" applyBorder="1"/>
    <xf numFmtId="173" fontId="12" fillId="8" borderId="8" xfId="0" applyNumberFormat="1" applyFont="1" applyFill="1" applyBorder="1"/>
    <xf numFmtId="173" fontId="12" fillId="8" borderId="23" xfId="0" applyNumberFormat="1" applyFont="1" applyFill="1" applyBorder="1"/>
    <xf numFmtId="173" fontId="12" fillId="8" borderId="35" xfId="0" applyNumberFormat="1" applyFont="1" applyFill="1" applyBorder="1"/>
    <xf numFmtId="173" fontId="12" fillId="8" borderId="24" xfId="0" applyNumberFormat="1" applyFont="1" applyFill="1" applyBorder="1"/>
    <xf numFmtId="173" fontId="12" fillId="8" borderId="25" xfId="0" applyNumberFormat="1" applyFont="1" applyFill="1" applyBorder="1"/>
    <xf numFmtId="0" fontId="22" fillId="10" borderId="1" xfId="0" applyFont="1" applyFill="1" applyBorder="1" applyAlignment="1">
      <alignment horizontal="centerContinuous" vertical="center" wrapText="1"/>
    </xf>
    <xf numFmtId="0" fontId="22" fillId="10" borderId="2" xfId="0" applyFont="1" applyFill="1" applyBorder="1" applyAlignment="1">
      <alignment horizontal="centerContinuous" vertical="center" wrapText="1"/>
    </xf>
    <xf numFmtId="0" fontId="22" fillId="10" borderId="3" xfId="0" applyFont="1" applyFill="1" applyBorder="1" applyAlignment="1">
      <alignment horizontal="centerContinuous" vertical="center" wrapText="1"/>
    </xf>
    <xf numFmtId="0" fontId="22" fillId="10" borderId="22" xfId="0" applyFont="1" applyFill="1" applyBorder="1" applyAlignment="1">
      <alignment horizontal="center" vertical="center" wrapText="1"/>
    </xf>
    <xf numFmtId="0" fontId="22" fillId="10" borderId="39" xfId="0" applyFont="1" applyFill="1" applyBorder="1" applyAlignment="1">
      <alignment horizontal="center" vertical="center" wrapText="1"/>
    </xf>
    <xf numFmtId="175" fontId="12" fillId="8" borderId="0" xfId="0" applyNumberFormat="1" applyFont="1" applyFill="1"/>
    <xf numFmtId="171" fontId="12" fillId="9" borderId="47" xfId="0" applyNumberFormat="1" applyFont="1" applyFill="1" applyBorder="1" applyAlignment="1">
      <alignment horizontal="center" vertical="center"/>
    </xf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5" xfId="0" applyNumberFormat="1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5" xfId="0" applyNumberFormat="1" applyFont="1" applyFill="1" applyBorder="1" applyAlignment="1">
      <alignment horizontal="left" vertical="center"/>
    </xf>
    <xf numFmtId="0" fontId="12" fillId="5" borderId="19" xfId="31" applyFont="1" applyFill="1" applyBorder="1"/>
    <xf numFmtId="0" fontId="12" fillId="0" borderId="19" xfId="31" applyFont="1" applyBorder="1"/>
    <xf numFmtId="0" fontId="12" fillId="5" borderId="20" xfId="31" applyFont="1" applyFill="1" applyBorder="1"/>
    <xf numFmtId="0" fontId="12" fillId="0" borderId="0" xfId="31" applyFont="1"/>
    <xf numFmtId="0" fontId="19" fillId="5" borderId="9" xfId="31" applyFont="1" applyFill="1" applyBorder="1" applyAlignment="1">
      <alignment horizontal="center" vertical="center" wrapText="1"/>
    </xf>
    <xf numFmtId="0" fontId="12" fillId="5" borderId="5" xfId="31" applyFont="1" applyFill="1" applyBorder="1"/>
    <xf numFmtId="0" fontId="12" fillId="8" borderId="6" xfId="34" applyNumberFormat="1" applyFont="1" applyFill="1" applyBorder="1" applyAlignment="1">
      <alignment horizontal="center"/>
    </xf>
    <xf numFmtId="0" fontId="12" fillId="5" borderId="6" xfId="31" applyNumberFormat="1" applyFont="1" applyFill="1" applyBorder="1" applyAlignment="1">
      <alignment horizontal="center"/>
    </xf>
    <xf numFmtId="172" fontId="12" fillId="5" borderId="6" xfId="39" applyNumberFormat="1" applyFont="1" applyFill="1" applyBorder="1" applyAlignment="1">
      <alignment horizontal="left"/>
    </xf>
    <xf numFmtId="0" fontId="12" fillId="5" borderId="6" xfId="31" applyNumberFormat="1" applyFont="1" applyFill="1" applyBorder="1" applyAlignment="1"/>
    <xf numFmtId="0" fontId="12" fillId="5" borderId="6" xfId="31" applyNumberFormat="1" applyFont="1" applyFill="1" applyBorder="1" applyAlignment="1">
      <alignment horizontal="left"/>
    </xf>
    <xf numFmtId="49" fontId="12" fillId="0" borderId="9" xfId="39" applyNumberFormat="1" applyFont="1" applyFill="1" applyBorder="1" applyAlignment="1">
      <alignment horizontal="center"/>
    </xf>
    <xf numFmtId="0" fontId="12" fillId="5" borderId="11" xfId="31" applyFont="1" applyFill="1" applyBorder="1"/>
    <xf numFmtId="0" fontId="12" fillId="5" borderId="11" xfId="31" applyFont="1" applyFill="1" applyBorder="1" applyAlignment="1">
      <alignment horizontal="left"/>
    </xf>
    <xf numFmtId="0" fontId="12" fillId="5" borderId="12" xfId="31" applyFont="1" applyFill="1" applyBorder="1"/>
    <xf numFmtId="0" fontId="12" fillId="5" borderId="18" xfId="31" applyFont="1" applyFill="1" applyBorder="1"/>
    <xf numFmtId="0" fontId="19" fillId="5" borderId="32" xfId="31" applyFont="1" applyFill="1" applyBorder="1" applyAlignment="1">
      <alignment horizontal="center" vertical="center" wrapText="1"/>
    </xf>
    <xf numFmtId="0" fontId="12" fillId="5" borderId="14" xfId="31" applyNumberFormat="1" applyFont="1" applyFill="1" applyBorder="1" applyAlignment="1">
      <alignment horizontal="center"/>
    </xf>
    <xf numFmtId="0" fontId="12" fillId="8" borderId="14" xfId="34" applyNumberFormat="1" applyFont="1" applyFill="1" applyBorder="1" applyAlignment="1">
      <alignment horizontal="center"/>
    </xf>
    <xf numFmtId="172" fontId="12" fillId="5" borderId="14" xfId="39" applyNumberFormat="1" applyFont="1" applyFill="1" applyBorder="1" applyAlignment="1">
      <alignment horizontal="left"/>
    </xf>
    <xf numFmtId="0" fontId="12" fillId="5" borderId="14" xfId="31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center"/>
    </xf>
    <xf numFmtId="0" fontId="12" fillId="8" borderId="8" xfId="34" applyNumberFormat="1" applyFont="1" applyFill="1" applyBorder="1" applyAlignment="1">
      <alignment horizontal="center"/>
    </xf>
    <xf numFmtId="172" fontId="12" fillId="5" borderId="8" xfId="39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left"/>
    </xf>
    <xf numFmtId="49" fontId="12" fillId="0" borderId="32" xfId="39" applyNumberFormat="1" applyFont="1" applyFill="1" applyBorder="1" applyAlignment="1">
      <alignment horizontal="center"/>
    </xf>
    <xf numFmtId="0" fontId="12" fillId="5" borderId="15" xfId="31" applyNumberFormat="1" applyFont="1" applyFill="1" applyBorder="1" applyAlignment="1">
      <alignment horizontal="center"/>
    </xf>
    <xf numFmtId="0" fontId="12" fillId="8" borderId="15" xfId="34" applyNumberFormat="1" applyFont="1" applyFill="1" applyBorder="1" applyAlignment="1">
      <alignment horizontal="center"/>
    </xf>
    <xf numFmtId="172" fontId="12" fillId="5" borderId="15" xfId="39" applyNumberFormat="1" applyFont="1" applyFill="1" applyBorder="1" applyAlignment="1">
      <alignment horizontal="left"/>
    </xf>
    <xf numFmtId="0" fontId="12" fillId="5" borderId="15" xfId="31" applyNumberFormat="1" applyFont="1" applyFill="1" applyBorder="1" applyAlignment="1">
      <alignment horizontal="left"/>
    </xf>
    <xf numFmtId="0" fontId="12" fillId="5" borderId="10" xfId="31" applyFont="1" applyFill="1" applyBorder="1"/>
    <xf numFmtId="171" fontId="12" fillId="0" borderId="0" xfId="31" applyNumberFormat="1" applyFont="1"/>
    <xf numFmtId="172" fontId="12" fillId="0" borderId="0" xfId="31" applyNumberFormat="1" applyFont="1"/>
    <xf numFmtId="0" fontId="22" fillId="10" borderId="50" xfId="41" applyFont="1" applyFill="1" applyBorder="1" applyAlignment="1">
      <alignment horizontal="center" vertical="center"/>
    </xf>
    <xf numFmtId="172" fontId="12" fillId="8" borderId="0" xfId="17" applyNumberFormat="1" applyFont="1" applyFill="1" applyBorder="1"/>
    <xf numFmtId="0" fontId="12" fillId="8" borderId="10" xfId="0" applyFont="1" applyFill="1" applyBorder="1"/>
    <xf numFmtId="173" fontId="12" fillId="8" borderId="51" xfId="0" applyNumberFormat="1" applyFont="1" applyFill="1" applyBorder="1"/>
    <xf numFmtId="0" fontId="12" fillId="8" borderId="8" xfId="14" applyNumberFormat="1" applyFont="1" applyFill="1" applyBorder="1" applyAlignment="1">
      <alignment horizontal="center"/>
    </xf>
    <xf numFmtId="0" fontId="12" fillId="8" borderId="8" xfId="31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5" xfId="14" applyNumberFormat="1" applyFont="1" applyFill="1" applyBorder="1" applyAlignment="1">
      <alignment horizontal="center"/>
    </xf>
    <xf numFmtId="0" fontId="12" fillId="8" borderId="15" xfId="31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172" fontId="12" fillId="0" borderId="0" xfId="42" applyNumberFormat="1" applyFont="1"/>
    <xf numFmtId="0" fontId="12" fillId="0" borderId="0" xfId="14" applyFont="1" applyAlignment="1">
      <alignment horizontal="left"/>
    </xf>
    <xf numFmtId="0" fontId="12" fillId="8" borderId="4" xfId="14" applyFont="1" applyFill="1" applyBorder="1"/>
    <xf numFmtId="0" fontId="12" fillId="8" borderId="0" xfId="14" applyFont="1" applyFill="1" applyBorder="1"/>
    <xf numFmtId="0" fontId="12" fillId="8" borderId="0" xfId="14" applyFont="1" applyFill="1"/>
    <xf numFmtId="0" fontId="12" fillId="8" borderId="4" xfId="14" applyFont="1" applyFill="1" applyBorder="1" applyAlignment="1">
      <alignment horizontal="center"/>
    </xf>
    <xf numFmtId="0" fontId="12" fillId="8" borderId="8" xfId="14" applyFont="1" applyFill="1" applyBorder="1"/>
    <xf numFmtId="172" fontId="12" fillId="8" borderId="8" xfId="14" applyNumberFormat="1" applyFont="1" applyFill="1" applyBorder="1"/>
    <xf numFmtId="171" fontId="12" fillId="8" borderId="8" xfId="14" applyNumberFormat="1" applyFont="1" applyFill="1" applyBorder="1"/>
    <xf numFmtId="0" fontId="12" fillId="8" borderId="15" xfId="14" applyFont="1" applyFill="1" applyBorder="1"/>
    <xf numFmtId="172" fontId="12" fillId="8" borderId="15" xfId="14" applyNumberFormat="1" applyFont="1" applyFill="1" applyBorder="1"/>
    <xf numFmtId="171" fontId="12" fillId="8" borderId="15" xfId="14" applyNumberFormat="1" applyFont="1" applyFill="1" applyBorder="1"/>
    <xf numFmtId="0" fontId="27" fillId="10" borderId="6" xfId="14" applyFont="1" applyFill="1" applyBorder="1" applyAlignment="1">
      <alignment horizontal="center" vertical="center" wrapText="1"/>
    </xf>
    <xf numFmtId="0" fontId="27" fillId="10" borderId="6" xfId="31" applyFont="1" applyFill="1" applyBorder="1" applyAlignment="1">
      <alignment horizontal="center" vertical="center" wrapText="1"/>
    </xf>
    <xf numFmtId="0" fontId="22" fillId="10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0" borderId="6" xfId="14" applyFont="1" applyFill="1" applyBorder="1" applyAlignment="1">
      <alignment horizontal="center" vertical="center" wrapText="1"/>
    </xf>
    <xf numFmtId="1" fontId="12" fillId="5" borderId="6" xfId="15" applyNumberFormat="1" applyFont="1" applyFill="1" applyBorder="1" applyAlignment="1">
      <alignment horizontal="center"/>
    </xf>
    <xf numFmtId="169" fontId="12" fillId="5" borderId="6" xfId="25" applyNumberFormat="1" applyFont="1" applyFill="1" applyBorder="1" applyAlignment="1">
      <alignment horizontal="center"/>
    </xf>
    <xf numFmtId="169" fontId="12" fillId="5" borderId="7" xfId="25" applyNumberFormat="1" applyFont="1" applyFill="1" applyBorder="1" applyAlignment="1">
      <alignment horizontal="center"/>
    </xf>
    <xf numFmtId="0" fontId="12" fillId="5" borderId="0" xfId="15" applyFont="1" applyFill="1" applyBorder="1" applyAlignment="1">
      <alignment horizontal="right"/>
    </xf>
    <xf numFmtId="0" fontId="18" fillId="5" borderId="0" xfId="15" applyFont="1" applyFill="1" applyBorder="1" applyAlignment="1">
      <alignment horizontal="right"/>
    </xf>
    <xf numFmtId="169" fontId="12" fillId="11" borderId="6" xfId="34" applyNumberFormat="1" applyFont="1" applyFill="1" applyBorder="1" applyAlignment="1">
      <alignment horizontal="center"/>
    </xf>
    <xf numFmtId="168" fontId="6" fillId="5" borderId="6" xfId="15" applyNumberFormat="1" applyFont="1" applyFill="1" applyBorder="1" applyAlignment="1">
      <alignment horizontal="center"/>
    </xf>
    <xf numFmtId="0" fontId="19" fillId="6" borderId="14" xfId="0" applyFont="1" applyFill="1" applyBorder="1" applyAlignment="1">
      <alignment horizontal="right"/>
    </xf>
    <xf numFmtId="0" fontId="19" fillId="6" borderId="15" xfId="0" applyFont="1" applyFill="1" applyBorder="1" applyAlignment="1">
      <alignment horizontal="right"/>
    </xf>
    <xf numFmtId="1" fontId="18" fillId="7" borderId="54" xfId="0" applyNumberFormat="1" applyFont="1" applyFill="1" applyBorder="1" applyAlignment="1">
      <alignment horizontal="left"/>
    </xf>
    <xf numFmtId="0" fontId="17" fillId="5" borderId="0" xfId="15" applyFont="1" applyFill="1" applyBorder="1" applyAlignment="1">
      <alignment horizontal="right"/>
    </xf>
    <xf numFmtId="169" fontId="12" fillId="5" borderId="14" xfId="0" applyNumberFormat="1" applyFont="1" applyFill="1" applyBorder="1" applyAlignment="1">
      <alignment horizontal="right"/>
    </xf>
    <xf numFmtId="176" fontId="12" fillId="5" borderId="53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0" fontId="12" fillId="5" borderId="54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left"/>
    </xf>
    <xf numFmtId="0" fontId="12" fillId="0" borderId="14" xfId="14" applyFont="1" applyBorder="1"/>
    <xf numFmtId="0" fontId="12" fillId="0" borderId="8" xfId="14" applyFont="1" applyBorder="1"/>
    <xf numFmtId="0" fontId="12" fillId="0" borderId="15" xfId="14" applyFont="1" applyBorder="1"/>
    <xf numFmtId="176" fontId="12" fillId="8" borderId="8" xfId="14" applyNumberFormat="1" applyFont="1" applyFill="1" applyBorder="1"/>
    <xf numFmtId="176" fontId="12" fillId="8" borderId="14" xfId="14" applyNumberFormat="1" applyFont="1" applyFill="1" applyBorder="1"/>
    <xf numFmtId="176" fontId="12" fillId="8" borderId="15" xfId="14" applyNumberFormat="1" applyFont="1" applyFill="1" applyBorder="1"/>
    <xf numFmtId="0" fontId="12" fillId="7" borderId="53" xfId="0" quotePrefix="1" applyNumberFormat="1" applyFont="1" applyFill="1" applyBorder="1" applyAlignment="1">
      <alignment horizontal="center"/>
    </xf>
    <xf numFmtId="0" fontId="22" fillId="10" borderId="1" xfId="14" applyFont="1" applyFill="1" applyBorder="1" applyAlignment="1">
      <alignment horizontal="centerContinuous" vertical="center"/>
    </xf>
    <xf numFmtId="0" fontId="22" fillId="10" borderId="2" xfId="14" applyFont="1" applyFill="1" applyBorder="1" applyAlignment="1">
      <alignment horizontal="centerContinuous" vertical="center"/>
    </xf>
    <xf numFmtId="0" fontId="22" fillId="10" borderId="3" xfId="14" applyFont="1" applyFill="1" applyBorder="1" applyAlignment="1">
      <alignment horizontal="centerContinuous" vertical="center"/>
    </xf>
    <xf numFmtId="172" fontId="12" fillId="8" borderId="21" xfId="14" applyNumberFormat="1" applyFont="1" applyFill="1" applyBorder="1"/>
    <xf numFmtId="172" fontId="12" fillId="8" borderId="24" xfId="14" applyNumberFormat="1" applyFont="1" applyFill="1" applyBorder="1"/>
    <xf numFmtId="0" fontId="22" fillId="10" borderId="56" xfId="41" applyFont="1" applyFill="1" applyBorder="1" applyAlignment="1">
      <alignment horizontal="center" vertical="center"/>
    </xf>
    <xf numFmtId="0" fontId="22" fillId="10" borderId="39" xfId="41" applyFont="1" applyFill="1" applyBorder="1" applyAlignment="1">
      <alignment horizontal="center" vertical="center"/>
    </xf>
    <xf numFmtId="0" fontId="22" fillId="10" borderId="16" xfId="14" applyFont="1" applyFill="1" applyBorder="1" applyAlignment="1">
      <alignment horizontal="centerContinuous" vertical="center"/>
    </xf>
    <xf numFmtId="0" fontId="22" fillId="10" borderId="52" xfId="14" applyFont="1" applyFill="1" applyBorder="1" applyAlignment="1">
      <alignment horizontal="centerContinuous" vertical="center"/>
    </xf>
    <xf numFmtId="0" fontId="22" fillId="10" borderId="7" xfId="14" applyFont="1" applyFill="1" applyBorder="1" applyAlignment="1">
      <alignment horizontal="centerContinuous" vertical="center"/>
    </xf>
    <xf numFmtId="0" fontId="12" fillId="10" borderId="3" xfId="14" applyFont="1" applyFill="1" applyBorder="1" applyAlignment="1">
      <alignment horizontal="centerContinuous"/>
    </xf>
    <xf numFmtId="0" fontId="12" fillId="8" borderId="13" xfId="14" applyFont="1" applyFill="1" applyBorder="1"/>
    <xf numFmtId="0" fontId="12" fillId="8" borderId="55" xfId="14" applyFont="1" applyFill="1" applyBorder="1"/>
    <xf numFmtId="171" fontId="26" fillId="8" borderId="21" xfId="41" applyNumberFormat="1" applyFont="1" applyFill="1" applyBorder="1"/>
    <xf numFmtId="0" fontId="26" fillId="8" borderId="21" xfId="41" applyFont="1" applyFill="1" applyBorder="1"/>
    <xf numFmtId="177" fontId="26" fillId="8" borderId="21" xfId="41" applyNumberFormat="1" applyFont="1" applyFill="1" applyBorder="1"/>
    <xf numFmtId="172" fontId="26" fillId="8" borderId="38" xfId="41" applyNumberFormat="1" applyFont="1" applyFill="1" applyBorder="1"/>
    <xf numFmtId="171" fontId="26" fillId="8" borderId="8" xfId="41" applyNumberFormat="1" applyFont="1" applyFill="1" applyBorder="1"/>
    <xf numFmtId="0" fontId="26" fillId="8" borderId="8" xfId="41" applyFont="1" applyFill="1" applyBorder="1"/>
    <xf numFmtId="177" fontId="26" fillId="8" borderId="8" xfId="41" applyNumberFormat="1" applyFont="1" applyFill="1" applyBorder="1"/>
    <xf numFmtId="172" fontId="26" fillId="8" borderId="23" xfId="41" applyNumberFormat="1" applyFont="1" applyFill="1" applyBorder="1"/>
    <xf numFmtId="171" fontId="26" fillId="8" borderId="24" xfId="41" applyNumberFormat="1" applyFont="1" applyFill="1" applyBorder="1"/>
    <xf numFmtId="0" fontId="26" fillId="8" borderId="24" xfId="41" applyFont="1" applyFill="1" applyBorder="1"/>
    <xf numFmtId="177" fontId="26" fillId="8" borderId="24" xfId="41" applyNumberFormat="1" applyFont="1" applyFill="1" applyBorder="1"/>
    <xf numFmtId="172" fontId="26" fillId="8" borderId="25" xfId="41" applyNumberFormat="1" applyFont="1" applyFill="1" applyBorder="1"/>
    <xf numFmtId="0" fontId="12" fillId="8" borderId="36" xfId="14" applyFont="1" applyFill="1" applyBorder="1" applyAlignment="1">
      <alignment horizontal="center" vertical="center"/>
    </xf>
    <xf numFmtId="0" fontId="12" fillId="8" borderId="32" xfId="14" applyFont="1" applyFill="1" applyBorder="1" applyAlignment="1">
      <alignment horizontal="center" vertical="center"/>
    </xf>
    <xf numFmtId="0" fontId="12" fillId="8" borderId="35" xfId="14" applyFont="1" applyFill="1" applyBorder="1" applyAlignment="1">
      <alignment horizontal="center" vertical="center"/>
    </xf>
    <xf numFmtId="0" fontId="12" fillId="8" borderId="35" xfId="0" applyFont="1" applyFill="1" applyBorder="1"/>
    <xf numFmtId="0" fontId="12" fillId="5" borderId="20" xfId="15" applyFont="1" applyFill="1" applyBorder="1"/>
    <xf numFmtId="0" fontId="18" fillId="5" borderId="5" xfId="15" applyFont="1" applyFill="1" applyBorder="1" applyAlignment="1">
      <alignment horizontal="right"/>
    </xf>
    <xf numFmtId="0" fontId="18" fillId="5" borderId="5" xfId="15" quotePrefix="1" applyFont="1" applyFill="1" applyBorder="1" applyAlignment="1">
      <alignment horizontal="left"/>
    </xf>
    <xf numFmtId="0" fontId="12" fillId="5" borderId="31" xfId="14" applyNumberFormat="1" applyFont="1" applyFill="1" applyBorder="1" applyAlignment="1"/>
    <xf numFmtId="0" fontId="12" fillId="5" borderId="28" xfId="14" applyNumberFormat="1" applyFont="1" applyFill="1" applyBorder="1" applyAlignment="1"/>
    <xf numFmtId="0" fontId="12" fillId="5" borderId="30" xfId="14" applyNumberFormat="1" applyFont="1" applyFill="1" applyBorder="1" applyAlignment="1"/>
    <xf numFmtId="0" fontId="12" fillId="5" borderId="57" xfId="14" applyNumberFormat="1" applyFont="1" applyFill="1" applyBorder="1" applyAlignment="1"/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1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2"/>
    <cellStyle name="result" xfId="5"/>
    <cellStyle name="Valuta (0)_AZIONI" xfId="6"/>
    <cellStyle name="Valuta_AZIONI" xfId="7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41893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0</c:v>
                </c:pt>
                <c:pt idx="1">
                  <c:v>2.6649999999999952E-2</c:v>
                </c:pt>
                <c:pt idx="2">
                  <c:v>2.6349999999999874E-2</c:v>
                </c:pt>
                <c:pt idx="3">
                  <c:v>2.6549999999999963E-2</c:v>
                </c:pt>
                <c:pt idx="4">
                  <c:v>2.7050000000000018E-2</c:v>
                </c:pt>
                <c:pt idx="5">
                  <c:v>2.795000000000003E-2</c:v>
                </c:pt>
                <c:pt idx="6">
                  <c:v>2.905000000000002E-2</c:v>
                </c:pt>
                <c:pt idx="7">
                  <c:v>3.015000000000001E-2</c:v>
                </c:pt>
                <c:pt idx="8">
                  <c:v>3.1150000000000122E-2</c:v>
                </c:pt>
                <c:pt idx="9">
                  <c:v>3.2100000000000128E-2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41893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2.4659578420244292E-2</c:v>
                </c:pt>
                <c:pt idx="1">
                  <c:v>2.4646660211670231E-2</c:v>
                </c:pt>
                <c:pt idx="2">
                  <c:v>2.4557665634935333E-2</c:v>
                </c:pt>
                <c:pt idx="3">
                  <c:v>2.4755911193764572E-2</c:v>
                </c:pt>
                <c:pt idx="4">
                  <c:v>2.5050002896449059E-2</c:v>
                </c:pt>
                <c:pt idx="5">
                  <c:v>2.5969984512482037E-2</c:v>
                </c:pt>
                <c:pt idx="6">
                  <c:v>2.6985807915547631E-2</c:v>
                </c:pt>
                <c:pt idx="7">
                  <c:v>2.7955297193720835E-2</c:v>
                </c:pt>
                <c:pt idx="8">
                  <c:v>2.8984476300426072E-2</c:v>
                </c:pt>
                <c:pt idx="9">
                  <c:v>3.0144918879963289E-2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41893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0</c:v>
                </c:pt>
                <c:pt idx="1">
                  <c:v>2.0033397883297208E-3</c:v>
                </c:pt>
                <c:pt idx="2">
                  <c:v>1.7923343650645407E-3</c:v>
                </c:pt>
                <c:pt idx="3">
                  <c:v>1.7940888062353902E-3</c:v>
                </c:pt>
                <c:pt idx="4">
                  <c:v>1.9999971035509594E-3</c:v>
                </c:pt>
                <c:pt idx="5">
                  <c:v>1.9800154875179929E-3</c:v>
                </c:pt>
                <c:pt idx="6">
                  <c:v>2.0641920844523889E-3</c:v>
                </c:pt>
                <c:pt idx="7">
                  <c:v>2.1947028062791751E-3</c:v>
                </c:pt>
                <c:pt idx="8">
                  <c:v>2.1655236995740505E-3</c:v>
                </c:pt>
                <c:pt idx="9">
                  <c:v>1.955081120036839E-3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363264"/>
        <c:axId val="376365056"/>
      </c:scatterChart>
      <c:valAx>
        <c:axId val="376363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6365056"/>
        <c:crosses val="autoZero"/>
        <c:crossBetween val="midCat"/>
      </c:valAx>
      <c:valAx>
        <c:axId val="3763650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63632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41893</c:v>
                </c:pt>
                <c:pt idx="1">
                  <c:v>41925</c:v>
                </c:pt>
                <c:pt idx="2">
                  <c:v>41956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42110</c:v>
                </c:pt>
                <c:pt idx="8">
                  <c:v>42142</c:v>
                </c:pt>
                <c:pt idx="9">
                  <c:v>42173</c:v>
                </c:pt>
                <c:pt idx="10">
                  <c:v>42205</c:v>
                </c:pt>
                <c:pt idx="11">
                  <c:v>42236</c:v>
                </c:pt>
                <c:pt idx="12">
                  <c:v>42268</c:v>
                </c:pt>
                <c:pt idx="13">
                  <c:v>42298</c:v>
                </c:pt>
                <c:pt idx="14">
                  <c:v>42331</c:v>
                </c:pt>
                <c:pt idx="15">
                  <c:v>42361</c:v>
                </c:pt>
                <c:pt idx="16">
                  <c:v>42394</c:v>
                </c:pt>
                <c:pt idx="17">
                  <c:v>42425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2.0076263900399328E-3</c:v>
                </c:pt>
                <c:pt idx="1">
                  <c:v>1.9623263800265418E-3</c:v>
                </c:pt>
                <c:pt idx="2">
                  <c:v>1.8642584762668078E-3</c:v>
                </c:pt>
                <c:pt idx="3">
                  <c:v>1.797014963236844E-3</c:v>
                </c:pt>
                <c:pt idx="4">
                  <c:v>1.7499891313947913E-3</c:v>
                </c:pt>
                <c:pt idx="5">
                  <c:v>1.7654047586720401E-3</c:v>
                </c:pt>
                <c:pt idx="6">
                  <c:v>1.7909253379855689E-3</c:v>
                </c:pt>
                <c:pt idx="7">
                  <c:v>1.8558402213799743E-3</c:v>
                </c:pt>
                <c:pt idx="8">
                  <c:v>1.9411532989898443E-3</c:v>
                </c:pt>
                <c:pt idx="9">
                  <c:v>2.0012858777263935E-3</c:v>
                </c:pt>
                <c:pt idx="10">
                  <c:v>2.0218578817148142E-3</c:v>
                </c:pt>
                <c:pt idx="11">
                  <c:v>2.0094393710082502E-3</c:v>
                </c:pt>
                <c:pt idx="12">
                  <c:v>1.9729665662894351E-3</c:v>
                </c:pt>
                <c:pt idx="13">
                  <c:v>1.9363738359945981E-3</c:v>
                </c:pt>
                <c:pt idx="14">
                  <c:v>1.9645889688243469E-3</c:v>
                </c:pt>
                <c:pt idx="15">
                  <c:v>2.1139082368600501E-3</c:v>
                </c:pt>
                <c:pt idx="16">
                  <c:v>2.4446723999641089E-3</c:v>
                </c:pt>
                <c:pt idx="17">
                  <c:v>2.7898896276131874E-3</c:v>
                </c:pt>
                <c:pt idx="18">
                  <c:v>3.1121478584018279E-3</c:v>
                </c:pt>
                <c:pt idx="19">
                  <c:v>3.2780421773316026E-3</c:v>
                </c:pt>
                <c:pt idx="20">
                  <c:v>3.3191362389895021E-3</c:v>
                </c:pt>
                <c:pt idx="21">
                  <c:v>3.2343665556685691E-3</c:v>
                </c:pt>
                <c:pt idx="22">
                  <c:v>3.0416190092427027E-3</c:v>
                </c:pt>
                <c:pt idx="23">
                  <c:v>2.8241201220440583E-3</c:v>
                </c:pt>
                <c:pt idx="24">
                  <c:v>2.6088358785175854E-3</c:v>
                </c:pt>
                <c:pt idx="25">
                  <c:v>2.4345076070458674E-3</c:v>
                </c:pt>
                <c:pt idx="26">
                  <c:v>2.3044685860239313E-3</c:v>
                </c:pt>
                <c:pt idx="27">
                  <c:v>2.2042906432429427E-3</c:v>
                </c:pt>
                <c:pt idx="28">
                  <c:v>2.1356821162448469E-3</c:v>
                </c:pt>
                <c:pt idx="29">
                  <c:v>2.1071688823251014E-3</c:v>
                </c:pt>
                <c:pt idx="30">
                  <c:v>2.1084426726480088E-3</c:v>
                </c:pt>
                <c:pt idx="31">
                  <c:v>2.1479612099746942E-3</c:v>
                </c:pt>
                <c:pt idx="32">
                  <c:v>2.2210331481456111E-3</c:v>
                </c:pt>
                <c:pt idx="33">
                  <c:v>2.3308947978740377E-3</c:v>
                </c:pt>
                <c:pt idx="34">
                  <c:v>2.4562735614420961E-3</c:v>
                </c:pt>
                <c:pt idx="35">
                  <c:v>2.5836828631804268E-3</c:v>
                </c:pt>
                <c:pt idx="36">
                  <c:v>2.6917636098610573E-3</c:v>
                </c:pt>
                <c:pt idx="37">
                  <c:v>2.7875869639039513E-3</c:v>
                </c:pt>
                <c:pt idx="38">
                  <c:v>2.8535323628477646E-3</c:v>
                </c:pt>
                <c:pt idx="39">
                  <c:v>2.90667700545158E-3</c:v>
                </c:pt>
                <c:pt idx="40">
                  <c:v>2.9392295889527423E-3</c:v>
                </c:pt>
                <c:pt idx="41">
                  <c:v>2.9518859145918203E-3</c:v>
                </c:pt>
                <c:pt idx="42">
                  <c:v>2.9455957109804018E-3</c:v>
                </c:pt>
                <c:pt idx="43">
                  <c:v>2.920726333207356E-3</c:v>
                </c:pt>
                <c:pt idx="44">
                  <c:v>2.8726348277929789E-3</c:v>
                </c:pt>
                <c:pt idx="45">
                  <c:v>2.8135281407782736E-3</c:v>
                </c:pt>
                <c:pt idx="46">
                  <c:v>2.7456751446374786E-3</c:v>
                </c:pt>
                <c:pt idx="47">
                  <c:v>2.6940442998453634E-3</c:v>
                </c:pt>
                <c:pt idx="48">
                  <c:v>2.662580068279248E-3</c:v>
                </c:pt>
                <c:pt idx="49">
                  <c:v>2.6549264683089144E-3</c:v>
                </c:pt>
                <c:pt idx="50">
                  <c:v>2.6694934547897217E-3</c:v>
                </c:pt>
                <c:pt idx="51">
                  <c:v>2.7054559883501611E-3</c:v>
                </c:pt>
                <c:pt idx="52">
                  <c:v>2.7683657902654105E-3</c:v>
                </c:pt>
                <c:pt idx="53">
                  <c:v>2.8437225396089616E-3</c:v>
                </c:pt>
                <c:pt idx="54">
                  <c:v>2.9479290110162454E-3</c:v>
                </c:pt>
                <c:pt idx="55">
                  <c:v>3.0760366750593598E-3</c:v>
                </c:pt>
                <c:pt idx="56">
                  <c:v>3.2237084654847675E-3</c:v>
                </c:pt>
                <c:pt idx="57">
                  <c:v>3.3888354133002618E-3</c:v>
                </c:pt>
                <c:pt idx="58">
                  <c:v>3.5413944408611148E-3</c:v>
                </c:pt>
                <c:pt idx="59">
                  <c:v>3.6708439272887111E-3</c:v>
                </c:pt>
                <c:pt idx="60">
                  <c:v>3.7576599850028258E-3</c:v>
                </c:pt>
                <c:pt idx="61">
                  <c:v>3.8135717134704927E-3</c:v>
                </c:pt>
                <c:pt idx="62">
                  <c:v>3.8301369438742128E-3</c:v>
                </c:pt>
                <c:pt idx="63">
                  <c:v>3.8094841039789176E-3</c:v>
                </c:pt>
                <c:pt idx="64">
                  <c:v>3.7565687088949307E-3</c:v>
                </c:pt>
                <c:pt idx="65">
                  <c:v>3.667371635031301E-3</c:v>
                </c:pt>
                <c:pt idx="66">
                  <c:v>3.5388487427997564E-3</c:v>
                </c:pt>
                <c:pt idx="67">
                  <c:v>3.3759630976311905E-3</c:v>
                </c:pt>
                <c:pt idx="68">
                  <c:v>3.1716379907118647E-3</c:v>
                </c:pt>
                <c:pt idx="69">
                  <c:v>2.9563542186596056E-3</c:v>
                </c:pt>
                <c:pt idx="70">
                  <c:v>2.7473770269985931E-3</c:v>
                </c:pt>
                <c:pt idx="71">
                  <c:v>2.5809164072763471E-3</c:v>
                </c:pt>
                <c:pt idx="72">
                  <c:v>2.4479424834981806E-3</c:v>
                </c:pt>
                <c:pt idx="73">
                  <c:v>2.3709906744509429E-3</c:v>
                </c:pt>
                <c:pt idx="74">
                  <c:v>2.3318998928463439E-3</c:v>
                </c:pt>
                <c:pt idx="75">
                  <c:v>2.3387357987608645E-3</c:v>
                </c:pt>
                <c:pt idx="76">
                  <c:v>2.3884810306153414E-3</c:v>
                </c:pt>
                <c:pt idx="77">
                  <c:v>2.4830401364624444E-3</c:v>
                </c:pt>
                <c:pt idx="78">
                  <c:v>2.6190152496919847E-3</c:v>
                </c:pt>
                <c:pt idx="79">
                  <c:v>2.8200420618704619E-3</c:v>
                </c:pt>
                <c:pt idx="80">
                  <c:v>3.0364696132181082E-3</c:v>
                </c:pt>
                <c:pt idx="81">
                  <c:v>3.2839906293487195E-3</c:v>
                </c:pt>
                <c:pt idx="82">
                  <c:v>3.5098120624166146E-3</c:v>
                </c:pt>
                <c:pt idx="83">
                  <c:v>3.7175621313947152E-3</c:v>
                </c:pt>
                <c:pt idx="84">
                  <c:v>3.8804880805462794E-3</c:v>
                </c:pt>
                <c:pt idx="85">
                  <c:v>4.0107401048775221E-3</c:v>
                </c:pt>
                <c:pt idx="86">
                  <c:v>4.1030785122394345E-3</c:v>
                </c:pt>
                <c:pt idx="87">
                  <c:v>4.1653060730334965E-3</c:v>
                </c:pt>
                <c:pt idx="88">
                  <c:v>4.1888822011183907E-3</c:v>
                </c:pt>
                <c:pt idx="89">
                  <c:v>4.1816104099291346E-3</c:v>
                </c:pt>
                <c:pt idx="90">
                  <c:v>4.1377040680101382E-3</c:v>
                </c:pt>
                <c:pt idx="91">
                  <c:v>4.0606038181216289E-3</c:v>
                </c:pt>
                <c:pt idx="92">
                  <c:v>3.9507342111381322E-3</c:v>
                </c:pt>
                <c:pt idx="93">
                  <c:v>3.8280137096354666E-3</c:v>
                </c:pt>
                <c:pt idx="94">
                  <c:v>3.6970245482644548E-3</c:v>
                </c:pt>
                <c:pt idx="95">
                  <c:v>3.5802819140927575E-3</c:v>
                </c:pt>
                <c:pt idx="96">
                  <c:v>3.4588034533482304E-3</c:v>
                </c:pt>
                <c:pt idx="97">
                  <c:v>3.3547297607588525E-3</c:v>
                </c:pt>
                <c:pt idx="98">
                  <c:v>3.2452319463647794E-3</c:v>
                </c:pt>
                <c:pt idx="99">
                  <c:v>3.1467165614819034E-3</c:v>
                </c:pt>
                <c:pt idx="100">
                  <c:v>3.0606977152692824E-3</c:v>
                </c:pt>
                <c:pt idx="101">
                  <c:v>2.9682547715226826E-3</c:v>
                </c:pt>
                <c:pt idx="102">
                  <c:v>2.8851181572354667E-3</c:v>
                </c:pt>
                <c:pt idx="103">
                  <c:v>2.8051192825451279E-3</c:v>
                </c:pt>
                <c:pt idx="104">
                  <c:v>2.7300259834031754E-3</c:v>
                </c:pt>
                <c:pt idx="105">
                  <c:v>2.6685492323576393E-3</c:v>
                </c:pt>
                <c:pt idx="106">
                  <c:v>2.6175619010027143E-3</c:v>
                </c:pt>
                <c:pt idx="107">
                  <c:v>2.5861573018810258E-3</c:v>
                </c:pt>
                <c:pt idx="108">
                  <c:v>2.5698508335209244E-3</c:v>
                </c:pt>
                <c:pt idx="109">
                  <c:v>2.5691431818652619E-3</c:v>
                </c:pt>
                <c:pt idx="110">
                  <c:v>2.584679143593463E-3</c:v>
                </c:pt>
                <c:pt idx="111">
                  <c:v>2.6140578662027375E-3</c:v>
                </c:pt>
                <c:pt idx="112">
                  <c:v>2.6583537484426642E-3</c:v>
                </c:pt>
                <c:pt idx="113">
                  <c:v>2.7207259296122416E-3</c:v>
                </c:pt>
                <c:pt idx="114">
                  <c:v>2.7973322196302025E-3</c:v>
                </c:pt>
                <c:pt idx="115">
                  <c:v>2.8919771722840035E-3</c:v>
                </c:pt>
                <c:pt idx="116">
                  <c:v>2.99336904988938E-3</c:v>
                </c:pt>
                <c:pt idx="117">
                  <c:v>3.0983833558717588E-3</c:v>
                </c:pt>
                <c:pt idx="118">
                  <c:v>3.1966044380084616E-3</c:v>
                </c:pt>
                <c:pt idx="119">
                  <c:v>3.2961703792053487E-3</c:v>
                </c:pt>
                <c:pt idx="120">
                  <c:v>3.3774990525716267E-3</c:v>
                </c:pt>
                <c:pt idx="121">
                  <c:v>3.4662371686202537E-3</c:v>
                </c:pt>
                <c:pt idx="122">
                  <c:v>3.5388485500435496E-3</c:v>
                </c:pt>
                <c:pt idx="123">
                  <c:v>3.6067851497811262E-3</c:v>
                </c:pt>
                <c:pt idx="124">
                  <c:v>3.6718923168283235E-3</c:v>
                </c:pt>
                <c:pt idx="125">
                  <c:v>3.7299557721780438E-3</c:v>
                </c:pt>
                <c:pt idx="126">
                  <c:v>3.785981349544075E-3</c:v>
                </c:pt>
                <c:pt idx="127">
                  <c:v>3.8311659630831593E-3</c:v>
                </c:pt>
                <c:pt idx="128">
                  <c:v>3.8745460969854401E-3</c:v>
                </c:pt>
                <c:pt idx="129">
                  <c:v>3.9083226650756461E-3</c:v>
                </c:pt>
                <c:pt idx="130">
                  <c:v>3.9389672109869586E-3</c:v>
                </c:pt>
                <c:pt idx="131">
                  <c:v>3.9618026708801851E-3</c:v>
                </c:pt>
                <c:pt idx="132">
                  <c:v>3.9785804797301608E-3</c:v>
                </c:pt>
                <c:pt idx="133">
                  <c:v>3.9890551432845561E-3</c:v>
                </c:pt>
                <c:pt idx="134">
                  <c:v>3.9948959629530975E-3</c:v>
                </c:pt>
                <c:pt idx="135">
                  <c:v>3.9947844317846024E-3</c:v>
                </c:pt>
                <c:pt idx="136">
                  <c:v>3.9882801745018195E-3</c:v>
                </c:pt>
                <c:pt idx="137">
                  <c:v>3.9760278013755146E-3</c:v>
                </c:pt>
                <c:pt idx="138">
                  <c:v>3.9579495128371986E-3</c:v>
                </c:pt>
                <c:pt idx="139">
                  <c:v>3.9341242343767235E-3</c:v>
                </c:pt>
                <c:pt idx="140">
                  <c:v>3.9082580997573599E-3</c:v>
                </c:pt>
                <c:pt idx="141">
                  <c:v>3.8810659801563341E-3</c:v>
                </c:pt>
                <c:pt idx="142">
                  <c:v>3.8563274944217601E-3</c:v>
                </c:pt>
                <c:pt idx="143">
                  <c:v>3.8297112480585802E-3</c:v>
                </c:pt>
                <c:pt idx="144">
                  <c:v>3.8067864081863662E-3</c:v>
                </c:pt>
                <c:pt idx="145">
                  <c:v>3.7824142182915632E-3</c:v>
                </c:pt>
                <c:pt idx="146">
                  <c:v>3.7625260352637385E-3</c:v>
                </c:pt>
                <c:pt idx="147">
                  <c:v>3.7410779450976275E-3</c:v>
                </c:pt>
                <c:pt idx="148">
                  <c:v>3.7200824259001758E-3</c:v>
                </c:pt>
                <c:pt idx="149">
                  <c:v>3.700487024912831E-3</c:v>
                </c:pt>
                <c:pt idx="150">
                  <c:v>3.6811516637687003E-3</c:v>
                </c:pt>
                <c:pt idx="151">
                  <c:v>3.6632848022421852E-3</c:v>
                </c:pt>
                <c:pt idx="152">
                  <c:v>3.6455514567955011E-3</c:v>
                </c:pt>
                <c:pt idx="153">
                  <c:v>3.6301027379493853E-3</c:v>
                </c:pt>
                <c:pt idx="154">
                  <c:v>3.613828671855758E-3</c:v>
                </c:pt>
                <c:pt idx="155">
                  <c:v>3.5996525040818267E-3</c:v>
                </c:pt>
                <c:pt idx="156">
                  <c:v>3.5852056094797316E-3</c:v>
                </c:pt>
                <c:pt idx="157">
                  <c:v>3.5722693366120328E-3</c:v>
                </c:pt>
                <c:pt idx="158">
                  <c:v>3.5624283928225448E-3</c:v>
                </c:pt>
                <c:pt idx="159">
                  <c:v>3.5503602510397955E-3</c:v>
                </c:pt>
                <c:pt idx="160">
                  <c:v>3.5407584705784007E-3</c:v>
                </c:pt>
                <c:pt idx="161">
                  <c:v>3.5305366354905984E-3</c:v>
                </c:pt>
                <c:pt idx="162">
                  <c:v>3.522367122366532E-3</c:v>
                </c:pt>
                <c:pt idx="163">
                  <c:v>3.5145310703921864E-3</c:v>
                </c:pt>
                <c:pt idx="164">
                  <c:v>3.5074719190449077E-3</c:v>
                </c:pt>
                <c:pt idx="165">
                  <c:v>3.5017528090926162E-3</c:v>
                </c:pt>
                <c:pt idx="166">
                  <c:v>3.4967548721429112E-3</c:v>
                </c:pt>
                <c:pt idx="167">
                  <c:v>3.4921147487935525E-3</c:v>
                </c:pt>
                <c:pt idx="168">
                  <c:v>3.4884455802951173E-3</c:v>
                </c:pt>
                <c:pt idx="169">
                  <c:v>3.4863359030210261E-3</c:v>
                </c:pt>
                <c:pt idx="170">
                  <c:v>3.4853088650187714E-3</c:v>
                </c:pt>
                <c:pt idx="171">
                  <c:v>3.4841098294237371E-3</c:v>
                </c:pt>
                <c:pt idx="172">
                  <c:v>3.4846335098950437E-3</c:v>
                </c:pt>
                <c:pt idx="173">
                  <c:v>3.4855900404748077E-3</c:v>
                </c:pt>
                <c:pt idx="174">
                  <c:v>3.4873591444982907E-3</c:v>
                </c:pt>
                <c:pt idx="175">
                  <c:v>3.4895460989358765E-3</c:v>
                </c:pt>
                <c:pt idx="176">
                  <c:v>3.4915128464300255E-3</c:v>
                </c:pt>
                <c:pt idx="177">
                  <c:v>3.4942542593757245E-3</c:v>
                </c:pt>
                <c:pt idx="178">
                  <c:v>3.4967333461968925E-3</c:v>
                </c:pt>
                <c:pt idx="179">
                  <c:v>3.4981043987801566E-3</c:v>
                </c:pt>
                <c:pt idx="180">
                  <c:v>3.5005372734142892E-3</c:v>
                </c:pt>
                <c:pt idx="181">
                  <c:v>3.5036659778473478E-3</c:v>
                </c:pt>
                <c:pt idx="182">
                  <c:v>3.5056940909703321E-3</c:v>
                </c:pt>
                <c:pt idx="183">
                  <c:v>3.5075220265886262E-3</c:v>
                </c:pt>
                <c:pt idx="184">
                  <c:v>3.5101245740322071E-3</c:v>
                </c:pt>
                <c:pt idx="185">
                  <c:v>3.5124488266902107E-3</c:v>
                </c:pt>
                <c:pt idx="186">
                  <c:v>3.5146107519814299E-3</c:v>
                </c:pt>
                <c:pt idx="187">
                  <c:v>3.5163508238465757E-3</c:v>
                </c:pt>
                <c:pt idx="188">
                  <c:v>3.5188722098530301E-3</c:v>
                </c:pt>
                <c:pt idx="189">
                  <c:v>3.5211064742878412E-3</c:v>
                </c:pt>
                <c:pt idx="190">
                  <c:v>3.5221771648354452E-3</c:v>
                </c:pt>
                <c:pt idx="191">
                  <c:v>3.5248363350761439E-3</c:v>
                </c:pt>
                <c:pt idx="192">
                  <c:v>3.5259313858691105E-3</c:v>
                </c:pt>
                <c:pt idx="193">
                  <c:v>3.5291617353334359E-3</c:v>
                </c:pt>
                <c:pt idx="194">
                  <c:v>3.530751136156543E-3</c:v>
                </c:pt>
                <c:pt idx="195">
                  <c:v>3.53313182582074E-3</c:v>
                </c:pt>
                <c:pt idx="196">
                  <c:v>3.5352736044189925E-3</c:v>
                </c:pt>
                <c:pt idx="197">
                  <c:v>3.5371425999309036E-3</c:v>
                </c:pt>
                <c:pt idx="198">
                  <c:v>3.5391146888116912E-3</c:v>
                </c:pt>
                <c:pt idx="199">
                  <c:v>3.5405343083888888E-3</c:v>
                </c:pt>
                <c:pt idx="200">
                  <c:v>3.542932348168791E-3</c:v>
                </c:pt>
                <c:pt idx="201">
                  <c:v>3.5447792779750506E-3</c:v>
                </c:pt>
                <c:pt idx="202">
                  <c:v>3.5461947585092093E-3</c:v>
                </c:pt>
                <c:pt idx="203">
                  <c:v>3.5479995251305602E-3</c:v>
                </c:pt>
                <c:pt idx="204">
                  <c:v>3.5498406577650701E-3</c:v>
                </c:pt>
                <c:pt idx="205">
                  <c:v>3.5519584883788799E-3</c:v>
                </c:pt>
                <c:pt idx="206">
                  <c:v>3.5532329357183881E-3</c:v>
                </c:pt>
                <c:pt idx="207">
                  <c:v>3.5554229428857789E-3</c:v>
                </c:pt>
                <c:pt idx="208">
                  <c:v>3.5571238712185857E-3</c:v>
                </c:pt>
                <c:pt idx="209">
                  <c:v>3.5588577772726893E-3</c:v>
                </c:pt>
                <c:pt idx="210">
                  <c:v>3.5605162886683944E-3</c:v>
                </c:pt>
                <c:pt idx="211">
                  <c:v>3.5617398829227639E-3</c:v>
                </c:pt>
                <c:pt idx="212">
                  <c:v>3.5637706784855602E-3</c:v>
                </c:pt>
                <c:pt idx="213">
                  <c:v>3.5654687929710244E-3</c:v>
                </c:pt>
                <c:pt idx="214">
                  <c:v>3.5660615189693004E-3</c:v>
                </c:pt>
                <c:pt idx="215">
                  <c:v>3.5686449217632379E-3</c:v>
                </c:pt>
                <c:pt idx="216">
                  <c:v>3.5687833879776976E-3</c:v>
                </c:pt>
                <c:pt idx="217">
                  <c:v>3.5715411486951718E-3</c:v>
                </c:pt>
                <c:pt idx="218">
                  <c:v>3.5726647947641674E-3</c:v>
                </c:pt>
                <c:pt idx="219">
                  <c:v>3.5745501582019265E-3</c:v>
                </c:pt>
                <c:pt idx="220">
                  <c:v>3.5760454813708667E-3</c:v>
                </c:pt>
                <c:pt idx="221">
                  <c:v>3.5774271138322988E-3</c:v>
                </c:pt>
                <c:pt idx="222">
                  <c:v>3.5789242909557012E-3</c:v>
                </c:pt>
                <c:pt idx="223">
                  <c:v>3.5798488511597781E-3</c:v>
                </c:pt>
                <c:pt idx="224">
                  <c:v>3.5817167260098481E-3</c:v>
                </c:pt>
                <c:pt idx="225">
                  <c:v>3.5820982175242891E-3</c:v>
                </c:pt>
                <c:pt idx="226">
                  <c:v>3.5838375834316011E-3</c:v>
                </c:pt>
                <c:pt idx="227">
                  <c:v>3.5837676909598673E-3</c:v>
                </c:pt>
                <c:pt idx="228">
                  <c:v>3.5867966109928776E-3</c:v>
                </c:pt>
                <c:pt idx="229">
                  <c:v>3.5879367949901361E-3</c:v>
                </c:pt>
                <c:pt idx="230">
                  <c:v>3.5900901099773508E-3</c:v>
                </c:pt>
                <c:pt idx="231">
                  <c:v>3.5904007106830269E-3</c:v>
                </c:pt>
                <c:pt idx="232">
                  <c:v>3.5915983761107481E-3</c:v>
                </c:pt>
                <c:pt idx="233">
                  <c:v>3.5927494854505193E-3</c:v>
                </c:pt>
                <c:pt idx="234">
                  <c:v>3.5932318523359333E-3</c:v>
                </c:pt>
                <c:pt idx="235">
                  <c:v>3.5943444064554658E-3</c:v>
                </c:pt>
                <c:pt idx="236">
                  <c:v>3.5954935249927697E-3</c:v>
                </c:pt>
                <c:pt idx="237">
                  <c:v>3.5941578622902884E-3</c:v>
                </c:pt>
                <c:pt idx="238">
                  <c:v>3.5933651304083034E-3</c:v>
                </c:pt>
                <c:pt idx="239">
                  <c:v>3.5930514506986866E-3</c:v>
                </c:pt>
                <c:pt idx="240">
                  <c:v>3.5925271519607616E-3</c:v>
                </c:pt>
                <c:pt idx="241">
                  <c:v>3.5907708295267182E-3</c:v>
                </c:pt>
                <c:pt idx="242">
                  <c:v>3.589425959148955E-3</c:v>
                </c:pt>
                <c:pt idx="243">
                  <c:v>3.5873962004723467E-3</c:v>
                </c:pt>
                <c:pt idx="244">
                  <c:v>3.5849524617814141E-3</c:v>
                </c:pt>
                <c:pt idx="245">
                  <c:v>3.5822474930832793E-3</c:v>
                </c:pt>
                <c:pt idx="246">
                  <c:v>3.5787366710588811E-3</c:v>
                </c:pt>
                <c:pt idx="247">
                  <c:v>3.5758409015640216E-3</c:v>
                </c:pt>
                <c:pt idx="248">
                  <c:v>3.5718890872410494E-3</c:v>
                </c:pt>
                <c:pt idx="249">
                  <c:v>3.5676187952656743E-3</c:v>
                </c:pt>
                <c:pt idx="250">
                  <c:v>3.5632994452342581E-3</c:v>
                </c:pt>
                <c:pt idx="251">
                  <c:v>3.5578934595585018E-3</c:v>
                </c:pt>
                <c:pt idx="252">
                  <c:v>3.5535116637956457E-3</c:v>
                </c:pt>
                <c:pt idx="253">
                  <c:v>3.5479664130073987E-3</c:v>
                </c:pt>
                <c:pt idx="254">
                  <c:v>3.5427650953680292E-3</c:v>
                </c:pt>
                <c:pt idx="255">
                  <c:v>3.5365274609333031E-3</c:v>
                </c:pt>
                <c:pt idx="256">
                  <c:v>3.5303582799507682E-3</c:v>
                </c:pt>
                <c:pt idx="257">
                  <c:v>3.5232129477100332E-3</c:v>
                </c:pt>
                <c:pt idx="258">
                  <c:v>3.5158659548043605E-3</c:v>
                </c:pt>
                <c:pt idx="259">
                  <c:v>3.5085268424018684E-3</c:v>
                </c:pt>
                <c:pt idx="260">
                  <c:v>3.5007968548876195E-3</c:v>
                </c:pt>
                <c:pt idx="261">
                  <c:v>3.4921978477475135E-3</c:v>
                </c:pt>
                <c:pt idx="262">
                  <c:v>3.4835350693158684E-3</c:v>
                </c:pt>
                <c:pt idx="263">
                  <c:v>3.4747824591101067E-3</c:v>
                </c:pt>
                <c:pt idx="264">
                  <c:v>3.4668534743719434E-3</c:v>
                </c:pt>
                <c:pt idx="265">
                  <c:v>3.4572292706166463E-3</c:v>
                </c:pt>
                <c:pt idx="266">
                  <c:v>3.4474432392229415E-3</c:v>
                </c:pt>
                <c:pt idx="267">
                  <c:v>3.4373887001281633E-3</c:v>
                </c:pt>
                <c:pt idx="268">
                  <c:v>3.426661501822019E-3</c:v>
                </c:pt>
                <c:pt idx="269">
                  <c:v>3.4159320920629857E-3</c:v>
                </c:pt>
                <c:pt idx="270">
                  <c:v>3.4045082478259131E-3</c:v>
                </c:pt>
                <c:pt idx="271">
                  <c:v>3.39347701957389E-3</c:v>
                </c:pt>
                <c:pt idx="272">
                  <c:v>3.3802035022650265E-3</c:v>
                </c:pt>
                <c:pt idx="273">
                  <c:v>3.3689230975994244E-3</c:v>
                </c:pt>
                <c:pt idx="274">
                  <c:v>3.3559067194330189E-3</c:v>
                </c:pt>
                <c:pt idx="275">
                  <c:v>3.3445817363830996E-3</c:v>
                </c:pt>
                <c:pt idx="276">
                  <c:v>3.3313609402422159E-3</c:v>
                </c:pt>
                <c:pt idx="277">
                  <c:v>3.3177040835225616E-3</c:v>
                </c:pt>
                <c:pt idx="278">
                  <c:v>3.3039750200380344E-3</c:v>
                </c:pt>
                <c:pt idx="279">
                  <c:v>3.2894546967295393E-3</c:v>
                </c:pt>
                <c:pt idx="280">
                  <c:v>3.2750506232088403E-3</c:v>
                </c:pt>
                <c:pt idx="281">
                  <c:v>3.2597038737028142E-3</c:v>
                </c:pt>
                <c:pt idx="282">
                  <c:v>3.2452459717772983E-3</c:v>
                </c:pt>
                <c:pt idx="283">
                  <c:v>3.2288403748360964E-3</c:v>
                </c:pt>
                <c:pt idx="284">
                  <c:v>3.2133845494399307E-3</c:v>
                </c:pt>
                <c:pt idx="285">
                  <c:v>3.196475234742549E-3</c:v>
                </c:pt>
                <c:pt idx="286">
                  <c:v>3.1797694761823425E-3</c:v>
                </c:pt>
                <c:pt idx="287">
                  <c:v>3.1649207974274868E-3</c:v>
                </c:pt>
                <c:pt idx="288">
                  <c:v>3.1466697339766272E-3</c:v>
                </c:pt>
                <c:pt idx="289">
                  <c:v>3.1298983682795864E-3</c:v>
                </c:pt>
                <c:pt idx="290">
                  <c:v>3.1110055844998374E-3</c:v>
                </c:pt>
                <c:pt idx="291">
                  <c:v>3.093543334493333E-3</c:v>
                </c:pt>
                <c:pt idx="292">
                  <c:v>3.0748101012534751E-3</c:v>
                </c:pt>
                <c:pt idx="293">
                  <c:v>3.0567175569483768E-3</c:v>
                </c:pt>
                <c:pt idx="294">
                  <c:v>3.0384635727622872E-3</c:v>
                </c:pt>
                <c:pt idx="295">
                  <c:v>3.0210388981002298E-3</c:v>
                </c:pt>
                <c:pt idx="296">
                  <c:v>3.0033106852263014E-3</c:v>
                </c:pt>
                <c:pt idx="297">
                  <c:v>2.9865174542190662E-3</c:v>
                </c:pt>
                <c:pt idx="298">
                  <c:v>2.969509873672338E-3</c:v>
                </c:pt>
                <c:pt idx="299">
                  <c:v>2.9544616276486538E-3</c:v>
                </c:pt>
                <c:pt idx="300">
                  <c:v>2.9385170239886113E-3</c:v>
                </c:pt>
                <c:pt idx="301">
                  <c:v>2.9230458501334697E-3</c:v>
                </c:pt>
                <c:pt idx="302">
                  <c:v>2.9078061759945373E-3</c:v>
                </c:pt>
                <c:pt idx="303">
                  <c:v>2.892402308715826E-3</c:v>
                </c:pt>
                <c:pt idx="304">
                  <c:v>2.8777969900605493E-3</c:v>
                </c:pt>
                <c:pt idx="305">
                  <c:v>2.8629513560179329E-3</c:v>
                </c:pt>
                <c:pt idx="306">
                  <c:v>2.8495227825494629E-3</c:v>
                </c:pt>
                <c:pt idx="307">
                  <c:v>2.8349827487627877E-3</c:v>
                </c:pt>
                <c:pt idx="308">
                  <c:v>2.8214330056363715E-3</c:v>
                </c:pt>
                <c:pt idx="309">
                  <c:v>2.8075717599629138E-3</c:v>
                </c:pt>
                <c:pt idx="310">
                  <c:v>2.7955044800289791E-3</c:v>
                </c:pt>
                <c:pt idx="311">
                  <c:v>2.7842997731446703E-3</c:v>
                </c:pt>
                <c:pt idx="312">
                  <c:v>2.7716859263590757E-3</c:v>
                </c:pt>
                <c:pt idx="313">
                  <c:v>2.7603955740693464E-3</c:v>
                </c:pt>
                <c:pt idx="314">
                  <c:v>2.7481815130157225E-3</c:v>
                </c:pt>
                <c:pt idx="315">
                  <c:v>2.7370299109290494E-3</c:v>
                </c:pt>
                <c:pt idx="316">
                  <c:v>2.7257110542339286E-3</c:v>
                </c:pt>
                <c:pt idx="317">
                  <c:v>2.7156631379891757E-3</c:v>
                </c:pt>
                <c:pt idx="318">
                  <c:v>2.7047996427094975E-3</c:v>
                </c:pt>
                <c:pt idx="319">
                  <c:v>2.6949384582094157E-3</c:v>
                </c:pt>
                <c:pt idx="320">
                  <c:v>2.6850424726128572E-3</c:v>
                </c:pt>
                <c:pt idx="321">
                  <c:v>2.6753319614154364E-3</c:v>
                </c:pt>
                <c:pt idx="322">
                  <c:v>2.6677087228124674E-3</c:v>
                </c:pt>
                <c:pt idx="323">
                  <c:v>2.6583448181031893E-3</c:v>
                </c:pt>
                <c:pt idx="324">
                  <c:v>2.6504480545999562E-3</c:v>
                </c:pt>
                <c:pt idx="325">
                  <c:v>2.6419212538928843E-3</c:v>
                </c:pt>
                <c:pt idx="326">
                  <c:v>2.634476563956295E-3</c:v>
                </c:pt>
                <c:pt idx="327">
                  <c:v>2.6268577746025104E-3</c:v>
                </c:pt>
                <c:pt idx="328">
                  <c:v>2.6196119935736686E-3</c:v>
                </c:pt>
                <c:pt idx="329">
                  <c:v>2.6128302823022545E-3</c:v>
                </c:pt>
                <c:pt idx="330">
                  <c:v>2.6064011162614809E-3</c:v>
                </c:pt>
                <c:pt idx="331">
                  <c:v>2.5993119132555614E-3</c:v>
                </c:pt>
                <c:pt idx="332">
                  <c:v>2.5938982922219592E-3</c:v>
                </c:pt>
                <c:pt idx="333">
                  <c:v>2.588438856850124E-3</c:v>
                </c:pt>
                <c:pt idx="334">
                  <c:v>2.5839681376843698E-3</c:v>
                </c:pt>
                <c:pt idx="335">
                  <c:v>2.5788772755004144E-3</c:v>
                </c:pt>
                <c:pt idx="336">
                  <c:v>2.5743811484515086E-3</c:v>
                </c:pt>
                <c:pt idx="337">
                  <c:v>2.5701369920582695E-3</c:v>
                </c:pt>
                <c:pt idx="338">
                  <c:v>2.5660833378618672E-3</c:v>
                </c:pt>
                <c:pt idx="339">
                  <c:v>2.5624735392593898E-3</c:v>
                </c:pt>
                <c:pt idx="340">
                  <c:v>2.558839231978749E-3</c:v>
                </c:pt>
                <c:pt idx="341">
                  <c:v>2.556190375051573E-3</c:v>
                </c:pt>
                <c:pt idx="342">
                  <c:v>2.5533552530654161E-3</c:v>
                </c:pt>
                <c:pt idx="343">
                  <c:v>2.5508352512415636E-3</c:v>
                </c:pt>
                <c:pt idx="344">
                  <c:v>2.5489249790382126E-3</c:v>
                </c:pt>
                <c:pt idx="345">
                  <c:v>2.5466994519862604E-3</c:v>
                </c:pt>
                <c:pt idx="346">
                  <c:v>2.546432664769574E-3</c:v>
                </c:pt>
                <c:pt idx="347">
                  <c:v>2.5445022170176718E-3</c:v>
                </c:pt>
                <c:pt idx="348">
                  <c:v>2.544011222183902E-3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372608"/>
        <c:axId val="376386688"/>
      </c:lineChart>
      <c:dateAx>
        <c:axId val="3763726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6386688"/>
        <c:crosses val="autoZero"/>
        <c:auto val="1"/>
        <c:lblOffset val="100"/>
        <c:baseTimeUnit val="months"/>
      </c:dateAx>
      <c:valAx>
        <c:axId val="3763866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6372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41893</c:v>
                </c:pt>
                <c:pt idx="1">
                  <c:v>41925</c:v>
                </c:pt>
                <c:pt idx="2">
                  <c:v>41956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42110</c:v>
                </c:pt>
                <c:pt idx="8">
                  <c:v>42142</c:v>
                </c:pt>
                <c:pt idx="9">
                  <c:v>42173</c:v>
                </c:pt>
                <c:pt idx="10">
                  <c:v>42205</c:v>
                </c:pt>
                <c:pt idx="11">
                  <c:v>42236</c:v>
                </c:pt>
                <c:pt idx="12">
                  <c:v>42268</c:v>
                </c:pt>
                <c:pt idx="13">
                  <c:v>42298</c:v>
                </c:pt>
                <c:pt idx="14">
                  <c:v>42331</c:v>
                </c:pt>
                <c:pt idx="15">
                  <c:v>42361</c:v>
                </c:pt>
                <c:pt idx="16">
                  <c:v>42394</c:v>
                </c:pt>
                <c:pt idx="17">
                  <c:v>42425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2.6667204810284225E-2</c:v>
                </c:pt>
                <c:pt idx="1">
                  <c:v>2.6554828961975353E-2</c:v>
                </c:pt>
                <c:pt idx="2">
                  <c:v>2.6434815779880202E-2</c:v>
                </c:pt>
                <c:pt idx="3">
                  <c:v>2.6350409706676889E-2</c:v>
                </c:pt>
                <c:pt idx="4">
                  <c:v>2.6356369502872568E-2</c:v>
                </c:pt>
                <c:pt idx="5">
                  <c:v>2.6436354429759251E-2</c:v>
                </c:pt>
                <c:pt idx="6">
                  <c:v>2.6542043358329367E-2</c:v>
                </c:pt>
                <c:pt idx="7">
                  <c:v>2.6669696734846246E-2</c:v>
                </c:pt>
                <c:pt idx="8">
                  <c:v>2.6841129822632242E-2</c:v>
                </c:pt>
                <c:pt idx="9">
                  <c:v>2.7058059719872619E-2</c:v>
                </c:pt>
                <c:pt idx="10">
                  <c:v>2.7350387016441401E-2</c:v>
                </c:pt>
                <c:pt idx="11">
                  <c:v>2.7672394181551166E-2</c:v>
                </c:pt>
                <c:pt idx="12">
                  <c:v>2.8000959925339929E-2</c:v>
                </c:pt>
                <c:pt idx="13">
                  <c:v>2.8313582574584335E-2</c:v>
                </c:pt>
                <c:pt idx="14">
                  <c:v>2.8708011281600488E-2</c:v>
                </c:pt>
                <c:pt idx="15">
                  <c:v>2.917438303383358E-2</c:v>
                </c:pt>
                <c:pt idx="16">
                  <c:v>2.9859447577556465E-2</c:v>
                </c:pt>
                <c:pt idx="17">
                  <c:v>3.0518418624988622E-2</c:v>
                </c:pt>
                <c:pt idx="18">
                  <c:v>3.1208749851123554E-2</c:v>
                </c:pt>
                <c:pt idx="19">
                  <c:v>3.1712445356045185E-2</c:v>
                </c:pt>
                <c:pt idx="20">
                  <c:v>3.2115887388497522E-2</c:v>
                </c:pt>
                <c:pt idx="21">
                  <c:v>3.2397204585334682E-2</c:v>
                </c:pt>
                <c:pt idx="22">
                  <c:v>3.2600755610211377E-2</c:v>
                </c:pt>
                <c:pt idx="23">
                  <c:v>3.2746439476589263E-2</c:v>
                </c:pt>
                <c:pt idx="24">
                  <c:v>3.2910245977410421E-2</c:v>
                </c:pt>
                <c:pt idx="25">
                  <c:v>3.3096970692245153E-2</c:v>
                </c:pt>
                <c:pt idx="26">
                  <c:v>3.3282040150046217E-2</c:v>
                </c:pt>
                <c:pt idx="27">
                  <c:v>3.3498120194427813E-2</c:v>
                </c:pt>
                <c:pt idx="28">
                  <c:v>3.3755676434595872E-2</c:v>
                </c:pt>
                <c:pt idx="29">
                  <c:v>3.4001985706329327E-2</c:v>
                </c:pt>
                <c:pt idx="30">
                  <c:v>3.4282850650498319E-2</c:v>
                </c:pt>
                <c:pt idx="31">
                  <c:v>3.4609610179709316E-2</c:v>
                </c:pt>
                <c:pt idx="32">
                  <c:v>3.494247070013011E-2</c:v>
                </c:pt>
                <c:pt idx="33">
                  <c:v>3.5308022228567507E-2</c:v>
                </c:pt>
                <c:pt idx="34">
                  <c:v>3.5673878158419096E-2</c:v>
                </c:pt>
                <c:pt idx="35">
                  <c:v>3.6043193056099064E-2</c:v>
                </c:pt>
                <c:pt idx="36">
                  <c:v>3.6393054770679403E-2</c:v>
                </c:pt>
                <c:pt idx="37">
                  <c:v>3.6754975558736656E-2</c:v>
                </c:pt>
                <c:pt idx="38">
                  <c:v>3.7056775893244263E-2</c:v>
                </c:pt>
                <c:pt idx="39">
                  <c:v>3.7376219654442877E-2</c:v>
                </c:pt>
                <c:pt idx="40">
                  <c:v>3.7681844210921106E-2</c:v>
                </c:pt>
                <c:pt idx="41">
                  <c:v>3.7959224992054882E-2</c:v>
                </c:pt>
                <c:pt idx="42">
                  <c:v>3.8234051977519203E-2</c:v>
                </c:pt>
                <c:pt idx="43">
                  <c:v>3.8490482822845562E-2</c:v>
                </c:pt>
                <c:pt idx="44">
                  <c:v>3.8751055301728371E-2</c:v>
                </c:pt>
                <c:pt idx="45">
                  <c:v>3.8975458034909607E-2</c:v>
                </c:pt>
                <c:pt idx="46">
                  <c:v>3.9212088237482165E-2</c:v>
                </c:pt>
                <c:pt idx="47">
                  <c:v>3.9422714236631497E-2</c:v>
                </c:pt>
                <c:pt idx="48">
                  <c:v>3.9647776525850824E-2</c:v>
                </c:pt>
                <c:pt idx="49">
                  <c:v>3.9857132694079235E-2</c:v>
                </c:pt>
                <c:pt idx="50">
                  <c:v>4.0064379712560876E-2</c:v>
                </c:pt>
                <c:pt idx="51">
                  <c:v>4.0261745472376612E-2</c:v>
                </c:pt>
                <c:pt idx="52">
                  <c:v>4.0473118691806462E-2</c:v>
                </c:pt>
                <c:pt idx="53">
                  <c:v>4.0655856012940257E-2</c:v>
                </c:pt>
                <c:pt idx="54">
                  <c:v>4.0849943813600492E-2</c:v>
                </c:pt>
                <c:pt idx="55">
                  <c:v>4.1045187468295052E-2</c:v>
                </c:pt>
                <c:pt idx="56">
                  <c:v>4.1231838423055861E-2</c:v>
                </c:pt>
                <c:pt idx="57">
                  <c:v>4.1420916370195189E-2</c:v>
                </c:pt>
                <c:pt idx="58">
                  <c:v>4.1600250282613986E-2</c:v>
                </c:pt>
                <c:pt idx="59">
                  <c:v>4.1781044154343257E-2</c:v>
                </c:pt>
                <c:pt idx="60">
                  <c:v>4.1946391957886256E-2</c:v>
                </c:pt>
                <c:pt idx="61">
                  <c:v>4.2118596777632314E-2</c:v>
                </c:pt>
                <c:pt idx="62">
                  <c:v>4.2280717666867432E-2</c:v>
                </c:pt>
                <c:pt idx="63">
                  <c:v>4.2443567292752962E-2</c:v>
                </c:pt>
                <c:pt idx="64">
                  <c:v>4.2592085290494616E-2</c:v>
                </c:pt>
                <c:pt idx="65">
                  <c:v>4.2736584365254314E-2</c:v>
                </c:pt>
                <c:pt idx="66">
                  <c:v>4.288645768943463E-2</c:v>
                </c:pt>
                <c:pt idx="67">
                  <c:v>4.3027203929465831E-2</c:v>
                </c:pt>
                <c:pt idx="68">
                  <c:v>4.3167986447566267E-2</c:v>
                </c:pt>
                <c:pt idx="69">
                  <c:v>4.3300005886092355E-2</c:v>
                </c:pt>
                <c:pt idx="70">
                  <c:v>4.3427215239226137E-2</c:v>
                </c:pt>
                <c:pt idx="71">
                  <c:v>4.3551159979426025E-2</c:v>
                </c:pt>
                <c:pt idx="72">
                  <c:v>4.3677832364861779E-2</c:v>
                </c:pt>
                <c:pt idx="73">
                  <c:v>4.377996673324884E-2</c:v>
                </c:pt>
                <c:pt idx="74">
                  <c:v>4.390180398493395E-2</c:v>
                </c:pt>
                <c:pt idx="75">
                  <c:v>4.3999122638444542E-2</c:v>
                </c:pt>
                <c:pt idx="76">
                  <c:v>4.4103865779681707E-2</c:v>
                </c:pt>
                <c:pt idx="77">
                  <c:v>4.4200423472653162E-2</c:v>
                </c:pt>
                <c:pt idx="78">
                  <c:v>4.4294868863639966E-2</c:v>
                </c:pt>
                <c:pt idx="79">
                  <c:v>4.4392313762444048E-2</c:v>
                </c:pt>
                <c:pt idx="80">
                  <c:v>4.4474398420719083E-2</c:v>
                </c:pt>
                <c:pt idx="81">
                  <c:v>4.4559878996693378E-2</c:v>
                </c:pt>
                <c:pt idx="82">
                  <c:v>4.4638761742852369E-2</c:v>
                </c:pt>
                <c:pt idx="83">
                  <c:v>4.4730468264020058E-2</c:v>
                </c:pt>
                <c:pt idx="84">
                  <c:v>4.4817526342917642E-2</c:v>
                </c:pt>
                <c:pt idx="85">
                  <c:v>4.4905414338410152E-2</c:v>
                </c:pt>
                <c:pt idx="86">
                  <c:v>4.4992511112586932E-2</c:v>
                </c:pt>
                <c:pt idx="87">
                  <c:v>4.509334368649303E-2</c:v>
                </c:pt>
                <c:pt idx="88">
                  <c:v>4.5184069846349047E-2</c:v>
                </c:pt>
                <c:pt idx="89">
                  <c:v>4.5277366509293406E-2</c:v>
                </c:pt>
                <c:pt idx="90">
                  <c:v>4.5384878822370987E-2</c:v>
                </c:pt>
                <c:pt idx="91">
                  <c:v>4.5486939649868448E-2</c:v>
                </c:pt>
                <c:pt idx="92">
                  <c:v>4.5594541491460236E-2</c:v>
                </c:pt>
                <c:pt idx="93">
                  <c:v>4.5700959403498304E-2</c:v>
                </c:pt>
                <c:pt idx="94">
                  <c:v>4.5817710563973754E-2</c:v>
                </c:pt>
                <c:pt idx="95">
                  <c:v>4.592492625007643E-2</c:v>
                </c:pt>
                <c:pt idx="96">
                  <c:v>4.6040433514309788E-2</c:v>
                </c:pt>
                <c:pt idx="97">
                  <c:v>4.6142229541523756E-2</c:v>
                </c:pt>
                <c:pt idx="98">
                  <c:v>4.6257280165682563E-2</c:v>
                </c:pt>
                <c:pt idx="99">
                  <c:v>4.6388385325894496E-2</c:v>
                </c:pt>
                <c:pt idx="100">
                  <c:v>4.6498033877226383E-2</c:v>
                </c:pt>
                <c:pt idx="101">
                  <c:v>4.6631457629900126E-2</c:v>
                </c:pt>
                <c:pt idx="102">
                  <c:v>4.6747056165381523E-2</c:v>
                </c:pt>
                <c:pt idx="103">
                  <c:v>4.6874786050302188E-2</c:v>
                </c:pt>
                <c:pt idx="104">
                  <c:v>4.7008887315393273E-2</c:v>
                </c:pt>
                <c:pt idx="105">
                  <c:v>4.7135782495221636E-2</c:v>
                </c:pt>
                <c:pt idx="106">
                  <c:v>4.7283951135268662E-2</c:v>
                </c:pt>
                <c:pt idx="107">
                  <c:v>4.7431086822438767E-2</c:v>
                </c:pt>
                <c:pt idx="108">
                  <c:v>4.7553788340747354E-2</c:v>
                </c:pt>
                <c:pt idx="109">
                  <c:v>4.769455291708654E-2</c:v>
                </c:pt>
                <c:pt idx="110">
                  <c:v>4.7842110380658033E-2</c:v>
                </c:pt>
                <c:pt idx="111">
                  <c:v>4.7983325041338024E-2</c:v>
                </c:pt>
                <c:pt idx="112">
                  <c:v>4.8124947937369551E-2</c:v>
                </c:pt>
                <c:pt idx="113">
                  <c:v>4.8279855417858883E-2</c:v>
                </c:pt>
                <c:pt idx="114">
                  <c:v>4.843134301114272E-2</c:v>
                </c:pt>
                <c:pt idx="115">
                  <c:v>4.8589678711832972E-2</c:v>
                </c:pt>
                <c:pt idx="116">
                  <c:v>4.8742745682551596E-2</c:v>
                </c:pt>
                <c:pt idx="117">
                  <c:v>4.8891658960418617E-2</c:v>
                </c:pt>
                <c:pt idx="118">
                  <c:v>4.9036283643935794E-2</c:v>
                </c:pt>
                <c:pt idx="119">
                  <c:v>4.9182015365003787E-2</c:v>
                </c:pt>
                <c:pt idx="120">
                  <c:v>4.9297312029606251E-2</c:v>
                </c:pt>
                <c:pt idx="121">
                  <c:v>4.9434012376977289E-2</c:v>
                </c:pt>
                <c:pt idx="122">
                  <c:v>4.9540298659182407E-2</c:v>
                </c:pt>
                <c:pt idx="123">
                  <c:v>4.9655104280315096E-2</c:v>
                </c:pt>
                <c:pt idx="124">
                  <c:v>4.9757133139535517E-2</c:v>
                </c:pt>
                <c:pt idx="125">
                  <c:v>4.9855896881075189E-2</c:v>
                </c:pt>
                <c:pt idx="126">
                  <c:v>4.9951877858083985E-2</c:v>
                </c:pt>
                <c:pt idx="127">
                  <c:v>5.0032565913152374E-2</c:v>
                </c:pt>
                <c:pt idx="128">
                  <c:v>5.0114098192895494E-2</c:v>
                </c:pt>
                <c:pt idx="129">
                  <c:v>5.0179341017561087E-2</c:v>
                </c:pt>
                <c:pt idx="130">
                  <c:v>5.0248732173485647E-2</c:v>
                </c:pt>
                <c:pt idx="131">
                  <c:v>5.0304852959949506E-2</c:v>
                </c:pt>
                <c:pt idx="132">
                  <c:v>5.0351630381113274E-2</c:v>
                </c:pt>
                <c:pt idx="133">
                  <c:v>5.0390230044088991E-2</c:v>
                </c:pt>
                <c:pt idx="134">
                  <c:v>5.0431291957078475E-2</c:v>
                </c:pt>
                <c:pt idx="135">
                  <c:v>5.0461686294095413E-2</c:v>
                </c:pt>
                <c:pt idx="136">
                  <c:v>5.0480878426523594E-2</c:v>
                </c:pt>
                <c:pt idx="137">
                  <c:v>5.0501282923521795E-2</c:v>
                </c:pt>
                <c:pt idx="138">
                  <c:v>5.0510657782231155E-2</c:v>
                </c:pt>
                <c:pt idx="139">
                  <c:v>5.051451067964105E-2</c:v>
                </c:pt>
                <c:pt idx="140">
                  <c:v>5.0515307076017771E-2</c:v>
                </c:pt>
                <c:pt idx="141">
                  <c:v>5.0516007994509039E-2</c:v>
                </c:pt>
                <c:pt idx="142">
                  <c:v>5.0518027498406316E-2</c:v>
                </c:pt>
                <c:pt idx="143">
                  <c:v>5.0507614082952519E-2</c:v>
                </c:pt>
                <c:pt idx="144">
                  <c:v>5.0519649787162987E-2</c:v>
                </c:pt>
                <c:pt idx="145">
                  <c:v>5.0530283024460401E-2</c:v>
                </c:pt>
                <c:pt idx="146">
                  <c:v>5.0541227274949939E-2</c:v>
                </c:pt>
                <c:pt idx="147">
                  <c:v>5.0547101375037963E-2</c:v>
                </c:pt>
                <c:pt idx="148">
                  <c:v>5.0562177387562565E-2</c:v>
                </c:pt>
                <c:pt idx="149">
                  <c:v>5.0574752686023072E-2</c:v>
                </c:pt>
                <c:pt idx="150">
                  <c:v>5.0589301705979917E-2</c:v>
                </c:pt>
                <c:pt idx="151">
                  <c:v>5.060491514984148E-2</c:v>
                </c:pt>
                <c:pt idx="152">
                  <c:v>5.0618804473802695E-2</c:v>
                </c:pt>
                <c:pt idx="153">
                  <c:v>5.0640627014623331E-2</c:v>
                </c:pt>
                <c:pt idx="154">
                  <c:v>5.0662073488850524E-2</c:v>
                </c:pt>
                <c:pt idx="155">
                  <c:v>5.0679163895058631E-2</c:v>
                </c:pt>
                <c:pt idx="156">
                  <c:v>5.0703815670179925E-2</c:v>
                </c:pt>
                <c:pt idx="157">
                  <c:v>5.0724584326889977E-2</c:v>
                </c:pt>
                <c:pt idx="158">
                  <c:v>5.0768819240325516E-2</c:v>
                </c:pt>
                <c:pt idx="159">
                  <c:v>5.0780571373917914E-2</c:v>
                </c:pt>
                <c:pt idx="160">
                  <c:v>5.081271315601784E-2</c:v>
                </c:pt>
                <c:pt idx="161">
                  <c:v>5.0846314713000024E-2</c:v>
                </c:pt>
                <c:pt idx="162">
                  <c:v>5.0877456843637078E-2</c:v>
                </c:pt>
                <c:pt idx="163">
                  <c:v>5.0912218642499882E-2</c:v>
                </c:pt>
                <c:pt idx="164">
                  <c:v>5.0943281893648565E-2</c:v>
                </c:pt>
                <c:pt idx="165">
                  <c:v>5.0985312345323247E-2</c:v>
                </c:pt>
                <c:pt idx="166">
                  <c:v>5.1023546302012432E-2</c:v>
                </c:pt>
                <c:pt idx="167">
                  <c:v>5.1060360342772851E-2</c:v>
                </c:pt>
                <c:pt idx="168">
                  <c:v>5.1097352957602059E-2</c:v>
                </c:pt>
                <c:pt idx="169">
                  <c:v>5.1145745822234641E-2</c:v>
                </c:pt>
                <c:pt idx="170">
                  <c:v>5.1189987444582245E-2</c:v>
                </c:pt>
                <c:pt idx="171">
                  <c:v>5.1231310280015506E-2</c:v>
                </c:pt>
                <c:pt idx="172">
                  <c:v>5.1284356171524E-2</c:v>
                </c:pt>
                <c:pt idx="173">
                  <c:v>5.1333054072774442E-2</c:v>
                </c:pt>
                <c:pt idx="174">
                  <c:v>5.13844090972728E-2</c:v>
                </c:pt>
                <c:pt idx="175">
                  <c:v>5.1433973718912854E-2</c:v>
                </c:pt>
                <c:pt idx="176">
                  <c:v>5.147923307718022E-2</c:v>
                </c:pt>
                <c:pt idx="177">
                  <c:v>5.1527926123175478E-2</c:v>
                </c:pt>
                <c:pt idx="178">
                  <c:v>5.1574209572400095E-2</c:v>
                </c:pt>
                <c:pt idx="179">
                  <c:v>5.1606791983905033E-2</c:v>
                </c:pt>
                <c:pt idx="180">
                  <c:v>5.16480845951304E-2</c:v>
                </c:pt>
                <c:pt idx="181">
                  <c:v>5.1691751380465972E-2</c:v>
                </c:pt>
                <c:pt idx="182">
                  <c:v>5.1722672935872918E-2</c:v>
                </c:pt>
                <c:pt idx="183">
                  <c:v>5.1751580012179409E-2</c:v>
                </c:pt>
                <c:pt idx="184">
                  <c:v>5.1784459311649191E-2</c:v>
                </c:pt>
                <c:pt idx="185">
                  <c:v>5.1813590920154515E-2</c:v>
                </c:pt>
                <c:pt idx="186">
                  <c:v>5.1838580736737791E-2</c:v>
                </c:pt>
                <c:pt idx="187">
                  <c:v>5.1857965560784515E-2</c:v>
                </c:pt>
                <c:pt idx="188">
                  <c:v>5.188165425195132E-2</c:v>
                </c:pt>
                <c:pt idx="189">
                  <c:v>5.1900825508917212E-2</c:v>
                </c:pt>
                <c:pt idx="190">
                  <c:v>5.1908204218756145E-2</c:v>
                </c:pt>
                <c:pt idx="191">
                  <c:v>5.192632574089414E-2</c:v>
                </c:pt>
                <c:pt idx="192">
                  <c:v>5.1929675123197371E-2</c:v>
                </c:pt>
                <c:pt idx="193">
                  <c:v>5.1949050809512294E-2</c:v>
                </c:pt>
                <c:pt idx="194">
                  <c:v>5.1952047363963673E-2</c:v>
                </c:pt>
                <c:pt idx="195">
                  <c:v>5.1959894053940366E-2</c:v>
                </c:pt>
                <c:pt idx="196">
                  <c:v>5.1961930626641582E-2</c:v>
                </c:pt>
                <c:pt idx="197">
                  <c:v>5.1961427760011149E-2</c:v>
                </c:pt>
                <c:pt idx="198">
                  <c:v>5.195851486586428E-2</c:v>
                </c:pt>
                <c:pt idx="199">
                  <c:v>5.1949792138332396E-2</c:v>
                </c:pt>
                <c:pt idx="200">
                  <c:v>5.194561109245513E-2</c:v>
                </c:pt>
                <c:pt idx="201">
                  <c:v>5.1935771162129565E-2</c:v>
                </c:pt>
                <c:pt idx="202">
                  <c:v>5.1919755570268233E-2</c:v>
                </c:pt>
                <c:pt idx="203">
                  <c:v>5.1905276188738352E-2</c:v>
                </c:pt>
                <c:pt idx="204">
                  <c:v>5.1887915331934369E-2</c:v>
                </c:pt>
                <c:pt idx="205">
                  <c:v>5.187338973596084E-2</c:v>
                </c:pt>
                <c:pt idx="206">
                  <c:v>5.1848752984580172E-2</c:v>
                </c:pt>
                <c:pt idx="207">
                  <c:v>5.18283863889746E-2</c:v>
                </c:pt>
                <c:pt idx="208">
                  <c:v>5.1802431681950853E-2</c:v>
                </c:pt>
                <c:pt idx="209">
                  <c:v>5.1773225179587878E-2</c:v>
                </c:pt>
                <c:pt idx="210">
                  <c:v>5.1742592338214474E-2</c:v>
                </c:pt>
                <c:pt idx="211">
                  <c:v>5.1705479029424573E-2</c:v>
                </c:pt>
                <c:pt idx="212">
                  <c:v>5.1674421127904192E-2</c:v>
                </c:pt>
                <c:pt idx="213">
                  <c:v>5.1634382014789537E-2</c:v>
                </c:pt>
                <c:pt idx="214">
                  <c:v>5.1589817512703286E-2</c:v>
                </c:pt>
                <c:pt idx="215">
                  <c:v>5.1550701044698076E-2</c:v>
                </c:pt>
                <c:pt idx="216">
                  <c:v>5.1497448900876694E-2</c:v>
                </c:pt>
                <c:pt idx="217">
                  <c:v>5.1463713775793306E-2</c:v>
                </c:pt>
                <c:pt idx="218">
                  <c:v>5.140864941168511E-2</c:v>
                </c:pt>
                <c:pt idx="219">
                  <c:v>5.1361625948869977E-2</c:v>
                </c:pt>
                <c:pt idx="220">
                  <c:v>5.1306131982054422E-2</c:v>
                </c:pt>
                <c:pt idx="221">
                  <c:v>5.1251879504161615E-2</c:v>
                </c:pt>
                <c:pt idx="222">
                  <c:v>5.1189712803311263E-2</c:v>
                </c:pt>
                <c:pt idx="223">
                  <c:v>5.1126389648692781E-2</c:v>
                </c:pt>
                <c:pt idx="224">
                  <c:v>5.1063790697086109E-2</c:v>
                </c:pt>
                <c:pt idx="225">
                  <c:v>5.0995573371468629E-2</c:v>
                </c:pt>
                <c:pt idx="226">
                  <c:v>5.0932618826311664E-2</c:v>
                </c:pt>
                <c:pt idx="227">
                  <c:v>5.0855662831965368E-2</c:v>
                </c:pt>
                <c:pt idx="228">
                  <c:v>5.0797653060665936E-2</c:v>
                </c:pt>
                <c:pt idx="229">
                  <c:v>5.0730594504804299E-2</c:v>
                </c:pt>
                <c:pt idx="230">
                  <c:v>5.0658621236234637E-2</c:v>
                </c:pt>
                <c:pt idx="231">
                  <c:v>5.0575430066412151E-2</c:v>
                </c:pt>
                <c:pt idx="232">
                  <c:v>5.049443113887913E-2</c:v>
                </c:pt>
                <c:pt idx="233">
                  <c:v>5.0409133447921479E-2</c:v>
                </c:pt>
                <c:pt idx="234">
                  <c:v>5.032396066873443E-2</c:v>
                </c:pt>
                <c:pt idx="235">
                  <c:v>5.0238543359458557E-2</c:v>
                </c:pt>
                <c:pt idx="236">
                  <c:v>5.0161908308714066E-2</c:v>
                </c:pt>
                <c:pt idx="237">
                  <c:v>5.007580562988339E-2</c:v>
                </c:pt>
                <c:pt idx="238">
                  <c:v>4.9995256965921664E-2</c:v>
                </c:pt>
                <c:pt idx="239">
                  <c:v>4.9917852919657078E-2</c:v>
                </c:pt>
                <c:pt idx="240">
                  <c:v>4.9851532668363549E-2</c:v>
                </c:pt>
                <c:pt idx="241">
                  <c:v>4.977471618444132E-2</c:v>
                </c:pt>
                <c:pt idx="242">
                  <c:v>4.9701227058141395E-2</c:v>
                </c:pt>
                <c:pt idx="243">
                  <c:v>4.9629205192510198E-2</c:v>
                </c:pt>
                <c:pt idx="244">
                  <c:v>4.9556200740426229E-2</c:v>
                </c:pt>
                <c:pt idx="245">
                  <c:v>4.9486776410856338E-2</c:v>
                </c:pt>
                <c:pt idx="246">
                  <c:v>4.9414199962416083E-2</c:v>
                </c:pt>
                <c:pt idx="247">
                  <c:v>4.9351761841570578E-2</c:v>
                </c:pt>
                <c:pt idx="248">
                  <c:v>4.9281983717786929E-2</c:v>
                </c:pt>
                <c:pt idx="249">
                  <c:v>4.9217517042218988E-2</c:v>
                </c:pt>
                <c:pt idx="250">
                  <c:v>4.9152791932520271E-2</c:v>
                </c:pt>
                <c:pt idx="251">
                  <c:v>4.9086531240397316E-2</c:v>
                </c:pt>
                <c:pt idx="252">
                  <c:v>4.9032332670800968E-2</c:v>
                </c:pt>
                <c:pt idx="253">
                  <c:v>4.8971271961566171E-2</c:v>
                </c:pt>
                <c:pt idx="254">
                  <c:v>4.8917614973610073E-2</c:v>
                </c:pt>
                <c:pt idx="255">
                  <c:v>4.8859204879385568E-2</c:v>
                </c:pt>
                <c:pt idx="256">
                  <c:v>4.88056816619944E-2</c:v>
                </c:pt>
                <c:pt idx="257">
                  <c:v>4.8748187868522176E-2</c:v>
                </c:pt>
                <c:pt idx="258">
                  <c:v>4.8693091639702535E-2</c:v>
                </c:pt>
                <c:pt idx="259">
                  <c:v>4.8642446395563803E-2</c:v>
                </c:pt>
                <c:pt idx="260">
                  <c:v>4.8592351372813987E-2</c:v>
                </c:pt>
                <c:pt idx="261">
                  <c:v>4.8539531785366741E-2</c:v>
                </c:pt>
                <c:pt idx="262">
                  <c:v>4.8489555939331686E-2</c:v>
                </c:pt>
                <c:pt idx="263">
                  <c:v>4.8444310873723834E-2</c:v>
                </c:pt>
                <c:pt idx="264">
                  <c:v>4.8406174051624007E-2</c:v>
                </c:pt>
                <c:pt idx="265">
                  <c:v>4.835991775431988E-2</c:v>
                </c:pt>
                <c:pt idx="266">
                  <c:v>4.83186008171788E-2</c:v>
                </c:pt>
                <c:pt idx="267">
                  <c:v>4.827744524857313E-2</c:v>
                </c:pt>
                <c:pt idx="268">
                  <c:v>4.823630142842663E-2</c:v>
                </c:pt>
                <c:pt idx="269">
                  <c:v>4.8197740806456231E-2</c:v>
                </c:pt>
                <c:pt idx="270">
                  <c:v>4.8159275561194689E-2</c:v>
                </c:pt>
                <c:pt idx="271">
                  <c:v>4.8124449993285801E-2</c:v>
                </c:pt>
                <c:pt idx="272">
                  <c:v>4.8077061106843316E-2</c:v>
                </c:pt>
                <c:pt idx="273">
                  <c:v>4.8049944857756405E-2</c:v>
                </c:pt>
                <c:pt idx="274">
                  <c:v>4.8018393738668119E-2</c:v>
                </c:pt>
                <c:pt idx="275">
                  <c:v>4.799318913702523E-2</c:v>
                </c:pt>
                <c:pt idx="276">
                  <c:v>4.796088443409989E-2</c:v>
                </c:pt>
                <c:pt idx="277">
                  <c:v>4.793432542892892E-2</c:v>
                </c:pt>
                <c:pt idx="278">
                  <c:v>4.7907296207443377E-2</c:v>
                </c:pt>
                <c:pt idx="279">
                  <c:v>4.7880734052907936E-2</c:v>
                </c:pt>
                <c:pt idx="280">
                  <c:v>4.7856299074777689E-2</c:v>
                </c:pt>
                <c:pt idx="281">
                  <c:v>4.7829645848039302E-2</c:v>
                </c:pt>
                <c:pt idx="282">
                  <c:v>4.7811258585868412E-2</c:v>
                </c:pt>
                <c:pt idx="283">
                  <c:v>4.7789367473532254E-2</c:v>
                </c:pt>
                <c:pt idx="284">
                  <c:v>4.7765076932551893E-2</c:v>
                </c:pt>
                <c:pt idx="285">
                  <c:v>4.7751591910310927E-2</c:v>
                </c:pt>
                <c:pt idx="286">
                  <c:v>4.7726359515389685E-2</c:v>
                </c:pt>
                <c:pt idx="287">
                  <c:v>4.7720994977706162E-2</c:v>
                </c:pt>
                <c:pt idx="288">
                  <c:v>4.7703000354105844E-2</c:v>
                </c:pt>
                <c:pt idx="289">
                  <c:v>4.7693427817138999E-2</c:v>
                </c:pt>
                <c:pt idx="290">
                  <c:v>4.7681091637018391E-2</c:v>
                </c:pt>
                <c:pt idx="291">
                  <c:v>4.7671062736605131E-2</c:v>
                </c:pt>
                <c:pt idx="292">
                  <c:v>4.7661271518285968E-2</c:v>
                </c:pt>
                <c:pt idx="293">
                  <c:v>4.76493377899668E-2</c:v>
                </c:pt>
                <c:pt idx="294">
                  <c:v>4.7643237362296642E-2</c:v>
                </c:pt>
                <c:pt idx="295">
                  <c:v>4.7634620324055646E-2</c:v>
                </c:pt>
                <c:pt idx="296">
                  <c:v>4.7622926532279904E-2</c:v>
                </c:pt>
                <c:pt idx="297">
                  <c:v>4.7614621825710753E-2</c:v>
                </c:pt>
                <c:pt idx="298">
                  <c:v>4.7606211135333441E-2</c:v>
                </c:pt>
                <c:pt idx="299">
                  <c:v>4.7601695988838226E-2</c:v>
                </c:pt>
                <c:pt idx="300">
                  <c:v>4.7590884412228557E-2</c:v>
                </c:pt>
                <c:pt idx="301">
                  <c:v>4.7586160098647273E-2</c:v>
                </c:pt>
                <c:pt idx="302">
                  <c:v>4.757862371972308E-2</c:v>
                </c:pt>
                <c:pt idx="303">
                  <c:v>4.7571006158213219E-2</c:v>
                </c:pt>
                <c:pt idx="304">
                  <c:v>4.7563783510841805E-2</c:v>
                </c:pt>
                <c:pt idx="305">
                  <c:v>4.7553515588789168E-2</c:v>
                </c:pt>
                <c:pt idx="306">
                  <c:v>4.754980133899523E-2</c:v>
                </c:pt>
                <c:pt idx="307">
                  <c:v>4.7542611015480248E-2</c:v>
                </c:pt>
                <c:pt idx="308">
                  <c:v>4.753005789669968E-2</c:v>
                </c:pt>
                <c:pt idx="309">
                  <c:v>4.7523203311576646E-2</c:v>
                </c:pt>
                <c:pt idx="310">
                  <c:v>4.7523088326891297E-2</c:v>
                </c:pt>
                <c:pt idx="311">
                  <c:v>4.7517547422812882E-2</c:v>
                </c:pt>
                <c:pt idx="312">
                  <c:v>4.7508383372956958E-2</c:v>
                </c:pt>
                <c:pt idx="313">
                  <c:v>4.7505726446089795E-2</c:v>
                </c:pt>
                <c:pt idx="314">
                  <c:v>4.7499686427752388E-2</c:v>
                </c:pt>
                <c:pt idx="315">
                  <c:v>4.7494171817910873E-2</c:v>
                </c:pt>
                <c:pt idx="316">
                  <c:v>4.748564825850788E-2</c:v>
                </c:pt>
                <c:pt idx="317">
                  <c:v>4.7483605697235719E-2</c:v>
                </c:pt>
                <c:pt idx="318">
                  <c:v>4.7478233581950267E-2</c:v>
                </c:pt>
                <c:pt idx="319">
                  <c:v>4.7467504962882844E-2</c:v>
                </c:pt>
                <c:pt idx="320">
                  <c:v>4.7468463467762838E-2</c:v>
                </c:pt>
                <c:pt idx="321">
                  <c:v>4.7454883739094449E-2</c:v>
                </c:pt>
                <c:pt idx="322">
                  <c:v>4.7459891778814975E-2</c:v>
                </c:pt>
                <c:pt idx="323">
                  <c:v>4.7452335100071942E-2</c:v>
                </c:pt>
                <c:pt idx="324">
                  <c:v>4.7451356248068899E-2</c:v>
                </c:pt>
                <c:pt idx="325">
                  <c:v>4.7447139687636961E-2</c:v>
                </c:pt>
                <c:pt idx="326">
                  <c:v>4.7443458242005236E-2</c:v>
                </c:pt>
                <c:pt idx="327">
                  <c:v>4.7439690706724498E-2</c:v>
                </c:pt>
                <c:pt idx="328">
                  <c:v>4.7433181526909875E-2</c:v>
                </c:pt>
                <c:pt idx="329">
                  <c:v>4.7432754040391503E-2</c:v>
                </c:pt>
                <c:pt idx="330">
                  <c:v>4.7429574789188841E-2</c:v>
                </c:pt>
                <c:pt idx="331">
                  <c:v>4.7414366325811301E-2</c:v>
                </c:pt>
                <c:pt idx="332">
                  <c:v>4.7417540203823223E-2</c:v>
                </c:pt>
                <c:pt idx="333">
                  <c:v>4.7417766324328925E-2</c:v>
                </c:pt>
                <c:pt idx="334">
                  <c:v>4.7418481601806485E-2</c:v>
                </c:pt>
                <c:pt idx="335">
                  <c:v>4.7413038107910366E-2</c:v>
                </c:pt>
                <c:pt idx="336">
                  <c:v>4.7413740811292467E-2</c:v>
                </c:pt>
                <c:pt idx="337">
                  <c:v>4.7411642067021101E-2</c:v>
                </c:pt>
                <c:pt idx="338">
                  <c:v>4.7409637527543465E-2</c:v>
                </c:pt>
                <c:pt idx="339">
                  <c:v>4.7407852476342868E-2</c:v>
                </c:pt>
                <c:pt idx="340">
                  <c:v>4.7403129283525122E-2</c:v>
                </c:pt>
                <c:pt idx="341">
                  <c:v>4.7404745443509484E-2</c:v>
                </c:pt>
                <c:pt idx="342">
                  <c:v>4.7403343472828777E-2</c:v>
                </c:pt>
                <c:pt idx="343">
                  <c:v>4.7399171317274016E-2</c:v>
                </c:pt>
                <c:pt idx="344">
                  <c:v>4.7401152698863497E-2</c:v>
                </c:pt>
                <c:pt idx="345">
                  <c:v>4.7394200406568825E-2</c:v>
                </c:pt>
                <c:pt idx="346">
                  <c:v>4.7405773001501721E-2</c:v>
                </c:pt>
                <c:pt idx="347">
                  <c:v>4.7396039636425927E-2</c:v>
                </c:pt>
                <c:pt idx="348">
                  <c:v>4.7398722843703937E-2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41893</c:v>
                </c:pt>
                <c:pt idx="1">
                  <c:v>41925</c:v>
                </c:pt>
                <c:pt idx="2">
                  <c:v>41956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42110</c:v>
                </c:pt>
                <c:pt idx="8">
                  <c:v>42142</c:v>
                </c:pt>
                <c:pt idx="9">
                  <c:v>42173</c:v>
                </c:pt>
                <c:pt idx="10">
                  <c:v>42205</c:v>
                </c:pt>
                <c:pt idx="11">
                  <c:v>42236</c:v>
                </c:pt>
                <c:pt idx="12">
                  <c:v>42268</c:v>
                </c:pt>
                <c:pt idx="13">
                  <c:v>42298</c:v>
                </c:pt>
                <c:pt idx="14">
                  <c:v>42331</c:v>
                </c:pt>
                <c:pt idx="15">
                  <c:v>42361</c:v>
                </c:pt>
                <c:pt idx="16">
                  <c:v>42394</c:v>
                </c:pt>
                <c:pt idx="17">
                  <c:v>42425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2.4659578420244292E-2</c:v>
                </c:pt>
                <c:pt idx="1">
                  <c:v>2.4592502581948811E-2</c:v>
                </c:pt>
                <c:pt idx="2">
                  <c:v>2.4570557303613395E-2</c:v>
                </c:pt>
                <c:pt idx="3">
                  <c:v>2.4553394743440045E-2</c:v>
                </c:pt>
                <c:pt idx="4">
                  <c:v>2.4606380371477776E-2</c:v>
                </c:pt>
                <c:pt idx="5">
                  <c:v>2.4670949671087211E-2</c:v>
                </c:pt>
                <c:pt idx="6">
                  <c:v>2.4751118020343799E-2</c:v>
                </c:pt>
                <c:pt idx="7">
                  <c:v>2.4813856513466272E-2</c:v>
                </c:pt>
                <c:pt idx="8">
                  <c:v>2.4899976523642398E-2</c:v>
                </c:pt>
                <c:pt idx="9">
                  <c:v>2.5056773842146225E-2</c:v>
                </c:pt>
                <c:pt idx="10">
                  <c:v>2.5328529134726586E-2</c:v>
                </c:pt>
                <c:pt idx="11">
                  <c:v>2.5662954810542916E-2</c:v>
                </c:pt>
                <c:pt idx="12">
                  <c:v>2.6027993359050493E-2</c:v>
                </c:pt>
                <c:pt idx="13">
                  <c:v>2.6377208738589737E-2</c:v>
                </c:pt>
                <c:pt idx="14">
                  <c:v>2.6743422312776141E-2</c:v>
                </c:pt>
                <c:pt idx="15">
                  <c:v>2.706047479697353E-2</c:v>
                </c:pt>
                <c:pt idx="16">
                  <c:v>2.7414775177592356E-2</c:v>
                </c:pt>
                <c:pt idx="17">
                  <c:v>2.7728528997375435E-2</c:v>
                </c:pt>
                <c:pt idx="18">
                  <c:v>2.8096601992721727E-2</c:v>
                </c:pt>
                <c:pt idx="19">
                  <c:v>2.8434403178713583E-2</c:v>
                </c:pt>
                <c:pt idx="20">
                  <c:v>2.8796751149508019E-2</c:v>
                </c:pt>
                <c:pt idx="21">
                  <c:v>2.9162838029666113E-2</c:v>
                </c:pt>
                <c:pt idx="22">
                  <c:v>2.9559136600968674E-2</c:v>
                </c:pt>
                <c:pt idx="23">
                  <c:v>2.9922319354545205E-2</c:v>
                </c:pt>
                <c:pt idx="24">
                  <c:v>3.0301410098892836E-2</c:v>
                </c:pt>
                <c:pt idx="25">
                  <c:v>3.0662463085199286E-2</c:v>
                </c:pt>
                <c:pt idx="26">
                  <c:v>3.0977571564022286E-2</c:v>
                </c:pt>
                <c:pt idx="27">
                  <c:v>3.1293829551184871E-2</c:v>
                </c:pt>
                <c:pt idx="28">
                  <c:v>3.1619994318351025E-2</c:v>
                </c:pt>
                <c:pt idx="29">
                  <c:v>3.1894816824004225E-2</c:v>
                </c:pt>
                <c:pt idx="30">
                  <c:v>3.217440797785031E-2</c:v>
                </c:pt>
                <c:pt idx="31">
                  <c:v>3.2461648969734622E-2</c:v>
                </c:pt>
                <c:pt idx="32">
                  <c:v>3.2721437551984499E-2</c:v>
                </c:pt>
                <c:pt idx="33">
                  <c:v>3.2977127430693469E-2</c:v>
                </c:pt>
                <c:pt idx="34">
                  <c:v>3.3217604596977E-2</c:v>
                </c:pt>
                <c:pt idx="35">
                  <c:v>3.3459510192918637E-2</c:v>
                </c:pt>
                <c:pt idx="36">
                  <c:v>3.3701291160818346E-2</c:v>
                </c:pt>
                <c:pt idx="37">
                  <c:v>3.3967388594832705E-2</c:v>
                </c:pt>
                <c:pt idx="38">
                  <c:v>3.4203243530396499E-2</c:v>
                </c:pt>
                <c:pt idx="39">
                  <c:v>3.4469542648991297E-2</c:v>
                </c:pt>
                <c:pt idx="40">
                  <c:v>3.4742614621968364E-2</c:v>
                </c:pt>
                <c:pt idx="41">
                  <c:v>3.5007339077463062E-2</c:v>
                </c:pt>
                <c:pt idx="42">
                  <c:v>3.5288456266538801E-2</c:v>
                </c:pt>
                <c:pt idx="43">
                  <c:v>3.5569756489638206E-2</c:v>
                </c:pt>
                <c:pt idx="44">
                  <c:v>3.5878420473935392E-2</c:v>
                </c:pt>
                <c:pt idx="45">
                  <c:v>3.6161929894131334E-2</c:v>
                </c:pt>
                <c:pt idx="46">
                  <c:v>3.6466413092844686E-2</c:v>
                </c:pt>
                <c:pt idx="47">
                  <c:v>3.6728669936786133E-2</c:v>
                </c:pt>
                <c:pt idx="48">
                  <c:v>3.6985196457571576E-2</c:v>
                </c:pt>
                <c:pt idx="49">
                  <c:v>3.7202206225770321E-2</c:v>
                </c:pt>
                <c:pt idx="50">
                  <c:v>3.7394886257771154E-2</c:v>
                </c:pt>
                <c:pt idx="51">
                  <c:v>3.7556289484026451E-2</c:v>
                </c:pt>
                <c:pt idx="52">
                  <c:v>3.7704752901541051E-2</c:v>
                </c:pt>
                <c:pt idx="53">
                  <c:v>3.7812133473331296E-2</c:v>
                </c:pt>
                <c:pt idx="54">
                  <c:v>3.7902014802584247E-2</c:v>
                </c:pt>
                <c:pt idx="55">
                  <c:v>3.7969150793235693E-2</c:v>
                </c:pt>
                <c:pt idx="56">
                  <c:v>3.8008129957571093E-2</c:v>
                </c:pt>
                <c:pt idx="57">
                  <c:v>3.8032080956894927E-2</c:v>
                </c:pt>
                <c:pt idx="58">
                  <c:v>3.8058855841752871E-2</c:v>
                </c:pt>
                <c:pt idx="59">
                  <c:v>3.8110200227054546E-2</c:v>
                </c:pt>
                <c:pt idx="60">
                  <c:v>3.818873197288343E-2</c:v>
                </c:pt>
                <c:pt idx="61">
                  <c:v>3.8305025064161821E-2</c:v>
                </c:pt>
                <c:pt idx="62">
                  <c:v>3.8450580722993219E-2</c:v>
                </c:pt>
                <c:pt idx="63">
                  <c:v>3.8634083188774045E-2</c:v>
                </c:pt>
                <c:pt idx="64">
                  <c:v>3.8835516581599686E-2</c:v>
                </c:pt>
                <c:pt idx="65">
                  <c:v>3.9069212730223013E-2</c:v>
                </c:pt>
                <c:pt idx="66">
                  <c:v>3.9347608946634874E-2</c:v>
                </c:pt>
                <c:pt idx="67">
                  <c:v>3.965124083183464E-2</c:v>
                </c:pt>
                <c:pt idx="68">
                  <c:v>3.9996348456854403E-2</c:v>
                </c:pt>
                <c:pt idx="69">
                  <c:v>4.0343651667432749E-2</c:v>
                </c:pt>
                <c:pt idx="70">
                  <c:v>4.0679838212227544E-2</c:v>
                </c:pt>
                <c:pt idx="71">
                  <c:v>4.0970243572149678E-2</c:v>
                </c:pt>
                <c:pt idx="72">
                  <c:v>4.1229889881363599E-2</c:v>
                </c:pt>
                <c:pt idx="73">
                  <c:v>4.1408976058797897E-2</c:v>
                </c:pt>
                <c:pt idx="74">
                  <c:v>4.1569904092087606E-2</c:v>
                </c:pt>
                <c:pt idx="75">
                  <c:v>4.1660386839683677E-2</c:v>
                </c:pt>
                <c:pt idx="76">
                  <c:v>4.1715384749066366E-2</c:v>
                </c:pt>
                <c:pt idx="77">
                  <c:v>4.1717383336190718E-2</c:v>
                </c:pt>
                <c:pt idx="78">
                  <c:v>4.1675853613947982E-2</c:v>
                </c:pt>
                <c:pt idx="79">
                  <c:v>4.1572271700573586E-2</c:v>
                </c:pt>
                <c:pt idx="80">
                  <c:v>4.1437928807500975E-2</c:v>
                </c:pt>
                <c:pt idx="81">
                  <c:v>4.1275888367344658E-2</c:v>
                </c:pt>
                <c:pt idx="82">
                  <c:v>4.1128949680435754E-2</c:v>
                </c:pt>
                <c:pt idx="83">
                  <c:v>4.1012906132625343E-2</c:v>
                </c:pt>
                <c:pt idx="84">
                  <c:v>4.0937038262371363E-2</c:v>
                </c:pt>
                <c:pt idx="85">
                  <c:v>4.089467423353263E-2</c:v>
                </c:pt>
                <c:pt idx="86">
                  <c:v>4.0889432600347497E-2</c:v>
                </c:pt>
                <c:pt idx="87">
                  <c:v>4.0928037613459534E-2</c:v>
                </c:pt>
                <c:pt idx="88">
                  <c:v>4.0995187645230656E-2</c:v>
                </c:pt>
                <c:pt idx="89">
                  <c:v>4.1095756099364271E-2</c:v>
                </c:pt>
                <c:pt idx="90">
                  <c:v>4.1247174754360849E-2</c:v>
                </c:pt>
                <c:pt idx="91">
                  <c:v>4.1426335831746819E-2</c:v>
                </c:pt>
                <c:pt idx="92">
                  <c:v>4.1643807280322104E-2</c:v>
                </c:pt>
                <c:pt idx="93">
                  <c:v>4.1872945693862837E-2</c:v>
                </c:pt>
                <c:pt idx="94">
                  <c:v>4.2120686015709299E-2</c:v>
                </c:pt>
                <c:pt idx="95">
                  <c:v>4.2344644335983672E-2</c:v>
                </c:pt>
                <c:pt idx="96">
                  <c:v>4.2581630060961558E-2</c:v>
                </c:pt>
                <c:pt idx="97">
                  <c:v>4.2787499780764904E-2</c:v>
                </c:pt>
                <c:pt idx="98">
                  <c:v>4.3012048219317783E-2</c:v>
                </c:pt>
                <c:pt idx="99">
                  <c:v>4.3241668764412593E-2</c:v>
                </c:pt>
                <c:pt idx="100">
                  <c:v>4.3437336161957101E-2</c:v>
                </c:pt>
                <c:pt idx="101">
                  <c:v>4.3663202858377444E-2</c:v>
                </c:pt>
                <c:pt idx="102">
                  <c:v>4.3861938008146056E-2</c:v>
                </c:pt>
                <c:pt idx="103">
                  <c:v>4.406966676775706E-2</c:v>
                </c:pt>
                <c:pt idx="104">
                  <c:v>4.4278861331990098E-2</c:v>
                </c:pt>
                <c:pt idx="105">
                  <c:v>4.4467233262863996E-2</c:v>
                </c:pt>
                <c:pt idx="106">
                  <c:v>4.4666389234265948E-2</c:v>
                </c:pt>
                <c:pt idx="107">
                  <c:v>4.4844929520557741E-2</c:v>
                </c:pt>
                <c:pt idx="108">
                  <c:v>4.4983937507226429E-2</c:v>
                </c:pt>
                <c:pt idx="109">
                  <c:v>4.5125409735221278E-2</c:v>
                </c:pt>
                <c:pt idx="110">
                  <c:v>4.525743123706457E-2</c:v>
                </c:pt>
                <c:pt idx="111">
                  <c:v>4.5369267175135286E-2</c:v>
                </c:pt>
                <c:pt idx="112">
                  <c:v>4.5466594188926887E-2</c:v>
                </c:pt>
                <c:pt idx="113">
                  <c:v>4.5559129488246641E-2</c:v>
                </c:pt>
                <c:pt idx="114">
                  <c:v>4.5634010791512518E-2</c:v>
                </c:pt>
                <c:pt idx="115">
                  <c:v>4.5697701539548968E-2</c:v>
                </c:pt>
                <c:pt idx="116">
                  <c:v>4.5749376632662216E-2</c:v>
                </c:pt>
                <c:pt idx="117">
                  <c:v>4.5793275604546858E-2</c:v>
                </c:pt>
                <c:pt idx="118">
                  <c:v>4.5839679205927332E-2</c:v>
                </c:pt>
                <c:pt idx="119">
                  <c:v>4.5885844985798438E-2</c:v>
                </c:pt>
                <c:pt idx="120">
                  <c:v>4.5919812977034624E-2</c:v>
                </c:pt>
                <c:pt idx="121">
                  <c:v>4.5967775208357035E-2</c:v>
                </c:pt>
                <c:pt idx="122">
                  <c:v>4.6001450109138857E-2</c:v>
                </c:pt>
                <c:pt idx="123">
                  <c:v>4.604831913053397E-2</c:v>
                </c:pt>
                <c:pt idx="124">
                  <c:v>4.6085240822707194E-2</c:v>
                </c:pt>
                <c:pt idx="125">
                  <c:v>4.6125941108897145E-2</c:v>
                </c:pt>
                <c:pt idx="126">
                  <c:v>4.616589650853991E-2</c:v>
                </c:pt>
                <c:pt idx="127">
                  <c:v>4.6201399950069215E-2</c:v>
                </c:pt>
                <c:pt idx="128">
                  <c:v>4.6239552095910054E-2</c:v>
                </c:pt>
                <c:pt idx="129">
                  <c:v>4.6271018352485441E-2</c:v>
                </c:pt>
                <c:pt idx="130">
                  <c:v>4.6309764962498688E-2</c:v>
                </c:pt>
                <c:pt idx="131">
                  <c:v>4.6343050289069321E-2</c:v>
                </c:pt>
                <c:pt idx="132">
                  <c:v>4.6373049901383114E-2</c:v>
                </c:pt>
                <c:pt idx="133">
                  <c:v>4.6401174900804434E-2</c:v>
                </c:pt>
                <c:pt idx="134">
                  <c:v>4.6436395994125378E-2</c:v>
                </c:pt>
                <c:pt idx="135">
                  <c:v>4.6466901862310811E-2</c:v>
                </c:pt>
                <c:pt idx="136">
                  <c:v>4.6492598252021775E-2</c:v>
                </c:pt>
                <c:pt idx="137">
                  <c:v>4.6525255122146281E-2</c:v>
                </c:pt>
                <c:pt idx="138">
                  <c:v>4.6552708269393957E-2</c:v>
                </c:pt>
                <c:pt idx="139">
                  <c:v>4.6580386445264327E-2</c:v>
                </c:pt>
                <c:pt idx="140">
                  <c:v>4.6607048976260411E-2</c:v>
                </c:pt>
                <c:pt idx="141">
                  <c:v>4.6634942014352705E-2</c:v>
                </c:pt>
                <c:pt idx="142">
                  <c:v>4.6661700003984556E-2</c:v>
                </c:pt>
                <c:pt idx="143">
                  <c:v>4.6677902834893939E-2</c:v>
                </c:pt>
                <c:pt idx="144">
                  <c:v>4.6712863378976621E-2</c:v>
                </c:pt>
                <c:pt idx="145">
                  <c:v>4.6747868806168838E-2</c:v>
                </c:pt>
                <c:pt idx="146">
                  <c:v>4.67787012396862E-2</c:v>
                </c:pt>
                <c:pt idx="147">
                  <c:v>4.6806023429940335E-2</c:v>
                </c:pt>
                <c:pt idx="148">
                  <c:v>4.6842094961662389E-2</c:v>
                </c:pt>
                <c:pt idx="149">
                  <c:v>4.6874265661110241E-2</c:v>
                </c:pt>
                <c:pt idx="150">
                  <c:v>4.6908150042211216E-2</c:v>
                </c:pt>
                <c:pt idx="151">
                  <c:v>4.6941630347599295E-2</c:v>
                </c:pt>
                <c:pt idx="152">
                  <c:v>4.6973253017007194E-2</c:v>
                </c:pt>
                <c:pt idx="153">
                  <c:v>4.7010524276673946E-2</c:v>
                </c:pt>
                <c:pt idx="154">
                  <c:v>4.7048244816994766E-2</c:v>
                </c:pt>
                <c:pt idx="155">
                  <c:v>4.7079511390976804E-2</c:v>
                </c:pt>
                <c:pt idx="156">
                  <c:v>4.7118610060700193E-2</c:v>
                </c:pt>
                <c:pt idx="157">
                  <c:v>4.7152314990277944E-2</c:v>
                </c:pt>
                <c:pt idx="158">
                  <c:v>4.7206390847502971E-2</c:v>
                </c:pt>
                <c:pt idx="159">
                  <c:v>4.7230211122878119E-2</c:v>
                </c:pt>
                <c:pt idx="160">
                  <c:v>4.7271954685439439E-2</c:v>
                </c:pt>
                <c:pt idx="161">
                  <c:v>4.7315778077509425E-2</c:v>
                </c:pt>
                <c:pt idx="162">
                  <c:v>4.7355089721270546E-2</c:v>
                </c:pt>
                <c:pt idx="163">
                  <c:v>4.7397687572107695E-2</c:v>
                </c:pt>
                <c:pt idx="164">
                  <c:v>4.7435809974603657E-2</c:v>
                </c:pt>
                <c:pt idx="165">
                  <c:v>4.7483559536230631E-2</c:v>
                </c:pt>
                <c:pt idx="166">
                  <c:v>4.7526791429869521E-2</c:v>
                </c:pt>
                <c:pt idx="167">
                  <c:v>4.7568245593979298E-2</c:v>
                </c:pt>
                <c:pt idx="168">
                  <c:v>4.7608907377306942E-2</c:v>
                </c:pt>
                <c:pt idx="169">
                  <c:v>4.7659409919213615E-2</c:v>
                </c:pt>
                <c:pt idx="170">
                  <c:v>4.7704678579563474E-2</c:v>
                </c:pt>
                <c:pt idx="171">
                  <c:v>4.7747200450591769E-2</c:v>
                </c:pt>
                <c:pt idx="172">
                  <c:v>4.7799722661628956E-2</c:v>
                </c:pt>
                <c:pt idx="173">
                  <c:v>4.7847464032299634E-2</c:v>
                </c:pt>
                <c:pt idx="174">
                  <c:v>4.7897049952774509E-2</c:v>
                </c:pt>
                <c:pt idx="175">
                  <c:v>4.7944427619976977E-2</c:v>
                </c:pt>
                <c:pt idx="176">
                  <c:v>4.7987720230750194E-2</c:v>
                </c:pt>
                <c:pt idx="177">
                  <c:v>4.8033671863799754E-2</c:v>
                </c:pt>
                <c:pt idx="178">
                  <c:v>4.8077476226203203E-2</c:v>
                </c:pt>
                <c:pt idx="179">
                  <c:v>4.8108687585124876E-2</c:v>
                </c:pt>
                <c:pt idx="180">
                  <c:v>4.8147547321716111E-2</c:v>
                </c:pt>
                <c:pt idx="181">
                  <c:v>4.8188085402618624E-2</c:v>
                </c:pt>
                <c:pt idx="182">
                  <c:v>4.8216978844902586E-2</c:v>
                </c:pt>
                <c:pt idx="183">
                  <c:v>4.8244057985590783E-2</c:v>
                </c:pt>
                <c:pt idx="184">
                  <c:v>4.8274334737616983E-2</c:v>
                </c:pt>
                <c:pt idx="185">
                  <c:v>4.8301142093464304E-2</c:v>
                </c:pt>
                <c:pt idx="186">
                  <c:v>4.8323969984756361E-2</c:v>
                </c:pt>
                <c:pt idx="187">
                  <c:v>4.8341614736937939E-2</c:v>
                </c:pt>
                <c:pt idx="188">
                  <c:v>4.836278204209829E-2</c:v>
                </c:pt>
                <c:pt idx="189">
                  <c:v>4.837971903462937E-2</c:v>
                </c:pt>
                <c:pt idx="190">
                  <c:v>4.8386027053920699E-2</c:v>
                </c:pt>
                <c:pt idx="191">
                  <c:v>4.8401489405817996E-2</c:v>
                </c:pt>
                <c:pt idx="192">
                  <c:v>4.840374373732826E-2</c:v>
                </c:pt>
                <c:pt idx="193">
                  <c:v>4.8419889074178858E-2</c:v>
                </c:pt>
                <c:pt idx="194">
                  <c:v>4.842129622780713E-2</c:v>
                </c:pt>
                <c:pt idx="195">
                  <c:v>4.8426762228119626E-2</c:v>
                </c:pt>
                <c:pt idx="196">
                  <c:v>4.842665702222259E-2</c:v>
                </c:pt>
                <c:pt idx="197">
                  <c:v>4.8424285160080245E-2</c:v>
                </c:pt>
                <c:pt idx="198">
                  <c:v>4.8419400177052589E-2</c:v>
                </c:pt>
                <c:pt idx="199">
                  <c:v>4.8409257829943507E-2</c:v>
                </c:pt>
                <c:pt idx="200">
                  <c:v>4.8402678744286338E-2</c:v>
                </c:pt>
                <c:pt idx="201">
                  <c:v>4.8390991884154515E-2</c:v>
                </c:pt>
                <c:pt idx="202">
                  <c:v>4.8373560811759024E-2</c:v>
                </c:pt>
                <c:pt idx="203">
                  <c:v>4.8357276663607791E-2</c:v>
                </c:pt>
                <c:pt idx="204">
                  <c:v>4.8338074674169298E-2</c:v>
                </c:pt>
                <c:pt idx="205">
                  <c:v>4.832143124758196E-2</c:v>
                </c:pt>
                <c:pt idx="206">
                  <c:v>4.8295520048861784E-2</c:v>
                </c:pt>
                <c:pt idx="207">
                  <c:v>4.8272963446088821E-2</c:v>
                </c:pt>
                <c:pt idx="208">
                  <c:v>4.8245307810732267E-2</c:v>
                </c:pt>
                <c:pt idx="209">
                  <c:v>4.8214367402315189E-2</c:v>
                </c:pt>
                <c:pt idx="210">
                  <c:v>4.818207604954608E-2</c:v>
                </c:pt>
                <c:pt idx="211">
                  <c:v>4.8143739146501809E-2</c:v>
                </c:pt>
                <c:pt idx="212">
                  <c:v>4.8110650449418632E-2</c:v>
                </c:pt>
                <c:pt idx="213">
                  <c:v>4.8068913221818513E-2</c:v>
                </c:pt>
                <c:pt idx="214">
                  <c:v>4.8023755993733985E-2</c:v>
                </c:pt>
                <c:pt idx="215">
                  <c:v>4.7982056122934838E-2</c:v>
                </c:pt>
                <c:pt idx="216">
                  <c:v>4.7928665512898996E-2</c:v>
                </c:pt>
                <c:pt idx="217">
                  <c:v>4.7892172627098134E-2</c:v>
                </c:pt>
                <c:pt idx="218">
                  <c:v>4.7835984616920943E-2</c:v>
                </c:pt>
                <c:pt idx="219">
                  <c:v>4.778707579066805E-2</c:v>
                </c:pt>
                <c:pt idx="220">
                  <c:v>4.7730086500683555E-2</c:v>
                </c:pt>
                <c:pt idx="221">
                  <c:v>4.7674452390329317E-2</c:v>
                </c:pt>
                <c:pt idx="222">
                  <c:v>4.7610788512355562E-2</c:v>
                </c:pt>
                <c:pt idx="223">
                  <c:v>4.7546540797533003E-2</c:v>
                </c:pt>
                <c:pt idx="224">
                  <c:v>4.7482073971076261E-2</c:v>
                </c:pt>
                <c:pt idx="225">
                  <c:v>4.741347515394434E-2</c:v>
                </c:pt>
                <c:pt idx="226">
                  <c:v>4.7348781242880063E-2</c:v>
                </c:pt>
                <c:pt idx="227">
                  <c:v>4.72718951410055E-2</c:v>
                </c:pt>
                <c:pt idx="228">
                  <c:v>4.7210856449673058E-2</c:v>
                </c:pt>
                <c:pt idx="229">
                  <c:v>4.7142657709814163E-2</c:v>
                </c:pt>
                <c:pt idx="230">
                  <c:v>4.7068531126257286E-2</c:v>
                </c:pt>
                <c:pt idx="231">
                  <c:v>4.6985029355729124E-2</c:v>
                </c:pt>
                <c:pt idx="232">
                  <c:v>4.6902832762768382E-2</c:v>
                </c:pt>
                <c:pt idx="233">
                  <c:v>4.681638396247096E-2</c:v>
                </c:pt>
                <c:pt idx="234">
                  <c:v>4.6730728816398497E-2</c:v>
                </c:pt>
                <c:pt idx="235">
                  <c:v>4.6644198953003091E-2</c:v>
                </c:pt>
                <c:pt idx="236">
                  <c:v>4.6566414783721297E-2</c:v>
                </c:pt>
                <c:pt idx="237">
                  <c:v>4.6481647767593101E-2</c:v>
                </c:pt>
                <c:pt idx="238">
                  <c:v>4.6401891835513361E-2</c:v>
                </c:pt>
                <c:pt idx="239">
                  <c:v>4.6324801468958392E-2</c:v>
                </c:pt>
                <c:pt idx="240">
                  <c:v>4.6259005516402787E-2</c:v>
                </c:pt>
                <c:pt idx="241">
                  <c:v>4.6183945354914602E-2</c:v>
                </c:pt>
                <c:pt idx="242">
                  <c:v>4.611180109899244E-2</c:v>
                </c:pt>
                <c:pt idx="243">
                  <c:v>4.6041808992037851E-2</c:v>
                </c:pt>
                <c:pt idx="244">
                  <c:v>4.5971248278644815E-2</c:v>
                </c:pt>
                <c:pt idx="245">
                  <c:v>4.5904528917773059E-2</c:v>
                </c:pt>
                <c:pt idx="246">
                  <c:v>4.5835463291357202E-2</c:v>
                </c:pt>
                <c:pt idx="247">
                  <c:v>4.5775920940006556E-2</c:v>
                </c:pt>
                <c:pt idx="248">
                  <c:v>4.5710094630545879E-2</c:v>
                </c:pt>
                <c:pt idx="249">
                  <c:v>4.5649898246953313E-2</c:v>
                </c:pt>
                <c:pt idx="250">
                  <c:v>4.5589492487286012E-2</c:v>
                </c:pt>
                <c:pt idx="251">
                  <c:v>4.5528637780838814E-2</c:v>
                </c:pt>
                <c:pt idx="252">
                  <c:v>4.5478821007005323E-2</c:v>
                </c:pt>
                <c:pt idx="253">
                  <c:v>4.5423305548558772E-2</c:v>
                </c:pt>
                <c:pt idx="254">
                  <c:v>4.5374849878242043E-2</c:v>
                </c:pt>
                <c:pt idx="255">
                  <c:v>4.5322677418452265E-2</c:v>
                </c:pt>
                <c:pt idx="256">
                  <c:v>4.5275323382043632E-2</c:v>
                </c:pt>
                <c:pt idx="257">
                  <c:v>4.5224974920812143E-2</c:v>
                </c:pt>
                <c:pt idx="258">
                  <c:v>4.5177225684898174E-2</c:v>
                </c:pt>
                <c:pt idx="259">
                  <c:v>4.5133919553161934E-2</c:v>
                </c:pt>
                <c:pt idx="260">
                  <c:v>4.5091554517926367E-2</c:v>
                </c:pt>
                <c:pt idx="261">
                  <c:v>4.5047333937619227E-2</c:v>
                </c:pt>
                <c:pt idx="262">
                  <c:v>4.5006020870015817E-2</c:v>
                </c:pt>
                <c:pt idx="263">
                  <c:v>4.4969528414613727E-2</c:v>
                </c:pt>
                <c:pt idx="264">
                  <c:v>4.4939320577252063E-2</c:v>
                </c:pt>
                <c:pt idx="265">
                  <c:v>4.4902688483703233E-2</c:v>
                </c:pt>
                <c:pt idx="266">
                  <c:v>4.4871157577955859E-2</c:v>
                </c:pt>
                <c:pt idx="267">
                  <c:v>4.4840056548444966E-2</c:v>
                </c:pt>
                <c:pt idx="268">
                  <c:v>4.4809639926604611E-2</c:v>
                </c:pt>
                <c:pt idx="269">
                  <c:v>4.4781808714393245E-2</c:v>
                </c:pt>
                <c:pt idx="270">
                  <c:v>4.4754767313368776E-2</c:v>
                </c:pt>
                <c:pt idx="271">
                  <c:v>4.4730972973711911E-2</c:v>
                </c:pt>
                <c:pt idx="272">
                  <c:v>4.469685760457829E-2</c:v>
                </c:pt>
                <c:pt idx="273">
                  <c:v>4.468102176015698E-2</c:v>
                </c:pt>
                <c:pt idx="274">
                  <c:v>4.46624870192351E-2</c:v>
                </c:pt>
                <c:pt idx="275">
                  <c:v>4.464860740064213E-2</c:v>
                </c:pt>
                <c:pt idx="276">
                  <c:v>4.4629523493857674E-2</c:v>
                </c:pt>
                <c:pt idx="277">
                  <c:v>4.4616621345406358E-2</c:v>
                </c:pt>
                <c:pt idx="278">
                  <c:v>4.4603321187405343E-2</c:v>
                </c:pt>
                <c:pt idx="279">
                  <c:v>4.4591279356178397E-2</c:v>
                </c:pt>
                <c:pt idx="280">
                  <c:v>4.4581248451568849E-2</c:v>
                </c:pt>
                <c:pt idx="281">
                  <c:v>4.4569941974336488E-2</c:v>
                </c:pt>
                <c:pt idx="282">
                  <c:v>4.4566012614091113E-2</c:v>
                </c:pt>
                <c:pt idx="283">
                  <c:v>4.4560527098696158E-2</c:v>
                </c:pt>
                <c:pt idx="284">
                  <c:v>4.4551692383111963E-2</c:v>
                </c:pt>
                <c:pt idx="285">
                  <c:v>4.4555116675568378E-2</c:v>
                </c:pt>
                <c:pt idx="286">
                  <c:v>4.4546590039207343E-2</c:v>
                </c:pt>
                <c:pt idx="287">
                  <c:v>4.4556074180278675E-2</c:v>
                </c:pt>
                <c:pt idx="288">
                  <c:v>4.4556330620129217E-2</c:v>
                </c:pt>
                <c:pt idx="289">
                  <c:v>4.4563529448859412E-2</c:v>
                </c:pt>
                <c:pt idx="290">
                  <c:v>4.4570086052518554E-2</c:v>
                </c:pt>
                <c:pt idx="291">
                  <c:v>4.4577519402111798E-2</c:v>
                </c:pt>
                <c:pt idx="292">
                  <c:v>4.4586461417032493E-2</c:v>
                </c:pt>
                <c:pt idx="293">
                  <c:v>4.4592620233018423E-2</c:v>
                </c:pt>
                <c:pt idx="294">
                  <c:v>4.4604773789534355E-2</c:v>
                </c:pt>
                <c:pt idx="295">
                  <c:v>4.4613581425955416E-2</c:v>
                </c:pt>
                <c:pt idx="296">
                  <c:v>4.4619615847053602E-2</c:v>
                </c:pt>
                <c:pt idx="297">
                  <c:v>4.4628104371491686E-2</c:v>
                </c:pt>
                <c:pt idx="298">
                  <c:v>4.4636701261661103E-2</c:v>
                </c:pt>
                <c:pt idx="299">
                  <c:v>4.4647234361189572E-2</c:v>
                </c:pt>
                <c:pt idx="300">
                  <c:v>4.4652367388239946E-2</c:v>
                </c:pt>
                <c:pt idx="301">
                  <c:v>4.4663114248513804E-2</c:v>
                </c:pt>
                <c:pt idx="302">
                  <c:v>4.4670817543728543E-2</c:v>
                </c:pt>
                <c:pt idx="303">
                  <c:v>4.4678603849497393E-2</c:v>
                </c:pt>
                <c:pt idx="304">
                  <c:v>4.4685986520781255E-2</c:v>
                </c:pt>
                <c:pt idx="305">
                  <c:v>4.4690564232771235E-2</c:v>
                </c:pt>
                <c:pt idx="306">
                  <c:v>4.4700278556445767E-2</c:v>
                </c:pt>
                <c:pt idx="307">
                  <c:v>4.470762826671746E-2</c:v>
                </c:pt>
                <c:pt idx="308">
                  <c:v>4.4708624891063309E-2</c:v>
                </c:pt>
                <c:pt idx="309">
                  <c:v>4.4715631551613733E-2</c:v>
                </c:pt>
                <c:pt idx="310">
                  <c:v>4.4727583846862318E-2</c:v>
                </c:pt>
                <c:pt idx="311">
                  <c:v>4.4733247649668212E-2</c:v>
                </c:pt>
                <c:pt idx="312">
                  <c:v>4.4736697446597883E-2</c:v>
                </c:pt>
                <c:pt idx="313">
                  <c:v>4.4745330872020449E-2</c:v>
                </c:pt>
                <c:pt idx="314">
                  <c:v>4.4751504914736666E-2</c:v>
                </c:pt>
                <c:pt idx="315">
                  <c:v>4.4757141906981823E-2</c:v>
                </c:pt>
                <c:pt idx="316">
                  <c:v>4.4759937204273952E-2</c:v>
                </c:pt>
                <c:pt idx="317">
                  <c:v>4.4767942559246543E-2</c:v>
                </c:pt>
                <c:pt idx="318">
                  <c:v>4.477343393924077E-2</c:v>
                </c:pt>
                <c:pt idx="319">
                  <c:v>4.4772566504673428E-2</c:v>
                </c:pt>
                <c:pt idx="320">
                  <c:v>4.4783420995149981E-2</c:v>
                </c:pt>
                <c:pt idx="321">
                  <c:v>4.4779551777679012E-2</c:v>
                </c:pt>
                <c:pt idx="322">
                  <c:v>4.4792183056002507E-2</c:v>
                </c:pt>
                <c:pt idx="323">
                  <c:v>4.4793990281968753E-2</c:v>
                </c:pt>
                <c:pt idx="324">
                  <c:v>4.4800908193468943E-2</c:v>
                </c:pt>
                <c:pt idx="325">
                  <c:v>4.4805218433744076E-2</c:v>
                </c:pt>
                <c:pt idx="326">
                  <c:v>4.4808981678048941E-2</c:v>
                </c:pt>
                <c:pt idx="327">
                  <c:v>4.4812832932121988E-2</c:v>
                </c:pt>
                <c:pt idx="328">
                  <c:v>4.4813569533336206E-2</c:v>
                </c:pt>
                <c:pt idx="329">
                  <c:v>4.4819923758089249E-2</c:v>
                </c:pt>
                <c:pt idx="330">
                  <c:v>4.4823173672927361E-2</c:v>
                </c:pt>
                <c:pt idx="331">
                  <c:v>4.481505441255574E-2</c:v>
                </c:pt>
                <c:pt idx="332">
                  <c:v>4.4823641911601264E-2</c:v>
                </c:pt>
                <c:pt idx="333">
                  <c:v>4.4829327467478801E-2</c:v>
                </c:pt>
                <c:pt idx="334">
                  <c:v>4.4834513464122115E-2</c:v>
                </c:pt>
                <c:pt idx="335">
                  <c:v>4.4834160832409951E-2</c:v>
                </c:pt>
                <c:pt idx="336">
                  <c:v>4.4839359662840958E-2</c:v>
                </c:pt>
                <c:pt idx="337">
                  <c:v>4.4841505074962831E-2</c:v>
                </c:pt>
                <c:pt idx="338">
                  <c:v>4.4843554189681598E-2</c:v>
                </c:pt>
                <c:pt idx="339">
                  <c:v>4.4845378937083478E-2</c:v>
                </c:pt>
                <c:pt idx="340">
                  <c:v>4.4844290051546373E-2</c:v>
                </c:pt>
                <c:pt idx="341">
                  <c:v>4.4848555068457911E-2</c:v>
                </c:pt>
                <c:pt idx="342">
                  <c:v>4.4849988219763361E-2</c:v>
                </c:pt>
                <c:pt idx="343">
                  <c:v>4.4848336066032453E-2</c:v>
                </c:pt>
                <c:pt idx="344">
                  <c:v>4.4852227719825284E-2</c:v>
                </c:pt>
                <c:pt idx="345">
                  <c:v>4.4847500954582564E-2</c:v>
                </c:pt>
                <c:pt idx="346">
                  <c:v>4.4859340336732147E-2</c:v>
                </c:pt>
                <c:pt idx="347">
                  <c:v>4.4851537419408255E-2</c:v>
                </c:pt>
                <c:pt idx="348">
                  <c:v>4.4854711621520035E-2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427072"/>
        <c:axId val="377428608"/>
      </c:lineChart>
      <c:dateAx>
        <c:axId val="3774270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7428608"/>
        <c:crosses val="autoZero"/>
        <c:auto val="1"/>
        <c:lblOffset val="100"/>
        <c:baseTimeUnit val="months"/>
      </c:dateAx>
      <c:valAx>
        <c:axId val="37742860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7427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2.0230127139871834E-3</c:v>
                </c:pt>
                <c:pt idx="1">
                  <c:v>2.0230127139871834E-3</c:v>
                </c:pt>
                <c:pt idx="2">
                  <c:v>2.0230127139871834E-3</c:v>
                </c:pt>
                <c:pt idx="3">
                  <c:v>2.0230127139871834E-3</c:v>
                </c:pt>
                <c:pt idx="4">
                  <c:v>2.0230127139871834E-3</c:v>
                </c:pt>
                <c:pt idx="5">
                  <c:v>2.0230127139871834E-3</c:v>
                </c:pt>
                <c:pt idx="6">
                  <c:v>2.0230127139871834E-3</c:v>
                </c:pt>
                <c:pt idx="7">
                  <c:v>2.0230127139871834E-3</c:v>
                </c:pt>
                <c:pt idx="8">
                  <c:v>2.0230127139871834E-3</c:v>
                </c:pt>
                <c:pt idx="9">
                  <c:v>2.0230127139871834E-3</c:v>
                </c:pt>
                <c:pt idx="10">
                  <c:v>2.0230127139871834E-3</c:v>
                </c:pt>
                <c:pt idx="11">
                  <c:v>2.0230127139871834E-3</c:v>
                </c:pt>
                <c:pt idx="12">
                  <c:v>2.0230127139871834E-3</c:v>
                </c:pt>
                <c:pt idx="13">
                  <c:v>2.0230127139871834E-3</c:v>
                </c:pt>
                <c:pt idx="14">
                  <c:v>2.0230127139871834E-3</c:v>
                </c:pt>
                <c:pt idx="15">
                  <c:v>2.0230127139871834E-3</c:v>
                </c:pt>
                <c:pt idx="16">
                  <c:v>2.0230127139871834E-3</c:v>
                </c:pt>
                <c:pt idx="17">
                  <c:v>2.0230127139871834E-3</c:v>
                </c:pt>
                <c:pt idx="18">
                  <c:v>2.0230127139871834E-3</c:v>
                </c:pt>
                <c:pt idx="19">
                  <c:v>2.0230127139871834E-3</c:v>
                </c:pt>
                <c:pt idx="20">
                  <c:v>2.0230127139871834E-3</c:v>
                </c:pt>
                <c:pt idx="21">
                  <c:v>2.0230127139871834E-3</c:v>
                </c:pt>
                <c:pt idx="22">
                  <c:v>2.0230127139871834E-3</c:v>
                </c:pt>
                <c:pt idx="23">
                  <c:v>2.0230127139871834E-3</c:v>
                </c:pt>
                <c:pt idx="24">
                  <c:v>2.0230127139871834E-3</c:v>
                </c:pt>
                <c:pt idx="25">
                  <c:v>2.0230127139871834E-3</c:v>
                </c:pt>
                <c:pt idx="26">
                  <c:v>2.0230127139871834E-3</c:v>
                </c:pt>
                <c:pt idx="27">
                  <c:v>2.0230127139871834E-3</c:v>
                </c:pt>
                <c:pt idx="28">
                  <c:v>2.0230127139871834E-3</c:v>
                </c:pt>
                <c:pt idx="29">
                  <c:v>2.0230127139871834E-3</c:v>
                </c:pt>
                <c:pt idx="30">
                  <c:v>2.0230127139871834E-3</c:v>
                </c:pt>
                <c:pt idx="31">
                  <c:v>2.0230127139871834E-3</c:v>
                </c:pt>
                <c:pt idx="32">
                  <c:v>2.0230127139871834E-3</c:v>
                </c:pt>
                <c:pt idx="33">
                  <c:v>2.0230127139871834E-3</c:v>
                </c:pt>
                <c:pt idx="34">
                  <c:v>2.0230127139871834E-3</c:v>
                </c:pt>
                <c:pt idx="35">
                  <c:v>2.0230127139871834E-3</c:v>
                </c:pt>
                <c:pt idx="36">
                  <c:v>2.0230127139871834E-3</c:v>
                </c:pt>
                <c:pt idx="37">
                  <c:v>2.0230127139871834E-3</c:v>
                </c:pt>
                <c:pt idx="38">
                  <c:v>2.0230127139871834E-3</c:v>
                </c:pt>
                <c:pt idx="39">
                  <c:v>2.0230127139871834E-3</c:v>
                </c:pt>
                <c:pt idx="40">
                  <c:v>2.0230127139871834E-3</c:v>
                </c:pt>
                <c:pt idx="41">
                  <c:v>2.0230127139871834E-3</c:v>
                </c:pt>
                <c:pt idx="42">
                  <c:v>2.0230127139871834E-3</c:v>
                </c:pt>
                <c:pt idx="43">
                  <c:v>2.0230127139871834E-3</c:v>
                </c:pt>
                <c:pt idx="44">
                  <c:v>2.0230127139871834E-3</c:v>
                </c:pt>
                <c:pt idx="45">
                  <c:v>2.0230127139871834E-3</c:v>
                </c:pt>
                <c:pt idx="46">
                  <c:v>2.0230127139871834E-3</c:v>
                </c:pt>
                <c:pt idx="47">
                  <c:v>2.0230127139871834E-3</c:v>
                </c:pt>
                <c:pt idx="48">
                  <c:v>2.0230127139871834E-3</c:v>
                </c:pt>
                <c:pt idx="49">
                  <c:v>2.0230127139871834E-3</c:v>
                </c:pt>
                <c:pt idx="50">
                  <c:v>2.0230127139871834E-3</c:v>
                </c:pt>
                <c:pt idx="51">
                  <c:v>2.0230127139871834E-3</c:v>
                </c:pt>
                <c:pt idx="52">
                  <c:v>2.0230127139871834E-3</c:v>
                </c:pt>
                <c:pt idx="53">
                  <c:v>2.0230127139871834E-3</c:v>
                </c:pt>
                <c:pt idx="54">
                  <c:v>2.0230127139871834E-3</c:v>
                </c:pt>
                <c:pt idx="55">
                  <c:v>2.0230127139871834E-3</c:v>
                </c:pt>
                <c:pt idx="56">
                  <c:v>2.0230127139871834E-3</c:v>
                </c:pt>
                <c:pt idx="57">
                  <c:v>2.0230127139871834E-3</c:v>
                </c:pt>
                <c:pt idx="58">
                  <c:v>2.0230127139871834E-3</c:v>
                </c:pt>
                <c:pt idx="59">
                  <c:v>2.0230127139871834E-3</c:v>
                </c:pt>
                <c:pt idx="60">
                  <c:v>2.0230127139871834E-3</c:v>
                </c:pt>
                <c:pt idx="61">
                  <c:v>2.0230127139871834E-3</c:v>
                </c:pt>
                <c:pt idx="62">
                  <c:v>2.0230127139871834E-3</c:v>
                </c:pt>
                <c:pt idx="63">
                  <c:v>2.0230127139871834E-3</c:v>
                </c:pt>
                <c:pt idx="64">
                  <c:v>2.0230127139871834E-3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2.172199066889596E-3</c:v>
                </c:pt>
                <c:pt idx="1">
                  <c:v>2.1689202459466857E-3</c:v>
                </c:pt>
                <c:pt idx="2">
                  <c:v>2.159083783117955E-3</c:v>
                </c:pt>
                <c:pt idx="3">
                  <c:v>2.1558049621750448E-3</c:v>
                </c:pt>
                <c:pt idx="4">
                  <c:v>2.1525261412321346E-3</c:v>
                </c:pt>
                <c:pt idx="5">
                  <c:v>2.1492473202892244E-3</c:v>
                </c:pt>
                <c:pt idx="6">
                  <c:v>2.1459684993463141E-3</c:v>
                </c:pt>
                <c:pt idx="7">
                  <c:v>2.1361320365175839E-3</c:v>
                </c:pt>
                <c:pt idx="8">
                  <c:v>2.1328532155746737E-3</c:v>
                </c:pt>
                <c:pt idx="9">
                  <c:v>2.1295743946317634E-3</c:v>
                </c:pt>
                <c:pt idx="10">
                  <c:v>2.1262955736888532E-3</c:v>
                </c:pt>
                <c:pt idx="11">
                  <c:v>2.123016752745943E-3</c:v>
                </c:pt>
                <c:pt idx="12">
                  <c:v>2.1131802899172123E-3</c:v>
                </c:pt>
                <c:pt idx="13">
                  <c:v>2.1099014689743021E-3</c:v>
                </c:pt>
                <c:pt idx="14">
                  <c:v>2.1066226480313918E-3</c:v>
                </c:pt>
                <c:pt idx="15">
                  <c:v>2.1033438270884816E-3</c:v>
                </c:pt>
                <c:pt idx="16">
                  <c:v>2.1000650061455714E-3</c:v>
                </c:pt>
                <c:pt idx="17">
                  <c:v>2.0869497223739309E-3</c:v>
                </c:pt>
                <c:pt idx="18">
                  <c:v>2.0836709014310207E-3</c:v>
                </c:pt>
                <c:pt idx="19">
                  <c:v>2.0803920804881105E-3</c:v>
                </c:pt>
                <c:pt idx="20">
                  <c:v>2.0771132595452002E-3</c:v>
                </c:pt>
                <c:pt idx="21">
                  <c:v>2.0672767967164695E-3</c:v>
                </c:pt>
                <c:pt idx="22">
                  <c:v>2.0639979757735593E-3</c:v>
                </c:pt>
                <c:pt idx="23">
                  <c:v>2.0607191548306491E-3</c:v>
                </c:pt>
                <c:pt idx="24">
                  <c:v>2.0574403338877389E-3</c:v>
                </c:pt>
                <c:pt idx="25">
                  <c:v>2.0541615129448286E-3</c:v>
                </c:pt>
                <c:pt idx="26">
                  <c:v>2.044325050116098E-3</c:v>
                </c:pt>
                <c:pt idx="27">
                  <c:v>2.0410462291731877E-3</c:v>
                </c:pt>
                <c:pt idx="28">
                  <c:v>2.0377674082302775E-3</c:v>
                </c:pt>
                <c:pt idx="29">
                  <c:v>2.0344885872873673E-3</c:v>
                </c:pt>
                <c:pt idx="30">
                  <c:v>2.0312097663444575E-3</c:v>
                </c:pt>
                <c:pt idx="31">
                  <c:v>2.0213733035157268E-3</c:v>
                </c:pt>
                <c:pt idx="32">
                  <c:v>2.0180944825728166E-3</c:v>
                </c:pt>
                <c:pt idx="33">
                  <c:v>2.0148156616299063E-3</c:v>
                </c:pt>
                <c:pt idx="34">
                  <c:v>2.0115368406869961E-3</c:v>
                </c:pt>
                <c:pt idx="35">
                  <c:v>2.0082580197440859E-3</c:v>
                </c:pt>
                <c:pt idx="36">
                  <c:v>1.9984215569153552E-3</c:v>
                </c:pt>
                <c:pt idx="37">
                  <c:v>1.995142735972445E-3</c:v>
                </c:pt>
                <c:pt idx="38">
                  <c:v>1.9918639150295347E-3</c:v>
                </c:pt>
                <c:pt idx="39">
                  <c:v>1.9885850940866245E-3</c:v>
                </c:pt>
                <c:pt idx="40">
                  <c:v>1.9853062731437143E-3</c:v>
                </c:pt>
                <c:pt idx="41">
                  <c:v>1.975469810314984E-3</c:v>
                </c:pt>
                <c:pt idx="42">
                  <c:v>1.9721909893720734E-3</c:v>
                </c:pt>
                <c:pt idx="43">
                  <c:v>1.9689121684291636E-3</c:v>
                </c:pt>
                <c:pt idx="44">
                  <c:v>1.9656333474862534E-3</c:v>
                </c:pt>
                <c:pt idx="45">
                  <c:v>1.9623545265433431E-3</c:v>
                </c:pt>
                <c:pt idx="46">
                  <c:v>1.9525180637146125E-3</c:v>
                </c:pt>
                <c:pt idx="47">
                  <c:v>1.9492392427717022E-3</c:v>
                </c:pt>
                <c:pt idx="48">
                  <c:v>1.945960421828792E-3</c:v>
                </c:pt>
                <c:pt idx="49">
                  <c:v>1.9426816008858818E-3</c:v>
                </c:pt>
                <c:pt idx="50">
                  <c:v>1.9394027799429715E-3</c:v>
                </c:pt>
                <c:pt idx="51">
                  <c:v>1.9295663171142409E-3</c:v>
                </c:pt>
                <c:pt idx="52">
                  <c:v>1.9262874961713309E-3</c:v>
                </c:pt>
                <c:pt idx="53">
                  <c:v>1.9230086752284206E-3</c:v>
                </c:pt>
                <c:pt idx="54">
                  <c:v>1.9197298542855104E-3</c:v>
                </c:pt>
                <c:pt idx="55">
                  <c:v>1.9164510333426002E-3</c:v>
                </c:pt>
                <c:pt idx="56">
                  <c:v>1.9066145705138695E-3</c:v>
                </c:pt>
                <c:pt idx="57">
                  <c:v>1.9033357495709595E-3</c:v>
                </c:pt>
                <c:pt idx="58">
                  <c:v>1.9000569286280493E-3</c:v>
                </c:pt>
                <c:pt idx="59">
                  <c:v>1.896778107685139E-3</c:v>
                </c:pt>
                <c:pt idx="60">
                  <c:v>1.8934992867422288E-3</c:v>
                </c:pt>
                <c:pt idx="61">
                  <c:v>1.8836628239134981E-3</c:v>
                </c:pt>
                <c:pt idx="62">
                  <c:v>1.8803840029705879E-3</c:v>
                </c:pt>
                <c:pt idx="63">
                  <c:v>1.8771051820276777E-3</c:v>
                </c:pt>
                <c:pt idx="64">
                  <c:v>1.8738263610847674E-3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2.1884550603714966E-3</c:v>
                </c:pt>
                <c:pt idx="1">
                  <c:v>2.1842322478724243E-3</c:v>
                </c:pt>
                <c:pt idx="2">
                  <c:v>2.1716818093197275E-3</c:v>
                </c:pt>
                <c:pt idx="3">
                  <c:v>2.1675376627836684E-3</c:v>
                </c:pt>
                <c:pt idx="4">
                  <c:v>2.163413182738363E-3</c:v>
                </c:pt>
                <c:pt idx="5">
                  <c:v>2.1593083691838107E-3</c:v>
                </c:pt>
                <c:pt idx="6">
                  <c:v>2.155223222120012E-3</c:v>
                </c:pt>
                <c:pt idx="7">
                  <c:v>2.1430857798731364E-3</c:v>
                </c:pt>
                <c:pt idx="8">
                  <c:v>2.1390792987723514E-3</c:v>
                </c:pt>
                <c:pt idx="9">
                  <c:v>2.1350924841623195E-3</c:v>
                </c:pt>
                <c:pt idx="10">
                  <c:v>2.1311253360430408E-3</c:v>
                </c:pt>
                <c:pt idx="11">
                  <c:v>2.1271778544145158E-3</c:v>
                </c:pt>
                <c:pt idx="12">
                  <c:v>2.115453408473461E-3</c:v>
                </c:pt>
                <c:pt idx="13">
                  <c:v>2.1115845928079495E-3</c:v>
                </c:pt>
                <c:pt idx="14">
                  <c:v>2.1077354436331913E-3</c:v>
                </c:pt>
                <c:pt idx="15">
                  <c:v>2.1039059609491862E-3</c:v>
                </c:pt>
                <c:pt idx="16">
                  <c:v>2.1000961447559348E-3</c:v>
                </c:pt>
                <c:pt idx="17">
                  <c:v>2.0850535448904634E-3</c:v>
                </c:pt>
                <c:pt idx="18">
                  <c:v>2.0813420611509787E-3</c:v>
                </c:pt>
                <c:pt idx="19">
                  <c:v>2.0776502439022477E-3</c:v>
                </c:pt>
                <c:pt idx="20">
                  <c:v>2.0739780931442698E-3</c:v>
                </c:pt>
                <c:pt idx="21">
                  <c:v>2.0630796398148567E-3</c:v>
                </c:pt>
                <c:pt idx="22">
                  <c:v>2.0594861550198925E-3</c:v>
                </c:pt>
                <c:pt idx="23">
                  <c:v>2.0559123367156814E-3</c:v>
                </c:pt>
                <c:pt idx="24">
                  <c:v>2.052358184902224E-3</c:v>
                </c:pt>
                <c:pt idx="25">
                  <c:v>2.0488236995795201E-3</c:v>
                </c:pt>
                <c:pt idx="26">
                  <c:v>2.0383382425559278E-3</c:v>
                </c:pt>
                <c:pt idx="27">
                  <c:v>2.0348824231962372E-3</c:v>
                </c:pt>
                <c:pt idx="28">
                  <c:v>2.0314462703272997E-3</c:v>
                </c:pt>
                <c:pt idx="29">
                  <c:v>2.0280297839491163E-3</c:v>
                </c:pt>
                <c:pt idx="30">
                  <c:v>2.0246329640616861E-3</c:v>
                </c:pt>
                <c:pt idx="31">
                  <c:v>2.0145605033439146E-3</c:v>
                </c:pt>
                <c:pt idx="32">
                  <c:v>2.011242349419498E-3</c:v>
                </c:pt>
                <c:pt idx="33">
                  <c:v>2.0079438619858342E-3</c:v>
                </c:pt>
                <c:pt idx="34">
                  <c:v>2.0046650410429239E-3</c:v>
                </c:pt>
                <c:pt idx="35">
                  <c:v>2.0014058865907673E-3</c:v>
                </c:pt>
                <c:pt idx="36">
                  <c:v>1.991746422178817E-3</c:v>
                </c:pt>
                <c:pt idx="37">
                  <c:v>1.9885659336896736E-3</c:v>
                </c:pt>
                <c:pt idx="38">
                  <c:v>1.9854051116912838E-3</c:v>
                </c:pt>
                <c:pt idx="39">
                  <c:v>1.9822639561836472E-3</c:v>
                </c:pt>
                <c:pt idx="40">
                  <c:v>1.9791424671667642E-3</c:v>
                </c:pt>
                <c:pt idx="41">
                  <c:v>1.9698959990606347E-3</c:v>
                </c:pt>
                <c:pt idx="42">
                  <c:v>1.9668531760067653E-3</c:v>
                </c:pt>
                <c:pt idx="43">
                  <c:v>1.9638300194436491E-3</c:v>
                </c:pt>
                <c:pt idx="44">
                  <c:v>1.9608265293712861E-3</c:v>
                </c:pt>
                <c:pt idx="45">
                  <c:v>1.9578427057896767E-3</c:v>
                </c:pt>
                <c:pt idx="46">
                  <c:v>1.9490092339893683E-3</c:v>
                </c:pt>
                <c:pt idx="47">
                  <c:v>1.9461040763707723E-3</c:v>
                </c:pt>
                <c:pt idx="48">
                  <c:v>1.9432185852429297E-3</c:v>
                </c:pt>
                <c:pt idx="49">
                  <c:v>1.9403527606058403E-3</c:v>
                </c:pt>
                <c:pt idx="50">
                  <c:v>1.9375066024595045E-3</c:v>
                </c:pt>
                <c:pt idx="51">
                  <c:v>1.9290861269650173E-3</c:v>
                </c:pt>
                <c:pt idx="52">
                  <c:v>1.9263186347816949E-3</c:v>
                </c:pt>
                <c:pt idx="53">
                  <c:v>1.9235708090891259E-3</c:v>
                </c:pt>
                <c:pt idx="54">
                  <c:v>1.9208426498873103E-3</c:v>
                </c:pt>
                <c:pt idx="55">
                  <c:v>1.9181341571762481E-3</c:v>
                </c:pt>
                <c:pt idx="56">
                  <c:v>1.9101266779875817E-3</c:v>
                </c:pt>
                <c:pt idx="57">
                  <c:v>1.9074968512395331E-3</c:v>
                </c:pt>
                <c:pt idx="58">
                  <c:v>1.9048866909822377E-3</c:v>
                </c:pt>
                <c:pt idx="59">
                  <c:v>1.9022961972156957E-3</c:v>
                </c:pt>
                <c:pt idx="60">
                  <c:v>1.8997253699399072E-3</c:v>
                </c:pt>
                <c:pt idx="61">
                  <c:v>1.8921308870570616E-3</c:v>
                </c:pt>
                <c:pt idx="62">
                  <c:v>1.8896387257442868E-3</c:v>
                </c:pt>
                <c:pt idx="63">
                  <c:v>1.8871662309222651E-3</c:v>
                </c:pt>
                <c:pt idx="64">
                  <c:v>1.8847134025909969E-3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607488"/>
        <c:axId val="376609024"/>
      </c:lineChart>
      <c:dateAx>
        <c:axId val="37660748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6609024"/>
        <c:crosses val="autoZero"/>
        <c:auto val="1"/>
        <c:lblOffset val="100"/>
        <c:baseTimeUnit val="days"/>
      </c:dateAx>
      <c:valAx>
        <c:axId val="3766090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6607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Tue, 16-Sep-2014</c:v>
                </c:pt>
                <c:pt idx="2">
                  <c:v>Mon, 22-Sep-2014</c:v>
                </c:pt>
                <c:pt idx="3">
                  <c:v>Mon, 29-Sep-2014</c:v>
                </c:pt>
                <c:pt idx="4">
                  <c:v>Tue, 07-Oct-2014</c:v>
                </c:pt>
                <c:pt idx="5">
                  <c:v>Wed, 15-Oct-2014</c:v>
                </c:pt>
                <c:pt idx="6">
                  <c:v>Mon, 17-Nov-2014</c:v>
                </c:pt>
                <c:pt idx="7">
                  <c:v>Mon, 15-Dec-2014</c:v>
                </c:pt>
              </c:strCache>
            </c:strRef>
          </c:cat>
          <c:val>
            <c:numRef>
              <c:f>'3MSynthDepo'!$M$18:$M$24</c:f>
              <c:numCache>
                <c:formatCode>0.0000%</c:formatCode>
                <c:ptCount val="7"/>
                <c:pt idx="0">
                  <c:v>2.6675916501499242E-2</c:v>
                </c:pt>
                <c:pt idx="1">
                  <c:v>2.6676766679278846E-2</c:v>
                </c:pt>
                <c:pt idx="2">
                  <c:v>2.6676638238620737E-2</c:v>
                </c:pt>
                <c:pt idx="3">
                  <c:v>2.6676163227836783E-2</c:v>
                </c:pt>
                <c:pt idx="4">
                  <c:v>2.6675440976594456E-2</c:v>
                </c:pt>
                <c:pt idx="5">
                  <c:v>2.6676481463644885E-2</c:v>
                </c:pt>
                <c:pt idx="6">
                  <c:v>2.667415475946347E-2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Tue, 16-Sep-2014</c:v>
                </c:pt>
                <c:pt idx="2">
                  <c:v>Mon, 22-Sep-2014</c:v>
                </c:pt>
                <c:pt idx="3">
                  <c:v>Mon, 29-Sep-2014</c:v>
                </c:pt>
                <c:pt idx="4">
                  <c:v>Tue, 07-Oct-2014</c:v>
                </c:pt>
                <c:pt idx="5">
                  <c:v>Wed, 15-Oct-2014</c:v>
                </c:pt>
                <c:pt idx="6">
                  <c:v>Mon, 17-Nov-2014</c:v>
                </c:pt>
                <c:pt idx="7">
                  <c:v>Mon, 15-Dec-2014</c:v>
                </c:pt>
              </c:strCache>
            </c:strRef>
          </c:cat>
          <c:val>
            <c:numRef>
              <c:f>'3MSynthDepo'!$N$18:$N$24</c:f>
              <c:numCache>
                <c:formatCode>0.0000%</c:formatCode>
                <c:ptCount val="7"/>
                <c:pt idx="0">
                  <c:v>2.68234634439302E-2</c:v>
                </c:pt>
                <c:pt idx="1">
                  <c:v>2.6814477158881075E-2</c:v>
                </c:pt>
                <c:pt idx="2">
                  <c:v>2.6802872844922779E-2</c:v>
                </c:pt>
                <c:pt idx="3">
                  <c:v>2.6789282550367187E-2</c:v>
                </c:pt>
                <c:pt idx="4">
                  <c:v>2.6775445015353217E-2</c:v>
                </c:pt>
                <c:pt idx="5">
                  <c:v>2.6722384956845625E-2</c:v>
                </c:pt>
                <c:pt idx="6">
                  <c:v>2.6674154759463466E-2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Tue, 16-Sep-2014</c:v>
                </c:pt>
                <c:pt idx="2">
                  <c:v>Mon, 22-Sep-2014</c:v>
                </c:pt>
                <c:pt idx="3">
                  <c:v>Mon, 29-Sep-2014</c:v>
                </c:pt>
                <c:pt idx="4">
                  <c:v>Tue, 07-Oct-2014</c:v>
                </c:pt>
                <c:pt idx="5">
                  <c:v>Wed, 15-Oct-2014</c:v>
                </c:pt>
                <c:pt idx="6">
                  <c:v>Mon, 17-Nov-2014</c:v>
                </c:pt>
                <c:pt idx="7">
                  <c:v>Mon, 15-Dec-2014</c:v>
                </c:pt>
              </c:strCache>
            </c:strRef>
          </c:cat>
          <c:val>
            <c:numRef>
              <c:f>'3MSynthDepo'!$O$18:$O$24</c:f>
              <c:numCache>
                <c:formatCode>0.0000%</c:formatCode>
                <c:ptCount val="7"/>
                <c:pt idx="0">
                  <c:v>2.6839245802759787E-2</c:v>
                </c:pt>
                <c:pt idx="1">
                  <c:v>2.6827555375232074E-2</c:v>
                </c:pt>
                <c:pt idx="2">
                  <c:v>2.6813094503491852E-2</c:v>
                </c:pt>
                <c:pt idx="3">
                  <c:v>2.6796632901286265E-2</c:v>
                </c:pt>
                <c:pt idx="4">
                  <c:v>2.6780343610425042E-2</c:v>
                </c:pt>
                <c:pt idx="5">
                  <c:v>2.6721604852712411E-2</c:v>
                </c:pt>
                <c:pt idx="6">
                  <c:v>2.667415475946347E-2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236864"/>
        <c:axId val="377271424"/>
      </c:lineChart>
      <c:catAx>
        <c:axId val="3772368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7271424"/>
        <c:crosses val="autoZero"/>
        <c:auto val="1"/>
        <c:lblAlgn val="ctr"/>
        <c:lblOffset val="100"/>
        <c:noMultiLvlLbl val="0"/>
      </c:catAx>
      <c:valAx>
        <c:axId val="3772714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7236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  <c:pt idx="67">
                  <c:v>41989</c:v>
                </c:pt>
                <c:pt idx="68">
                  <c:v>41990</c:v>
                </c:pt>
                <c:pt idx="69">
                  <c:v>41991</c:v>
                </c:pt>
                <c:pt idx="70">
                  <c:v>41992</c:v>
                </c:pt>
                <c:pt idx="71">
                  <c:v>41995</c:v>
                </c:pt>
                <c:pt idx="72">
                  <c:v>41996</c:v>
                </c:pt>
                <c:pt idx="73">
                  <c:v>41997</c:v>
                </c:pt>
                <c:pt idx="74">
                  <c:v>42002</c:v>
                </c:pt>
                <c:pt idx="75">
                  <c:v>42003</c:v>
                </c:pt>
                <c:pt idx="76">
                  <c:v>42004</c:v>
                </c:pt>
                <c:pt idx="77">
                  <c:v>42006</c:v>
                </c:pt>
                <c:pt idx="78">
                  <c:v>42009</c:v>
                </c:pt>
                <c:pt idx="79">
                  <c:v>42010</c:v>
                </c:pt>
                <c:pt idx="80">
                  <c:v>42011</c:v>
                </c:pt>
                <c:pt idx="81">
                  <c:v>42012</c:v>
                </c:pt>
                <c:pt idx="82">
                  <c:v>42013</c:v>
                </c:pt>
                <c:pt idx="83">
                  <c:v>42016</c:v>
                </c:pt>
                <c:pt idx="84">
                  <c:v>42017</c:v>
                </c:pt>
                <c:pt idx="85">
                  <c:v>42018</c:v>
                </c:pt>
                <c:pt idx="86">
                  <c:v>42019</c:v>
                </c:pt>
                <c:pt idx="87">
                  <c:v>42020</c:v>
                </c:pt>
                <c:pt idx="88">
                  <c:v>42023</c:v>
                </c:pt>
                <c:pt idx="89">
                  <c:v>42024</c:v>
                </c:pt>
                <c:pt idx="90">
                  <c:v>42025</c:v>
                </c:pt>
                <c:pt idx="91">
                  <c:v>42026</c:v>
                </c:pt>
                <c:pt idx="92">
                  <c:v>42027</c:v>
                </c:pt>
                <c:pt idx="93">
                  <c:v>42031</c:v>
                </c:pt>
                <c:pt idx="94">
                  <c:v>42032</c:v>
                </c:pt>
                <c:pt idx="95">
                  <c:v>42033</c:v>
                </c:pt>
                <c:pt idx="96">
                  <c:v>42034</c:v>
                </c:pt>
                <c:pt idx="97">
                  <c:v>42037</c:v>
                </c:pt>
                <c:pt idx="98">
                  <c:v>42038</c:v>
                </c:pt>
                <c:pt idx="99">
                  <c:v>42039</c:v>
                </c:pt>
                <c:pt idx="100">
                  <c:v>42040</c:v>
                </c:pt>
                <c:pt idx="101">
                  <c:v>42041</c:v>
                </c:pt>
                <c:pt idx="102">
                  <c:v>42044</c:v>
                </c:pt>
                <c:pt idx="103">
                  <c:v>42045</c:v>
                </c:pt>
                <c:pt idx="104">
                  <c:v>42046</c:v>
                </c:pt>
                <c:pt idx="105">
                  <c:v>42047</c:v>
                </c:pt>
                <c:pt idx="106">
                  <c:v>42048</c:v>
                </c:pt>
                <c:pt idx="107">
                  <c:v>42051</c:v>
                </c:pt>
                <c:pt idx="108">
                  <c:v>42052</c:v>
                </c:pt>
                <c:pt idx="109">
                  <c:v>42053</c:v>
                </c:pt>
                <c:pt idx="110">
                  <c:v>42054</c:v>
                </c:pt>
                <c:pt idx="111">
                  <c:v>42055</c:v>
                </c:pt>
                <c:pt idx="112">
                  <c:v>42058</c:v>
                </c:pt>
                <c:pt idx="113">
                  <c:v>42059</c:v>
                </c:pt>
                <c:pt idx="114">
                  <c:v>42060</c:v>
                </c:pt>
                <c:pt idx="115">
                  <c:v>42061</c:v>
                </c:pt>
                <c:pt idx="116">
                  <c:v>42062</c:v>
                </c:pt>
                <c:pt idx="117">
                  <c:v>42065</c:v>
                </c:pt>
                <c:pt idx="118">
                  <c:v>42066</c:v>
                </c:pt>
                <c:pt idx="119">
                  <c:v>42067</c:v>
                </c:pt>
                <c:pt idx="120">
                  <c:v>42068</c:v>
                </c:pt>
                <c:pt idx="121">
                  <c:v>42069</c:v>
                </c:pt>
                <c:pt idx="122">
                  <c:v>42072</c:v>
                </c:pt>
                <c:pt idx="123">
                  <c:v>42073</c:v>
                </c:pt>
                <c:pt idx="124">
                  <c:v>42074</c:v>
                </c:pt>
                <c:pt idx="125">
                  <c:v>42075</c:v>
                </c:pt>
                <c:pt idx="126">
                  <c:v>42076</c:v>
                </c:pt>
                <c:pt idx="127">
                  <c:v>42079</c:v>
                </c:pt>
                <c:pt idx="128">
                  <c:v>42080</c:v>
                </c:pt>
                <c:pt idx="129">
                  <c:v>42081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1.7107550965545595E-3</c:v>
                </c:pt>
                <c:pt idx="1">
                  <c:v>1.7107550965545595E-3</c:v>
                </c:pt>
                <c:pt idx="2">
                  <c:v>1.7107550965545595E-3</c:v>
                </c:pt>
                <c:pt idx="3">
                  <c:v>1.7107550965545595E-3</c:v>
                </c:pt>
                <c:pt idx="4">
                  <c:v>1.7107550965545595E-3</c:v>
                </c:pt>
                <c:pt idx="5">
                  <c:v>1.7107550965545595E-3</c:v>
                </c:pt>
                <c:pt idx="6">
                  <c:v>1.7107550965545595E-3</c:v>
                </c:pt>
                <c:pt idx="7">
                  <c:v>1.7107550965545595E-3</c:v>
                </c:pt>
                <c:pt idx="8">
                  <c:v>1.7107550965545595E-3</c:v>
                </c:pt>
                <c:pt idx="9">
                  <c:v>1.7107550965545595E-3</c:v>
                </c:pt>
                <c:pt idx="10">
                  <c:v>1.7107550965545595E-3</c:v>
                </c:pt>
                <c:pt idx="11">
                  <c:v>1.7107550965545595E-3</c:v>
                </c:pt>
                <c:pt idx="12">
                  <c:v>1.7107550965545595E-3</c:v>
                </c:pt>
                <c:pt idx="13">
                  <c:v>1.7107550965545595E-3</c:v>
                </c:pt>
                <c:pt idx="14">
                  <c:v>1.7107550965545595E-3</c:v>
                </c:pt>
                <c:pt idx="15">
                  <c:v>1.7107550965545595E-3</c:v>
                </c:pt>
                <c:pt idx="16">
                  <c:v>1.7107550965545595E-3</c:v>
                </c:pt>
                <c:pt idx="17">
                  <c:v>1.7107550965545595E-3</c:v>
                </c:pt>
                <c:pt idx="18">
                  <c:v>1.7107550965545595E-3</c:v>
                </c:pt>
                <c:pt idx="19">
                  <c:v>1.7107550965545595E-3</c:v>
                </c:pt>
                <c:pt idx="20">
                  <c:v>1.7107550965545595E-3</c:v>
                </c:pt>
                <c:pt idx="21">
                  <c:v>1.7107550965545595E-3</c:v>
                </c:pt>
                <c:pt idx="22">
                  <c:v>1.7107550965545595E-3</c:v>
                </c:pt>
                <c:pt idx="23">
                  <c:v>1.7107550965545595E-3</c:v>
                </c:pt>
                <c:pt idx="24">
                  <c:v>1.7107550965545595E-3</c:v>
                </c:pt>
                <c:pt idx="25">
                  <c:v>1.7107550965545595E-3</c:v>
                </c:pt>
                <c:pt idx="26">
                  <c:v>1.7107550965545595E-3</c:v>
                </c:pt>
                <c:pt idx="27">
                  <c:v>1.7107550965545595E-3</c:v>
                </c:pt>
                <c:pt idx="28">
                  <c:v>1.7107550965545595E-3</c:v>
                </c:pt>
                <c:pt idx="29">
                  <c:v>1.7107550965545595E-3</c:v>
                </c:pt>
                <c:pt idx="30">
                  <c:v>1.7107550965545595E-3</c:v>
                </c:pt>
                <c:pt idx="31">
                  <c:v>1.7107550965545595E-3</c:v>
                </c:pt>
                <c:pt idx="32">
                  <c:v>1.7107550965545595E-3</c:v>
                </c:pt>
                <c:pt idx="33">
                  <c:v>1.7107550965545595E-3</c:v>
                </c:pt>
                <c:pt idx="34">
                  <c:v>1.7107550965545595E-3</c:v>
                </c:pt>
                <c:pt idx="35">
                  <c:v>1.7107550965545595E-3</c:v>
                </c:pt>
                <c:pt idx="36">
                  <c:v>1.7107550965545595E-3</c:v>
                </c:pt>
                <c:pt idx="37">
                  <c:v>1.7107550965545595E-3</c:v>
                </c:pt>
                <c:pt idx="38">
                  <c:v>1.7107550965545595E-3</c:v>
                </c:pt>
                <c:pt idx="39">
                  <c:v>1.7107550965545595E-3</c:v>
                </c:pt>
                <c:pt idx="40">
                  <c:v>1.7107550965545595E-3</c:v>
                </c:pt>
                <c:pt idx="41">
                  <c:v>1.7107550965545595E-3</c:v>
                </c:pt>
                <c:pt idx="42">
                  <c:v>1.7107550965545595E-3</c:v>
                </c:pt>
                <c:pt idx="43">
                  <c:v>1.7107550965545595E-3</c:v>
                </c:pt>
                <c:pt idx="44">
                  <c:v>1.7107550965545595E-3</c:v>
                </c:pt>
                <c:pt idx="45">
                  <c:v>1.7107550965545595E-3</c:v>
                </c:pt>
                <c:pt idx="46">
                  <c:v>1.7107550965545595E-3</c:v>
                </c:pt>
                <c:pt idx="47">
                  <c:v>1.7107550965545595E-3</c:v>
                </c:pt>
                <c:pt idx="48">
                  <c:v>1.7107550965545595E-3</c:v>
                </c:pt>
                <c:pt idx="49">
                  <c:v>1.7107550965545595E-3</c:v>
                </c:pt>
                <c:pt idx="50">
                  <c:v>1.7107550965545595E-3</c:v>
                </c:pt>
                <c:pt idx="51">
                  <c:v>1.7107550965545595E-3</c:v>
                </c:pt>
                <c:pt idx="52">
                  <c:v>1.7107550965545595E-3</c:v>
                </c:pt>
                <c:pt idx="53">
                  <c:v>1.7107550965545595E-3</c:v>
                </c:pt>
                <c:pt idx="54">
                  <c:v>1.7107550965545595E-3</c:v>
                </c:pt>
                <c:pt idx="55">
                  <c:v>1.7107550965545595E-3</c:v>
                </c:pt>
                <c:pt idx="56">
                  <c:v>1.7107550965545595E-3</c:v>
                </c:pt>
                <c:pt idx="57">
                  <c:v>1.7107550965545595E-3</c:v>
                </c:pt>
                <c:pt idx="58">
                  <c:v>1.7107550965545595E-3</c:v>
                </c:pt>
                <c:pt idx="59">
                  <c:v>1.7107550965545595E-3</c:v>
                </c:pt>
                <c:pt idx="60">
                  <c:v>1.7107550965545595E-3</c:v>
                </c:pt>
                <c:pt idx="61">
                  <c:v>1.7107550965545595E-3</c:v>
                </c:pt>
                <c:pt idx="62">
                  <c:v>1.7107550965545595E-3</c:v>
                </c:pt>
                <c:pt idx="63">
                  <c:v>1.7107550965545595E-3</c:v>
                </c:pt>
                <c:pt idx="64">
                  <c:v>1.7107550965545595E-3</c:v>
                </c:pt>
                <c:pt idx="65">
                  <c:v>1.7107550965545595E-3</c:v>
                </c:pt>
                <c:pt idx="66">
                  <c:v>1.7107550965545595E-3</c:v>
                </c:pt>
                <c:pt idx="67">
                  <c:v>1.7107550965545595E-3</c:v>
                </c:pt>
                <c:pt idx="68">
                  <c:v>1.7107550965545595E-3</c:v>
                </c:pt>
                <c:pt idx="69">
                  <c:v>1.7107550965545595E-3</c:v>
                </c:pt>
                <c:pt idx="70">
                  <c:v>1.7107550965545595E-3</c:v>
                </c:pt>
                <c:pt idx="71">
                  <c:v>1.7107550965545595E-3</c:v>
                </c:pt>
                <c:pt idx="72">
                  <c:v>1.7107550965545595E-3</c:v>
                </c:pt>
                <c:pt idx="73">
                  <c:v>1.7107550965545595E-3</c:v>
                </c:pt>
                <c:pt idx="74">
                  <c:v>1.7107550965545595E-3</c:v>
                </c:pt>
                <c:pt idx="75">
                  <c:v>1.7107550965545595E-3</c:v>
                </c:pt>
                <c:pt idx="76">
                  <c:v>1.7107550965545595E-3</c:v>
                </c:pt>
                <c:pt idx="77">
                  <c:v>1.7107550965545595E-3</c:v>
                </c:pt>
                <c:pt idx="78">
                  <c:v>1.7107550965545595E-3</c:v>
                </c:pt>
                <c:pt idx="79">
                  <c:v>1.7107550965545595E-3</c:v>
                </c:pt>
                <c:pt idx="80">
                  <c:v>1.7107550965545595E-3</c:v>
                </c:pt>
                <c:pt idx="81">
                  <c:v>1.7107550965545595E-3</c:v>
                </c:pt>
                <c:pt idx="82">
                  <c:v>1.7107550965545595E-3</c:v>
                </c:pt>
                <c:pt idx="83">
                  <c:v>1.7107550965545595E-3</c:v>
                </c:pt>
                <c:pt idx="84">
                  <c:v>1.7107550965545595E-3</c:v>
                </c:pt>
                <c:pt idx="85">
                  <c:v>1.7107550965545595E-3</c:v>
                </c:pt>
                <c:pt idx="86">
                  <c:v>1.7107550965545595E-3</c:v>
                </c:pt>
                <c:pt idx="87">
                  <c:v>1.7107550965545595E-3</c:v>
                </c:pt>
                <c:pt idx="88">
                  <c:v>1.7107550965545595E-3</c:v>
                </c:pt>
                <c:pt idx="89">
                  <c:v>1.7107550965545595E-3</c:v>
                </c:pt>
                <c:pt idx="90">
                  <c:v>1.7107550965545595E-3</c:v>
                </c:pt>
                <c:pt idx="91">
                  <c:v>1.7107550965545595E-3</c:v>
                </c:pt>
                <c:pt idx="92">
                  <c:v>1.7107550965545595E-3</c:v>
                </c:pt>
                <c:pt idx="93">
                  <c:v>1.7107550965545595E-3</c:v>
                </c:pt>
                <c:pt idx="94">
                  <c:v>1.7107550965545595E-3</c:v>
                </c:pt>
                <c:pt idx="95">
                  <c:v>1.7107550965545595E-3</c:v>
                </c:pt>
                <c:pt idx="96">
                  <c:v>1.7107550965545595E-3</c:v>
                </c:pt>
                <c:pt idx="97">
                  <c:v>1.7107550965545595E-3</c:v>
                </c:pt>
                <c:pt idx="98">
                  <c:v>1.7107550965545595E-3</c:v>
                </c:pt>
                <c:pt idx="99">
                  <c:v>1.7107550965545595E-3</c:v>
                </c:pt>
                <c:pt idx="100">
                  <c:v>1.7107550965545595E-3</c:v>
                </c:pt>
                <c:pt idx="101">
                  <c:v>1.7107550965545595E-3</c:v>
                </c:pt>
                <c:pt idx="102">
                  <c:v>1.7107550965545595E-3</c:v>
                </c:pt>
                <c:pt idx="103">
                  <c:v>1.7107550965545595E-3</c:v>
                </c:pt>
                <c:pt idx="104">
                  <c:v>1.7107550965545595E-3</c:v>
                </c:pt>
                <c:pt idx="105">
                  <c:v>1.7107550965545595E-3</c:v>
                </c:pt>
                <c:pt idx="106">
                  <c:v>1.7107550965545595E-3</c:v>
                </c:pt>
                <c:pt idx="107">
                  <c:v>1.7107550965545595E-3</c:v>
                </c:pt>
                <c:pt idx="108">
                  <c:v>1.7107550965545595E-3</c:v>
                </c:pt>
                <c:pt idx="109">
                  <c:v>1.7107550965545595E-3</c:v>
                </c:pt>
                <c:pt idx="110">
                  <c:v>1.7107550965545595E-3</c:v>
                </c:pt>
                <c:pt idx="111">
                  <c:v>1.7107550965545595E-3</c:v>
                </c:pt>
                <c:pt idx="112">
                  <c:v>1.7107550965545595E-3</c:v>
                </c:pt>
                <c:pt idx="113">
                  <c:v>1.7107550965545595E-3</c:v>
                </c:pt>
                <c:pt idx="114">
                  <c:v>1.7107550965545595E-3</c:v>
                </c:pt>
                <c:pt idx="115">
                  <c:v>1.7107550965545595E-3</c:v>
                </c:pt>
                <c:pt idx="116">
                  <c:v>1.7107550965545595E-3</c:v>
                </c:pt>
                <c:pt idx="117">
                  <c:v>1.7107550965545595E-3</c:v>
                </c:pt>
                <c:pt idx="118">
                  <c:v>1.7107550965545595E-3</c:v>
                </c:pt>
                <c:pt idx="119">
                  <c:v>1.7107550965545595E-3</c:v>
                </c:pt>
                <c:pt idx="120">
                  <c:v>1.7107550965545595E-3</c:v>
                </c:pt>
                <c:pt idx="121">
                  <c:v>1.7107550965545595E-3</c:v>
                </c:pt>
                <c:pt idx="122">
                  <c:v>1.7107550965545595E-3</c:v>
                </c:pt>
                <c:pt idx="123">
                  <c:v>1.7107550965545595E-3</c:v>
                </c:pt>
                <c:pt idx="124">
                  <c:v>1.7107550965545595E-3</c:v>
                </c:pt>
                <c:pt idx="125">
                  <c:v>1.7107550965545595E-3</c:v>
                </c:pt>
                <c:pt idx="126">
                  <c:v>1.7107550965545595E-3</c:v>
                </c:pt>
                <c:pt idx="127">
                  <c:v>1.7107550965545595E-3</c:v>
                </c:pt>
                <c:pt idx="128">
                  <c:v>1.7107550965545595E-3</c:v>
                </c:pt>
                <c:pt idx="129">
                  <c:v>1.7107550965545595E-3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  <c:pt idx="67">
                  <c:v>41989</c:v>
                </c:pt>
                <c:pt idx="68">
                  <c:v>41990</c:v>
                </c:pt>
                <c:pt idx="69">
                  <c:v>41991</c:v>
                </c:pt>
                <c:pt idx="70">
                  <c:v>41992</c:v>
                </c:pt>
                <c:pt idx="71">
                  <c:v>41995</c:v>
                </c:pt>
                <c:pt idx="72">
                  <c:v>41996</c:v>
                </c:pt>
                <c:pt idx="73">
                  <c:v>41997</c:v>
                </c:pt>
                <c:pt idx="74">
                  <c:v>42002</c:v>
                </c:pt>
                <c:pt idx="75">
                  <c:v>42003</c:v>
                </c:pt>
                <c:pt idx="76">
                  <c:v>42004</c:v>
                </c:pt>
                <c:pt idx="77">
                  <c:v>42006</c:v>
                </c:pt>
                <c:pt idx="78">
                  <c:v>42009</c:v>
                </c:pt>
                <c:pt idx="79">
                  <c:v>42010</c:v>
                </c:pt>
                <c:pt idx="80">
                  <c:v>42011</c:v>
                </c:pt>
                <c:pt idx="81">
                  <c:v>42012</c:v>
                </c:pt>
                <c:pt idx="82">
                  <c:v>42013</c:v>
                </c:pt>
                <c:pt idx="83">
                  <c:v>42016</c:v>
                </c:pt>
                <c:pt idx="84">
                  <c:v>42017</c:v>
                </c:pt>
                <c:pt idx="85">
                  <c:v>42018</c:v>
                </c:pt>
                <c:pt idx="86">
                  <c:v>42019</c:v>
                </c:pt>
                <c:pt idx="87">
                  <c:v>42020</c:v>
                </c:pt>
                <c:pt idx="88">
                  <c:v>42023</c:v>
                </c:pt>
                <c:pt idx="89">
                  <c:v>42024</c:v>
                </c:pt>
                <c:pt idx="90">
                  <c:v>42025</c:v>
                </c:pt>
                <c:pt idx="91">
                  <c:v>42026</c:v>
                </c:pt>
                <c:pt idx="92">
                  <c:v>42027</c:v>
                </c:pt>
                <c:pt idx="93">
                  <c:v>42031</c:v>
                </c:pt>
                <c:pt idx="94">
                  <c:v>42032</c:v>
                </c:pt>
                <c:pt idx="95">
                  <c:v>42033</c:v>
                </c:pt>
                <c:pt idx="96">
                  <c:v>42034</c:v>
                </c:pt>
                <c:pt idx="97">
                  <c:v>42037</c:v>
                </c:pt>
                <c:pt idx="98">
                  <c:v>42038</c:v>
                </c:pt>
                <c:pt idx="99">
                  <c:v>42039</c:v>
                </c:pt>
                <c:pt idx="100">
                  <c:v>42040</c:v>
                </c:pt>
                <c:pt idx="101">
                  <c:v>42041</c:v>
                </c:pt>
                <c:pt idx="102">
                  <c:v>42044</c:v>
                </c:pt>
                <c:pt idx="103">
                  <c:v>42045</c:v>
                </c:pt>
                <c:pt idx="104">
                  <c:v>42046</c:v>
                </c:pt>
                <c:pt idx="105">
                  <c:v>42047</c:v>
                </c:pt>
                <c:pt idx="106">
                  <c:v>42048</c:v>
                </c:pt>
                <c:pt idx="107">
                  <c:v>42051</c:v>
                </c:pt>
                <c:pt idx="108">
                  <c:v>42052</c:v>
                </c:pt>
                <c:pt idx="109">
                  <c:v>42053</c:v>
                </c:pt>
                <c:pt idx="110">
                  <c:v>42054</c:v>
                </c:pt>
                <c:pt idx="111">
                  <c:v>42055</c:v>
                </c:pt>
                <c:pt idx="112">
                  <c:v>42058</c:v>
                </c:pt>
                <c:pt idx="113">
                  <c:v>42059</c:v>
                </c:pt>
                <c:pt idx="114">
                  <c:v>42060</c:v>
                </c:pt>
                <c:pt idx="115">
                  <c:v>42061</c:v>
                </c:pt>
                <c:pt idx="116">
                  <c:v>42062</c:v>
                </c:pt>
                <c:pt idx="117">
                  <c:v>42065</c:v>
                </c:pt>
                <c:pt idx="118">
                  <c:v>42066</c:v>
                </c:pt>
                <c:pt idx="119">
                  <c:v>42067</c:v>
                </c:pt>
                <c:pt idx="120">
                  <c:v>42068</c:v>
                </c:pt>
                <c:pt idx="121">
                  <c:v>42069</c:v>
                </c:pt>
                <c:pt idx="122">
                  <c:v>42072</c:v>
                </c:pt>
                <c:pt idx="123">
                  <c:v>42073</c:v>
                </c:pt>
                <c:pt idx="124">
                  <c:v>42074</c:v>
                </c:pt>
                <c:pt idx="125">
                  <c:v>42075</c:v>
                </c:pt>
                <c:pt idx="126">
                  <c:v>42076</c:v>
                </c:pt>
                <c:pt idx="127">
                  <c:v>42079</c:v>
                </c:pt>
                <c:pt idx="128">
                  <c:v>42080</c:v>
                </c:pt>
                <c:pt idx="129">
                  <c:v>42081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1.1193145820256516E-3</c:v>
                </c:pt>
                <c:pt idx="1">
                  <c:v>1.1257784127855304E-3</c:v>
                </c:pt>
                <c:pt idx="2">
                  <c:v>1.1451699050651666E-3</c:v>
                </c:pt>
                <c:pt idx="3">
                  <c:v>1.1516337358250454E-3</c:v>
                </c:pt>
                <c:pt idx="4">
                  <c:v>1.1580975665849242E-3</c:v>
                </c:pt>
                <c:pt idx="5">
                  <c:v>1.164561397344803E-3</c:v>
                </c:pt>
                <c:pt idx="6">
                  <c:v>1.1710252281046816E-3</c:v>
                </c:pt>
                <c:pt idx="7">
                  <c:v>1.1904167203843181E-3</c:v>
                </c:pt>
                <c:pt idx="8">
                  <c:v>1.1968805511441969E-3</c:v>
                </c:pt>
                <c:pt idx="9">
                  <c:v>1.2033443819040755E-3</c:v>
                </c:pt>
                <c:pt idx="10">
                  <c:v>1.2098082126639543E-3</c:v>
                </c:pt>
                <c:pt idx="11">
                  <c:v>1.2162720434238331E-3</c:v>
                </c:pt>
                <c:pt idx="12">
                  <c:v>1.2356635357034693E-3</c:v>
                </c:pt>
                <c:pt idx="13">
                  <c:v>1.2421273664633482E-3</c:v>
                </c:pt>
                <c:pt idx="14">
                  <c:v>1.248591197223227E-3</c:v>
                </c:pt>
                <c:pt idx="15">
                  <c:v>1.2550550279831058E-3</c:v>
                </c:pt>
                <c:pt idx="16">
                  <c:v>1.2615188587429846E-3</c:v>
                </c:pt>
                <c:pt idx="17">
                  <c:v>1.2873741817824996E-3</c:v>
                </c:pt>
                <c:pt idx="18">
                  <c:v>1.2938380125423784E-3</c:v>
                </c:pt>
                <c:pt idx="19">
                  <c:v>1.3003018433022573E-3</c:v>
                </c:pt>
                <c:pt idx="20">
                  <c:v>1.3067656740621358E-3</c:v>
                </c:pt>
                <c:pt idx="21">
                  <c:v>1.3261571663417723E-3</c:v>
                </c:pt>
                <c:pt idx="22">
                  <c:v>1.3326209971016509E-3</c:v>
                </c:pt>
                <c:pt idx="23">
                  <c:v>1.3390848278615297E-3</c:v>
                </c:pt>
                <c:pt idx="24">
                  <c:v>1.3455486586214085E-3</c:v>
                </c:pt>
                <c:pt idx="25">
                  <c:v>1.3520124893812873E-3</c:v>
                </c:pt>
                <c:pt idx="26">
                  <c:v>1.3714039816609235E-3</c:v>
                </c:pt>
                <c:pt idx="27">
                  <c:v>1.3778678124208024E-3</c:v>
                </c:pt>
                <c:pt idx="28">
                  <c:v>1.3843316431806812E-3</c:v>
                </c:pt>
                <c:pt idx="29">
                  <c:v>1.39079547394056E-3</c:v>
                </c:pt>
                <c:pt idx="30">
                  <c:v>1.3972593047004386E-3</c:v>
                </c:pt>
                <c:pt idx="31">
                  <c:v>1.416650796980075E-3</c:v>
                </c:pt>
                <c:pt idx="32">
                  <c:v>1.4231146277399538E-3</c:v>
                </c:pt>
                <c:pt idx="33">
                  <c:v>1.4295784584998326E-3</c:v>
                </c:pt>
                <c:pt idx="34">
                  <c:v>1.4360422892597112E-3</c:v>
                </c:pt>
                <c:pt idx="35">
                  <c:v>1.4425061200195901E-3</c:v>
                </c:pt>
                <c:pt idx="36">
                  <c:v>1.4618976122992263E-3</c:v>
                </c:pt>
                <c:pt idx="37">
                  <c:v>1.4683614430591051E-3</c:v>
                </c:pt>
                <c:pt idx="38">
                  <c:v>1.4748252738189839E-3</c:v>
                </c:pt>
                <c:pt idx="39">
                  <c:v>1.4812891045788627E-3</c:v>
                </c:pt>
                <c:pt idx="40">
                  <c:v>1.4877529353387415E-3</c:v>
                </c:pt>
                <c:pt idx="41">
                  <c:v>1.5071444276183777E-3</c:v>
                </c:pt>
                <c:pt idx="42">
                  <c:v>1.5136082583782566E-3</c:v>
                </c:pt>
                <c:pt idx="43">
                  <c:v>1.5200720891381354E-3</c:v>
                </c:pt>
                <c:pt idx="44">
                  <c:v>1.5265359198980142E-3</c:v>
                </c:pt>
                <c:pt idx="45">
                  <c:v>1.5329997506578928E-3</c:v>
                </c:pt>
                <c:pt idx="46">
                  <c:v>1.5523912429375292E-3</c:v>
                </c:pt>
                <c:pt idx="47">
                  <c:v>1.558855073697408E-3</c:v>
                </c:pt>
                <c:pt idx="48">
                  <c:v>1.5653189044572868E-3</c:v>
                </c:pt>
                <c:pt idx="49">
                  <c:v>1.5717827352171654E-3</c:v>
                </c:pt>
                <c:pt idx="50">
                  <c:v>1.5782465659770443E-3</c:v>
                </c:pt>
                <c:pt idx="51">
                  <c:v>1.5976380582566805E-3</c:v>
                </c:pt>
                <c:pt idx="52">
                  <c:v>1.6041018890165593E-3</c:v>
                </c:pt>
                <c:pt idx="53">
                  <c:v>1.6105657197764381E-3</c:v>
                </c:pt>
                <c:pt idx="54">
                  <c:v>1.6170295505363169E-3</c:v>
                </c:pt>
                <c:pt idx="55">
                  <c:v>1.6234933812961957E-3</c:v>
                </c:pt>
                <c:pt idx="56">
                  <c:v>1.642884873575832E-3</c:v>
                </c:pt>
                <c:pt idx="57">
                  <c:v>1.6493487043357105E-3</c:v>
                </c:pt>
                <c:pt idx="58">
                  <c:v>1.6558125350955894E-3</c:v>
                </c:pt>
                <c:pt idx="59">
                  <c:v>1.6622763658554682E-3</c:v>
                </c:pt>
                <c:pt idx="60">
                  <c:v>1.668740196615347E-3</c:v>
                </c:pt>
                <c:pt idx="61">
                  <c:v>1.6881316888949834E-3</c:v>
                </c:pt>
                <c:pt idx="62">
                  <c:v>1.6945955196548622E-3</c:v>
                </c:pt>
                <c:pt idx="63">
                  <c:v>1.7010593504147408E-3</c:v>
                </c:pt>
                <c:pt idx="64">
                  <c:v>1.7075231811746196E-3</c:v>
                </c:pt>
                <c:pt idx="65">
                  <c:v>1.7139870119344985E-3</c:v>
                </c:pt>
                <c:pt idx="66">
                  <c:v>1.7333785042141347E-3</c:v>
                </c:pt>
                <c:pt idx="67">
                  <c:v>1.7398423349740135E-3</c:v>
                </c:pt>
                <c:pt idx="68">
                  <c:v>1.7463061657338923E-3</c:v>
                </c:pt>
                <c:pt idx="69">
                  <c:v>1.7527699964937711E-3</c:v>
                </c:pt>
                <c:pt idx="70">
                  <c:v>1.7592338272536499E-3</c:v>
                </c:pt>
                <c:pt idx="71">
                  <c:v>1.7786253195332862E-3</c:v>
                </c:pt>
                <c:pt idx="72">
                  <c:v>1.785089150293165E-3</c:v>
                </c:pt>
                <c:pt idx="73">
                  <c:v>1.7915529810530436E-3</c:v>
                </c:pt>
                <c:pt idx="74">
                  <c:v>1.8238721348524376E-3</c:v>
                </c:pt>
                <c:pt idx="75">
                  <c:v>1.8303359656123162E-3</c:v>
                </c:pt>
                <c:pt idx="76">
                  <c:v>1.8367997963721953E-3</c:v>
                </c:pt>
                <c:pt idx="77">
                  <c:v>1.8497274578919527E-3</c:v>
                </c:pt>
                <c:pt idx="78">
                  <c:v>1.8691189501715889E-3</c:v>
                </c:pt>
                <c:pt idx="79">
                  <c:v>1.8755827809314677E-3</c:v>
                </c:pt>
                <c:pt idx="80">
                  <c:v>1.8820466116913465E-3</c:v>
                </c:pt>
                <c:pt idx="81">
                  <c:v>1.8885104424512253E-3</c:v>
                </c:pt>
                <c:pt idx="82">
                  <c:v>1.8949742732111039E-3</c:v>
                </c:pt>
                <c:pt idx="83">
                  <c:v>1.9143657654907404E-3</c:v>
                </c:pt>
                <c:pt idx="84">
                  <c:v>1.920829596250619E-3</c:v>
                </c:pt>
                <c:pt idx="85">
                  <c:v>1.9272934270104978E-3</c:v>
                </c:pt>
                <c:pt idx="86">
                  <c:v>1.9337572577703766E-3</c:v>
                </c:pt>
                <c:pt idx="87">
                  <c:v>1.9402210885302554E-3</c:v>
                </c:pt>
                <c:pt idx="88">
                  <c:v>1.9596125808098918E-3</c:v>
                </c:pt>
                <c:pt idx="89">
                  <c:v>1.9660764115697706E-3</c:v>
                </c:pt>
                <c:pt idx="90">
                  <c:v>1.9725402423296495E-3</c:v>
                </c:pt>
                <c:pt idx="91">
                  <c:v>1.9790040730895278E-3</c:v>
                </c:pt>
                <c:pt idx="92">
                  <c:v>1.9854679038494067E-3</c:v>
                </c:pt>
                <c:pt idx="93">
                  <c:v>2.0113232268889219E-3</c:v>
                </c:pt>
                <c:pt idx="94">
                  <c:v>2.0177870576488007E-3</c:v>
                </c:pt>
                <c:pt idx="95">
                  <c:v>2.0242508884086791E-3</c:v>
                </c:pt>
                <c:pt idx="96">
                  <c:v>2.0307147191685583E-3</c:v>
                </c:pt>
                <c:pt idx="97">
                  <c:v>2.0501062114481943E-3</c:v>
                </c:pt>
                <c:pt idx="98">
                  <c:v>2.0565700422080732E-3</c:v>
                </c:pt>
                <c:pt idx="99">
                  <c:v>2.063033872967952E-3</c:v>
                </c:pt>
                <c:pt idx="100">
                  <c:v>2.0694977037278308E-3</c:v>
                </c:pt>
                <c:pt idx="101">
                  <c:v>2.0759615344877096E-3</c:v>
                </c:pt>
                <c:pt idx="102">
                  <c:v>2.095353026767346E-3</c:v>
                </c:pt>
                <c:pt idx="103">
                  <c:v>2.1018168575272249E-3</c:v>
                </c:pt>
                <c:pt idx="104">
                  <c:v>2.1082806882871032E-3</c:v>
                </c:pt>
                <c:pt idx="105">
                  <c:v>2.114744519046982E-3</c:v>
                </c:pt>
                <c:pt idx="106">
                  <c:v>2.1212083498068609E-3</c:v>
                </c:pt>
                <c:pt idx="107">
                  <c:v>2.1405998420864973E-3</c:v>
                </c:pt>
                <c:pt idx="108">
                  <c:v>2.1470636728463761E-3</c:v>
                </c:pt>
                <c:pt idx="109">
                  <c:v>2.1535275036062545E-3</c:v>
                </c:pt>
                <c:pt idx="110">
                  <c:v>2.1599913343661337E-3</c:v>
                </c:pt>
                <c:pt idx="111">
                  <c:v>2.1664551651260121E-3</c:v>
                </c:pt>
                <c:pt idx="112">
                  <c:v>2.1858466574056486E-3</c:v>
                </c:pt>
                <c:pt idx="113">
                  <c:v>2.1923104881655274E-3</c:v>
                </c:pt>
                <c:pt idx="114">
                  <c:v>2.1987743189254062E-3</c:v>
                </c:pt>
                <c:pt idx="115">
                  <c:v>2.205238149685285E-3</c:v>
                </c:pt>
                <c:pt idx="116">
                  <c:v>2.2117019804451638E-3</c:v>
                </c:pt>
                <c:pt idx="117">
                  <c:v>2.2310934727248002E-3</c:v>
                </c:pt>
                <c:pt idx="118">
                  <c:v>2.2375573034846786E-3</c:v>
                </c:pt>
                <c:pt idx="119">
                  <c:v>2.2440211342445579E-3</c:v>
                </c:pt>
                <c:pt idx="120">
                  <c:v>2.2504849650044362E-3</c:v>
                </c:pt>
                <c:pt idx="121">
                  <c:v>2.2569487957643151E-3</c:v>
                </c:pt>
                <c:pt idx="122">
                  <c:v>2.2763402880439515E-3</c:v>
                </c:pt>
                <c:pt idx="123">
                  <c:v>2.2828041188038299E-3</c:v>
                </c:pt>
                <c:pt idx="124">
                  <c:v>2.2892679495637091E-3</c:v>
                </c:pt>
                <c:pt idx="125">
                  <c:v>2.2957317803235875E-3</c:v>
                </c:pt>
                <c:pt idx="126">
                  <c:v>2.3021956110834668E-3</c:v>
                </c:pt>
                <c:pt idx="127">
                  <c:v>2.3215871033631028E-3</c:v>
                </c:pt>
                <c:pt idx="128">
                  <c:v>2.3280509341229816E-3</c:v>
                </c:pt>
                <c:pt idx="129">
                  <c:v>2.3345147648828604E-3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  <c:pt idx="67">
                  <c:v>41989</c:v>
                </c:pt>
                <c:pt idx="68">
                  <c:v>41990</c:v>
                </c:pt>
                <c:pt idx="69">
                  <c:v>41991</c:v>
                </c:pt>
                <c:pt idx="70">
                  <c:v>41992</c:v>
                </c:pt>
                <c:pt idx="71">
                  <c:v>41995</c:v>
                </c:pt>
                <c:pt idx="72">
                  <c:v>41996</c:v>
                </c:pt>
                <c:pt idx="73">
                  <c:v>41997</c:v>
                </c:pt>
                <c:pt idx="74">
                  <c:v>42002</c:v>
                </c:pt>
                <c:pt idx="75">
                  <c:v>42003</c:v>
                </c:pt>
                <c:pt idx="76">
                  <c:v>42004</c:v>
                </c:pt>
                <c:pt idx="77">
                  <c:v>42006</c:v>
                </c:pt>
                <c:pt idx="78">
                  <c:v>42009</c:v>
                </c:pt>
                <c:pt idx="79">
                  <c:v>42010</c:v>
                </c:pt>
                <c:pt idx="80">
                  <c:v>42011</c:v>
                </c:pt>
                <c:pt idx="81">
                  <c:v>42012</c:v>
                </c:pt>
                <c:pt idx="82">
                  <c:v>42013</c:v>
                </c:pt>
                <c:pt idx="83">
                  <c:v>42016</c:v>
                </c:pt>
                <c:pt idx="84">
                  <c:v>42017</c:v>
                </c:pt>
                <c:pt idx="85">
                  <c:v>42018</c:v>
                </c:pt>
                <c:pt idx="86">
                  <c:v>42019</c:v>
                </c:pt>
                <c:pt idx="87">
                  <c:v>42020</c:v>
                </c:pt>
                <c:pt idx="88">
                  <c:v>42023</c:v>
                </c:pt>
                <c:pt idx="89">
                  <c:v>42024</c:v>
                </c:pt>
                <c:pt idx="90">
                  <c:v>42025</c:v>
                </c:pt>
                <c:pt idx="91">
                  <c:v>42026</c:v>
                </c:pt>
                <c:pt idx="92">
                  <c:v>42027</c:v>
                </c:pt>
                <c:pt idx="93">
                  <c:v>42031</c:v>
                </c:pt>
                <c:pt idx="94">
                  <c:v>42032</c:v>
                </c:pt>
                <c:pt idx="95">
                  <c:v>42033</c:v>
                </c:pt>
                <c:pt idx="96">
                  <c:v>42034</c:v>
                </c:pt>
                <c:pt idx="97">
                  <c:v>42037</c:v>
                </c:pt>
                <c:pt idx="98">
                  <c:v>42038</c:v>
                </c:pt>
                <c:pt idx="99">
                  <c:v>42039</c:v>
                </c:pt>
                <c:pt idx="100">
                  <c:v>42040</c:v>
                </c:pt>
                <c:pt idx="101">
                  <c:v>42041</c:v>
                </c:pt>
                <c:pt idx="102">
                  <c:v>42044</c:v>
                </c:pt>
                <c:pt idx="103">
                  <c:v>42045</c:v>
                </c:pt>
                <c:pt idx="104">
                  <c:v>42046</c:v>
                </c:pt>
                <c:pt idx="105">
                  <c:v>42047</c:v>
                </c:pt>
                <c:pt idx="106">
                  <c:v>42048</c:v>
                </c:pt>
                <c:pt idx="107">
                  <c:v>42051</c:v>
                </c:pt>
                <c:pt idx="108">
                  <c:v>42052</c:v>
                </c:pt>
                <c:pt idx="109">
                  <c:v>42053</c:v>
                </c:pt>
                <c:pt idx="110">
                  <c:v>42054</c:v>
                </c:pt>
                <c:pt idx="111">
                  <c:v>42055</c:v>
                </c:pt>
                <c:pt idx="112">
                  <c:v>42058</c:v>
                </c:pt>
                <c:pt idx="113">
                  <c:v>42059</c:v>
                </c:pt>
                <c:pt idx="114">
                  <c:v>42060</c:v>
                </c:pt>
                <c:pt idx="115">
                  <c:v>42061</c:v>
                </c:pt>
                <c:pt idx="116">
                  <c:v>42062</c:v>
                </c:pt>
                <c:pt idx="117">
                  <c:v>42065</c:v>
                </c:pt>
                <c:pt idx="118">
                  <c:v>42066</c:v>
                </c:pt>
                <c:pt idx="119">
                  <c:v>42067</c:v>
                </c:pt>
                <c:pt idx="120">
                  <c:v>42068</c:v>
                </c:pt>
                <c:pt idx="121">
                  <c:v>42069</c:v>
                </c:pt>
                <c:pt idx="122">
                  <c:v>42072</c:v>
                </c:pt>
                <c:pt idx="123">
                  <c:v>42073</c:v>
                </c:pt>
                <c:pt idx="124">
                  <c:v>42074</c:v>
                </c:pt>
                <c:pt idx="125">
                  <c:v>42075</c:v>
                </c:pt>
                <c:pt idx="126">
                  <c:v>42076</c:v>
                </c:pt>
                <c:pt idx="127">
                  <c:v>42079</c:v>
                </c:pt>
                <c:pt idx="128">
                  <c:v>42080</c:v>
                </c:pt>
                <c:pt idx="129">
                  <c:v>42081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212096"/>
        <c:axId val="377909632"/>
      </c:lineChart>
      <c:dateAx>
        <c:axId val="3762120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7909632"/>
        <c:crosses val="autoZero"/>
        <c:auto val="1"/>
        <c:lblOffset val="100"/>
        <c:baseTimeUnit val="days"/>
      </c:dateAx>
      <c:valAx>
        <c:axId val="3779096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6212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  <c:pt idx="7">
                  <c:v>42019</c:v>
                </c:pt>
                <c:pt idx="8">
                  <c:v>42051</c:v>
                </c:pt>
                <c:pt idx="9">
                  <c:v>42079</c:v>
                </c:pt>
              </c:numCache>
            </c:numRef>
          </c:cat>
          <c:val>
            <c:numRef>
              <c:f>'6MSynthDepo'!$M$18:$M$27</c:f>
              <c:numCache>
                <c:formatCode>0.0000%</c:formatCode>
                <c:ptCount val="10"/>
                <c:pt idx="0">
                  <c:v>2.6363658884066617E-2</c:v>
                </c:pt>
                <c:pt idx="1">
                  <c:v>2.636450906184622E-2</c:v>
                </c:pt>
                <c:pt idx="2">
                  <c:v>2.6364380621188111E-2</c:v>
                </c:pt>
                <c:pt idx="3">
                  <c:v>2.6363905610404165E-2</c:v>
                </c:pt>
                <c:pt idx="4">
                  <c:v>2.6363183359161834E-2</c:v>
                </c:pt>
                <c:pt idx="5">
                  <c:v>2.6364223846212263E-2</c:v>
                </c:pt>
                <c:pt idx="6">
                  <c:v>2.6361897142030844E-2</c:v>
                </c:pt>
                <c:pt idx="7">
                  <c:v>2.6354179581493567E-2</c:v>
                </c:pt>
                <c:pt idx="8">
                  <c:v>2.637552798057121E-2</c:v>
                </c:pt>
                <c:pt idx="9">
                  <c:v>2.6391454958567623E-2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  <c:pt idx="7">
                  <c:v>42019</c:v>
                </c:pt>
                <c:pt idx="8">
                  <c:v>42051</c:v>
                </c:pt>
                <c:pt idx="9">
                  <c:v>42079</c:v>
                </c:pt>
              </c:numCache>
            </c:numRef>
          </c:cat>
          <c:val>
            <c:numRef>
              <c:f>'6MSynthDepo'!$N$18:$N$27</c:f>
              <c:numCache>
                <c:formatCode>0.0000%</c:formatCode>
                <c:ptCount val="10"/>
                <c:pt idx="0">
                  <c:v>2.5775450284917647E-2</c:v>
                </c:pt>
                <c:pt idx="1">
                  <c:v>2.5795691954976888E-2</c:v>
                </c:pt>
                <c:pt idx="2">
                  <c:v>2.5818186921978355E-2</c:v>
                </c:pt>
                <c:pt idx="3">
                  <c:v>2.5843567234233922E-2</c:v>
                </c:pt>
                <c:pt idx="4">
                  <c:v>2.5868700306031112E-2</c:v>
                </c:pt>
                <c:pt idx="5">
                  <c:v>2.5976394000619536E-2</c:v>
                </c:pt>
                <c:pt idx="6">
                  <c:v>2.606456092707642E-2</c:v>
                </c:pt>
                <c:pt idx="7">
                  <c:v>2.6157032743317266E-2</c:v>
                </c:pt>
                <c:pt idx="8">
                  <c:v>2.6281802434552966E-2</c:v>
                </c:pt>
                <c:pt idx="9">
                  <c:v>2.6388223043187681E-2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  <c:pt idx="7">
                  <c:v>42019</c:v>
                </c:pt>
                <c:pt idx="8">
                  <c:v>42051</c:v>
                </c:pt>
                <c:pt idx="9">
                  <c:v>42079</c:v>
                </c:pt>
              </c:numCache>
            </c:numRef>
          </c:cat>
          <c:val>
            <c:numRef>
              <c:f>'6MSynthDepo'!$O$18:$O$27</c:f>
              <c:numCache>
                <c:formatCode>0.0000%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340864"/>
        <c:axId val="378342400"/>
      </c:lineChart>
      <c:dateAx>
        <c:axId val="3783408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8342400"/>
        <c:crosses val="autoZero"/>
        <c:auto val="1"/>
        <c:lblOffset val="100"/>
        <c:baseTimeUnit val="days"/>
      </c:dateAx>
      <c:valAx>
        <c:axId val="3783424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8340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1.6215029880028728E-3</c:v>
                </c:pt>
                <c:pt idx="1">
                  <c:v>1.6215029880028728E-3</c:v>
                </c:pt>
                <c:pt idx="2">
                  <c:v>1.6215029880028728E-3</c:v>
                </c:pt>
                <c:pt idx="3">
                  <c:v>1.6215029880028728E-3</c:v>
                </c:pt>
                <c:pt idx="4">
                  <c:v>1.6215029880028728E-3</c:v>
                </c:pt>
                <c:pt idx="5">
                  <c:v>1.6215029880028728E-3</c:v>
                </c:pt>
                <c:pt idx="6">
                  <c:v>1.6215029880028728E-3</c:v>
                </c:pt>
                <c:pt idx="7">
                  <c:v>1.6215029880028728E-3</c:v>
                </c:pt>
                <c:pt idx="8">
                  <c:v>1.6215029880028728E-3</c:v>
                </c:pt>
                <c:pt idx="9">
                  <c:v>1.6215029880028728E-3</c:v>
                </c:pt>
                <c:pt idx="10">
                  <c:v>1.6215029880028728E-3</c:v>
                </c:pt>
                <c:pt idx="11">
                  <c:v>1.6215029880028728E-3</c:v>
                </c:pt>
                <c:pt idx="12">
                  <c:v>1.6215029880028728E-3</c:v>
                </c:pt>
                <c:pt idx="13">
                  <c:v>1.6215029880028728E-3</c:v>
                </c:pt>
                <c:pt idx="14">
                  <c:v>1.6215029880028728E-3</c:v>
                </c:pt>
                <c:pt idx="15">
                  <c:v>1.6215029880028728E-3</c:v>
                </c:pt>
                <c:pt idx="16">
                  <c:v>1.6215029880028728E-3</c:v>
                </c:pt>
                <c:pt idx="17">
                  <c:v>1.6215029880028728E-3</c:v>
                </c:pt>
                <c:pt idx="18">
                  <c:v>1.6215029880028728E-3</c:v>
                </c:pt>
                <c:pt idx="19">
                  <c:v>1.6215029880028728E-3</c:v>
                </c:pt>
                <c:pt idx="20">
                  <c:v>1.6215029880028728E-3</c:v>
                </c:pt>
                <c:pt idx="21">
                  <c:v>1.6215029880028728E-3</c:v>
                </c:pt>
                <c:pt idx="22">
                  <c:v>1.6215029880028728E-3</c:v>
                </c:pt>
                <c:pt idx="23">
                  <c:v>1.6215029880028728E-3</c:v>
                </c:pt>
                <c:pt idx="24">
                  <c:v>1.6215029880028728E-3</c:v>
                </c:pt>
                <c:pt idx="25">
                  <c:v>1.6215029880028728E-3</c:v>
                </c:pt>
                <c:pt idx="26">
                  <c:v>1.6215029880028728E-3</c:v>
                </c:pt>
                <c:pt idx="27">
                  <c:v>1.6215029880028728E-3</c:v>
                </c:pt>
                <c:pt idx="28">
                  <c:v>1.6215029880028728E-3</c:v>
                </c:pt>
                <c:pt idx="29">
                  <c:v>1.6215029880028728E-3</c:v>
                </c:pt>
                <c:pt idx="30">
                  <c:v>1.6215029880028728E-3</c:v>
                </c:pt>
                <c:pt idx="31">
                  <c:v>1.6215029880028728E-3</c:v>
                </c:pt>
                <c:pt idx="32">
                  <c:v>1.6215029880028728E-3</c:v>
                </c:pt>
                <c:pt idx="33">
                  <c:v>1.6215029880028728E-3</c:v>
                </c:pt>
                <c:pt idx="34">
                  <c:v>1.6215029880028728E-3</c:v>
                </c:pt>
                <c:pt idx="35">
                  <c:v>1.6215029880028728E-3</c:v>
                </c:pt>
                <c:pt idx="36">
                  <c:v>1.6215029880028728E-3</c:v>
                </c:pt>
                <c:pt idx="37">
                  <c:v>1.6215029880028728E-3</c:v>
                </c:pt>
                <c:pt idx="38">
                  <c:v>1.6215029880028728E-3</c:v>
                </c:pt>
                <c:pt idx="39">
                  <c:v>1.6215029880028728E-3</c:v>
                </c:pt>
                <c:pt idx="40">
                  <c:v>1.6215029880028728E-3</c:v>
                </c:pt>
                <c:pt idx="41">
                  <c:v>1.6215029880028728E-3</c:v>
                </c:pt>
                <c:pt idx="42">
                  <c:v>1.6215029880028728E-3</c:v>
                </c:pt>
                <c:pt idx="43">
                  <c:v>1.6215029880028728E-3</c:v>
                </c:pt>
                <c:pt idx="44">
                  <c:v>1.6215029880028728E-3</c:v>
                </c:pt>
                <c:pt idx="45">
                  <c:v>1.6215029880028728E-3</c:v>
                </c:pt>
                <c:pt idx="46">
                  <c:v>1.6215029880028728E-3</c:v>
                </c:pt>
                <c:pt idx="47">
                  <c:v>1.6215029880028728E-3</c:v>
                </c:pt>
                <c:pt idx="48">
                  <c:v>1.6215029880028728E-3</c:v>
                </c:pt>
                <c:pt idx="49">
                  <c:v>1.6215029880028728E-3</c:v>
                </c:pt>
                <c:pt idx="50">
                  <c:v>1.6215029880028728E-3</c:v>
                </c:pt>
                <c:pt idx="51">
                  <c:v>1.6215029880028728E-3</c:v>
                </c:pt>
                <c:pt idx="52">
                  <c:v>1.6215029880028728E-3</c:v>
                </c:pt>
                <c:pt idx="53">
                  <c:v>1.6215029880028728E-3</c:v>
                </c:pt>
                <c:pt idx="54">
                  <c:v>1.6215029880028728E-3</c:v>
                </c:pt>
                <c:pt idx="55">
                  <c:v>1.6215029880028728E-3</c:v>
                </c:pt>
                <c:pt idx="56">
                  <c:v>1.6215029880028728E-3</c:v>
                </c:pt>
                <c:pt idx="57">
                  <c:v>1.6215029880028728E-3</c:v>
                </c:pt>
                <c:pt idx="58">
                  <c:v>1.6215029880028728E-3</c:v>
                </c:pt>
                <c:pt idx="59">
                  <c:v>1.6215029880028728E-3</c:v>
                </c:pt>
                <c:pt idx="60">
                  <c:v>1.6215029880028728E-3</c:v>
                </c:pt>
                <c:pt idx="61">
                  <c:v>1.6215029880028728E-3</c:v>
                </c:pt>
                <c:pt idx="62">
                  <c:v>1.6215029880028728E-3</c:v>
                </c:pt>
                <c:pt idx="63">
                  <c:v>1.6215029880028728E-3</c:v>
                </c:pt>
                <c:pt idx="64">
                  <c:v>1.6215029880028728E-3</c:v>
                </c:pt>
                <c:pt idx="65">
                  <c:v>1.6215029880028728E-3</c:v>
                </c:pt>
                <c:pt idx="66">
                  <c:v>1.6215029880028728E-3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1.8568307525842246E-3</c:v>
                </c:pt>
                <c:pt idx="1">
                  <c:v>1.8517699404426902E-3</c:v>
                </c:pt>
                <c:pt idx="2">
                  <c:v>1.8365875040180868E-3</c:v>
                </c:pt>
                <c:pt idx="3">
                  <c:v>1.8315266918765523E-3</c:v>
                </c:pt>
                <c:pt idx="4">
                  <c:v>1.8264658797350179E-3</c:v>
                </c:pt>
                <c:pt idx="5">
                  <c:v>1.8214050675934834E-3</c:v>
                </c:pt>
                <c:pt idx="6">
                  <c:v>1.816344255451949E-3</c:v>
                </c:pt>
                <c:pt idx="7">
                  <c:v>1.8011618190273456E-3</c:v>
                </c:pt>
                <c:pt idx="8">
                  <c:v>1.7961010068858112E-3</c:v>
                </c:pt>
                <c:pt idx="9">
                  <c:v>1.7910401947442767E-3</c:v>
                </c:pt>
                <c:pt idx="10">
                  <c:v>1.7859793826027423E-3</c:v>
                </c:pt>
                <c:pt idx="11">
                  <c:v>1.7809185704612078E-3</c:v>
                </c:pt>
                <c:pt idx="12">
                  <c:v>1.7657361340366045E-3</c:v>
                </c:pt>
                <c:pt idx="13">
                  <c:v>1.76067532189507E-3</c:v>
                </c:pt>
                <c:pt idx="14">
                  <c:v>1.7556145097535356E-3</c:v>
                </c:pt>
                <c:pt idx="15">
                  <c:v>1.7505536976120011E-3</c:v>
                </c:pt>
                <c:pt idx="16">
                  <c:v>1.7454928854704667E-3</c:v>
                </c:pt>
                <c:pt idx="17">
                  <c:v>1.7252496369043289E-3</c:v>
                </c:pt>
                <c:pt idx="18">
                  <c:v>1.7201888247627944E-3</c:v>
                </c:pt>
                <c:pt idx="19">
                  <c:v>1.7151280126212599E-3</c:v>
                </c:pt>
                <c:pt idx="20">
                  <c:v>1.7100672004797255E-3</c:v>
                </c:pt>
                <c:pt idx="21">
                  <c:v>1.6948847640551221E-3</c:v>
                </c:pt>
                <c:pt idx="22">
                  <c:v>1.6898239519135877E-3</c:v>
                </c:pt>
                <c:pt idx="23">
                  <c:v>1.6847631397720532E-3</c:v>
                </c:pt>
                <c:pt idx="24">
                  <c:v>1.6797023276305188E-3</c:v>
                </c:pt>
                <c:pt idx="25">
                  <c:v>1.6746415154889843E-3</c:v>
                </c:pt>
                <c:pt idx="26">
                  <c:v>1.659459079064381E-3</c:v>
                </c:pt>
                <c:pt idx="27">
                  <c:v>1.6543982669228465E-3</c:v>
                </c:pt>
                <c:pt idx="28">
                  <c:v>1.6493374547813121E-3</c:v>
                </c:pt>
                <c:pt idx="29">
                  <c:v>1.6442766426397776E-3</c:v>
                </c:pt>
                <c:pt idx="30">
                  <c:v>1.6392158304982432E-3</c:v>
                </c:pt>
                <c:pt idx="31">
                  <c:v>1.6240333940736398E-3</c:v>
                </c:pt>
                <c:pt idx="32">
                  <c:v>1.6189725819321054E-3</c:v>
                </c:pt>
                <c:pt idx="33">
                  <c:v>1.6139117697905709E-3</c:v>
                </c:pt>
                <c:pt idx="34">
                  <c:v>1.6088509576490365E-3</c:v>
                </c:pt>
                <c:pt idx="35">
                  <c:v>1.603790145507502E-3</c:v>
                </c:pt>
                <c:pt idx="36">
                  <c:v>1.5886077090828989E-3</c:v>
                </c:pt>
                <c:pt idx="37">
                  <c:v>1.5835468969413642E-3</c:v>
                </c:pt>
                <c:pt idx="38">
                  <c:v>1.5784860847998297E-3</c:v>
                </c:pt>
                <c:pt idx="39">
                  <c:v>1.5734252726582953E-3</c:v>
                </c:pt>
                <c:pt idx="40">
                  <c:v>1.5683644605167608E-3</c:v>
                </c:pt>
                <c:pt idx="41">
                  <c:v>1.5531820240921577E-3</c:v>
                </c:pt>
                <c:pt idx="42">
                  <c:v>1.548121211950623E-3</c:v>
                </c:pt>
                <c:pt idx="43">
                  <c:v>1.5430603998090886E-3</c:v>
                </c:pt>
                <c:pt idx="44">
                  <c:v>1.5379995876675541E-3</c:v>
                </c:pt>
                <c:pt idx="45">
                  <c:v>1.5329387755260197E-3</c:v>
                </c:pt>
                <c:pt idx="46">
                  <c:v>1.5177563391014165E-3</c:v>
                </c:pt>
                <c:pt idx="47">
                  <c:v>1.5126955269598819E-3</c:v>
                </c:pt>
                <c:pt idx="48">
                  <c:v>1.5076347148183474E-3</c:v>
                </c:pt>
                <c:pt idx="49">
                  <c:v>1.5025739026768132E-3</c:v>
                </c:pt>
                <c:pt idx="50">
                  <c:v>1.4975130905352785E-3</c:v>
                </c:pt>
                <c:pt idx="51">
                  <c:v>1.4823306541106754E-3</c:v>
                </c:pt>
                <c:pt idx="52">
                  <c:v>1.4772698419691409E-3</c:v>
                </c:pt>
                <c:pt idx="53">
                  <c:v>1.4722090298276062E-3</c:v>
                </c:pt>
                <c:pt idx="54">
                  <c:v>1.467148217686072E-3</c:v>
                </c:pt>
                <c:pt idx="55">
                  <c:v>1.4620874055445373E-3</c:v>
                </c:pt>
                <c:pt idx="56">
                  <c:v>1.4469049691199342E-3</c:v>
                </c:pt>
                <c:pt idx="57">
                  <c:v>1.4418441569783997E-3</c:v>
                </c:pt>
                <c:pt idx="58">
                  <c:v>1.4367833448368651E-3</c:v>
                </c:pt>
                <c:pt idx="59">
                  <c:v>1.4317225326953308E-3</c:v>
                </c:pt>
                <c:pt idx="60">
                  <c:v>1.4266617205537964E-3</c:v>
                </c:pt>
                <c:pt idx="61">
                  <c:v>1.411479284129193E-3</c:v>
                </c:pt>
                <c:pt idx="62">
                  <c:v>1.4064184719876586E-3</c:v>
                </c:pt>
                <c:pt idx="63">
                  <c:v>1.4013576598461241E-3</c:v>
                </c:pt>
                <c:pt idx="64">
                  <c:v>1.3962968477045897E-3</c:v>
                </c:pt>
                <c:pt idx="65">
                  <c:v>1.391236035563055E-3</c:v>
                </c:pt>
                <c:pt idx="66">
                  <c:v>1.3760535991384519E-3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1.9367261006494763E-3</c:v>
                </c:pt>
                <c:pt idx="1">
                  <c:v>1.929097257282669E-3</c:v>
                </c:pt>
                <c:pt idx="2">
                  <c:v>1.9063797383780604E-3</c:v>
                </c:pt>
                <c:pt idx="3">
                  <c:v>1.8988635691417953E-3</c:v>
                </c:pt>
                <c:pt idx="4">
                  <c:v>1.8913755684381657E-3</c:v>
                </c:pt>
                <c:pt idx="5">
                  <c:v>1.8839157362671717E-3</c:v>
                </c:pt>
                <c:pt idx="6">
                  <c:v>1.8764840726288132E-3</c:v>
                </c:pt>
                <c:pt idx="7">
                  <c:v>1.8543580929095511E-3</c:v>
                </c:pt>
                <c:pt idx="8">
                  <c:v>1.8470391034017346E-3</c:v>
                </c:pt>
                <c:pt idx="9">
                  <c:v>1.8397482824265537E-3</c:v>
                </c:pt>
                <c:pt idx="10">
                  <c:v>1.8324856299840086E-3</c:v>
                </c:pt>
                <c:pt idx="11">
                  <c:v>1.8252511460740987E-3</c:v>
                </c:pt>
                <c:pt idx="12">
                  <c:v>1.8037167055401826E-3</c:v>
                </c:pt>
                <c:pt idx="13">
                  <c:v>1.7965948957608148E-3</c:v>
                </c:pt>
                <c:pt idx="14">
                  <c:v>1.7895012545140828E-3</c:v>
                </c:pt>
                <c:pt idx="15">
                  <c:v>1.7824357817999863E-3</c:v>
                </c:pt>
                <c:pt idx="16">
                  <c:v>1.7753984776185251E-3</c:v>
                </c:pt>
                <c:pt idx="17">
                  <c:v>1.7475309462190362E-3</c:v>
                </c:pt>
                <c:pt idx="18">
                  <c:v>1.7406344847007529E-3</c:v>
                </c:pt>
                <c:pt idx="19">
                  <c:v>1.733766191715105E-3</c:v>
                </c:pt>
                <c:pt idx="20">
                  <c:v>1.7269260672620928E-3</c:v>
                </c:pt>
                <c:pt idx="21">
                  <c:v>1.706574705098869E-3</c:v>
                </c:pt>
                <c:pt idx="22">
                  <c:v>1.6998472547763988E-3</c:v>
                </c:pt>
                <c:pt idx="23">
                  <c:v>1.6931479729865642E-3</c:v>
                </c:pt>
                <c:pt idx="24">
                  <c:v>1.6864768597293651E-3</c:v>
                </c:pt>
                <c:pt idx="25">
                  <c:v>1.6798339150048015E-3</c:v>
                </c:pt>
                <c:pt idx="26">
                  <c:v>1.6600740920269239E-3</c:v>
                </c:pt>
                <c:pt idx="27">
                  <c:v>1.6535438214329025E-3</c:v>
                </c:pt>
                <c:pt idx="28">
                  <c:v>1.6470417193715167E-3</c:v>
                </c:pt>
                <c:pt idx="29">
                  <c:v>1.6405677858427662E-3</c:v>
                </c:pt>
                <c:pt idx="30">
                  <c:v>1.6341220208466515E-3</c:v>
                </c:pt>
                <c:pt idx="31">
                  <c:v>1.6149537370541201E-3</c:v>
                </c:pt>
                <c:pt idx="32">
                  <c:v>1.6086206461885474E-3</c:v>
                </c:pt>
                <c:pt idx="33">
                  <c:v>1.6023157238556102E-3</c:v>
                </c:pt>
                <c:pt idx="34">
                  <c:v>1.5960389700553084E-3</c:v>
                </c:pt>
                <c:pt idx="35">
                  <c:v>1.5897903847876423E-3</c:v>
                </c:pt>
                <c:pt idx="36">
                  <c:v>1.5712136401804574E-3</c:v>
                </c:pt>
                <c:pt idx="37">
                  <c:v>1.5650777290433331E-3</c:v>
                </c:pt>
                <c:pt idx="38">
                  <c:v>1.558969986438845E-3</c:v>
                </c:pt>
                <c:pt idx="39">
                  <c:v>1.5528904123669918E-3</c:v>
                </c:pt>
                <c:pt idx="40">
                  <c:v>1.5468390068277746E-3</c:v>
                </c:pt>
                <c:pt idx="41">
                  <c:v>1.5288538014059357E-3</c:v>
                </c:pt>
                <c:pt idx="42">
                  <c:v>1.5229150699972605E-3</c:v>
                </c:pt>
                <c:pt idx="43">
                  <c:v>1.5170045071212206E-3</c:v>
                </c:pt>
                <c:pt idx="44">
                  <c:v>1.5111221127778165E-3</c:v>
                </c:pt>
                <c:pt idx="45">
                  <c:v>1.5052678869670478E-3</c:v>
                </c:pt>
                <c:pt idx="46">
                  <c:v>1.4878742207305551E-3</c:v>
                </c:pt>
                <c:pt idx="47">
                  <c:v>1.4821326690503285E-3</c:v>
                </c:pt>
                <c:pt idx="48">
                  <c:v>1.4764192859027375E-3</c:v>
                </c:pt>
                <c:pt idx="49">
                  <c:v>1.4707340712877823E-3</c:v>
                </c:pt>
                <c:pt idx="50">
                  <c:v>1.4650770252054622E-3</c:v>
                </c:pt>
                <c:pt idx="51">
                  <c:v>1.4482748981543159E-3</c:v>
                </c:pt>
                <c:pt idx="52">
                  <c:v>1.4427305262025378E-3</c:v>
                </c:pt>
                <c:pt idx="53">
                  <c:v>1.437214322783396E-3</c:v>
                </c:pt>
                <c:pt idx="54">
                  <c:v>1.431726287896889E-3</c:v>
                </c:pt>
                <c:pt idx="55">
                  <c:v>1.426266421543018E-3</c:v>
                </c:pt>
                <c:pt idx="56">
                  <c:v>1.4100558336772174E-3</c:v>
                </c:pt>
                <c:pt idx="57">
                  <c:v>1.4047086414538887E-3</c:v>
                </c:pt>
                <c:pt idx="58">
                  <c:v>1.3993896177631948E-3</c:v>
                </c:pt>
                <c:pt idx="59">
                  <c:v>1.3940987626051371E-3</c:v>
                </c:pt>
                <c:pt idx="60">
                  <c:v>1.3888360759797146E-3</c:v>
                </c:pt>
                <c:pt idx="61">
                  <c:v>1.3732170272992604E-3</c:v>
                </c:pt>
                <c:pt idx="62">
                  <c:v>1.3680670148043801E-3</c:v>
                </c:pt>
                <c:pt idx="63">
                  <c:v>1.3629451708421353E-3</c:v>
                </c:pt>
                <c:pt idx="64">
                  <c:v>1.3578514954125261E-3</c:v>
                </c:pt>
                <c:pt idx="65">
                  <c:v>1.3527859885155524E-3</c:v>
                </c:pt>
                <c:pt idx="66">
                  <c:v>1.3377584790204447E-3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000128"/>
        <c:axId val="378001664"/>
      </c:lineChart>
      <c:dateAx>
        <c:axId val="3780001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8001664"/>
        <c:crosses val="autoZero"/>
        <c:auto val="1"/>
        <c:lblOffset val="100"/>
        <c:baseTimeUnit val="days"/>
      </c:dateAx>
      <c:valAx>
        <c:axId val="3780016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8000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</c:numCache>
            </c:numRef>
          </c:cat>
          <c:val>
            <c:numRef>
              <c:f>'1MSynthDepo'!$M$18:$M$24</c:f>
              <c:numCache>
                <c:formatCode>0.0000%</c:formatCode>
                <c:ptCount val="7"/>
                <c:pt idx="0">
                  <c:v>2.6274406775514934E-2</c:v>
                </c:pt>
                <c:pt idx="1">
                  <c:v>2.6275256953294534E-2</c:v>
                </c:pt>
                <c:pt idx="2">
                  <c:v>2.6275128512636425E-2</c:v>
                </c:pt>
                <c:pt idx="3">
                  <c:v>2.6274653501852475E-2</c:v>
                </c:pt>
                <c:pt idx="4">
                  <c:v>2.6273931250610148E-2</c:v>
                </c:pt>
                <c:pt idx="5">
                  <c:v>2.6274971737660573E-2</c:v>
                </c:pt>
                <c:pt idx="6">
                  <c:v>2.6272645033479158E-2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</c:numCache>
            </c:numRef>
          </c:cat>
          <c:val>
            <c:numRef>
              <c:f>'1MSynthDepo'!$N$18:$N$24</c:f>
              <c:numCache>
                <c:formatCode>0.0000%</c:formatCode>
                <c:ptCount val="7"/>
                <c:pt idx="0">
                  <c:v>2.6507204134025516E-2</c:v>
                </c:pt>
                <c:pt idx="1">
                  <c:v>2.6492871875380516E-2</c:v>
                </c:pt>
                <c:pt idx="2">
                  <c:v>2.6475030592227038E-2</c:v>
                </c:pt>
                <c:pt idx="3">
                  <c:v>2.6454312332876949E-2</c:v>
                </c:pt>
                <c:pt idx="4">
                  <c:v>2.6433346833068482E-2</c:v>
                </c:pt>
                <c:pt idx="5">
                  <c:v>2.6350883919783592E-2</c:v>
                </c:pt>
                <c:pt idx="6">
                  <c:v>2.6277705845620693E-2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</c:numCache>
            </c:numRef>
          </c:cat>
          <c:val>
            <c:numRef>
              <c:f>'1MSynthDepo'!$O$18:$O$24</c:f>
              <c:numCache>
                <c:formatCode>0.0000%</c:formatCode>
                <c:ptCount val="7"/>
                <c:pt idx="0">
                  <c:v>2.658581311910041E-2</c:v>
                </c:pt>
                <c:pt idx="1">
                  <c:v>2.6563959862241724E-2</c:v>
                </c:pt>
                <c:pt idx="2">
                  <c:v>2.6537771303917247E-2</c:v>
                </c:pt>
                <c:pt idx="3">
                  <c:v>2.6508076672167303E-2</c:v>
                </c:pt>
                <c:pt idx="4">
                  <c:v>2.6478735728655209E-2</c:v>
                </c:pt>
                <c:pt idx="5">
                  <c:v>2.6368076114202145E-2</c:v>
                </c:pt>
                <c:pt idx="6">
                  <c:v>2.627899220861105E-2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748480"/>
        <c:axId val="377762560"/>
      </c:lineChart>
      <c:dateAx>
        <c:axId val="3777484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7762560"/>
        <c:crosses val="autoZero"/>
        <c:auto val="1"/>
        <c:lblOffset val="100"/>
        <c:baseTimeUnit val="days"/>
      </c:dateAx>
      <c:valAx>
        <c:axId val="3777625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7748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304799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15</xdr:row>
      <xdr:rowOff>19049</xdr:rowOff>
    </xdr:from>
    <xdr:to>
      <xdr:col>30</xdr:col>
      <xdr:colOff>114300</xdr:colOff>
      <xdr:row>42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104774</xdr:colOff>
      <xdr:row>24</xdr:row>
      <xdr:rowOff>42862</xdr:rowOff>
    </xdr:from>
    <xdr:to>
      <xdr:col>13</xdr:col>
      <xdr:colOff>380999</xdr:colOff>
      <xdr:row>49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85726</xdr:colOff>
      <xdr:row>14</xdr:row>
      <xdr:rowOff>142874</xdr:rowOff>
    </xdr:from>
    <xdr:to>
      <xdr:col>29</xdr:col>
      <xdr:colOff>228600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295276</xdr:colOff>
      <xdr:row>14</xdr:row>
      <xdr:rowOff>180974</xdr:rowOff>
    </xdr:from>
    <xdr:to>
      <xdr:col>30</xdr:col>
      <xdr:colOff>104775</xdr:colOff>
      <xdr:row>42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166687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7</xdr:row>
      <xdr:rowOff>152400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457199</xdr:colOff>
      <xdr:row>25</xdr:row>
      <xdr:rowOff>23812</xdr:rowOff>
    </xdr:from>
    <xdr:to>
      <xdr:col>14</xdr:col>
      <xdr:colOff>152399</xdr:colOff>
      <xdr:row>50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AUDOIS3W_Quote</v>
          </cell>
        </row>
        <row r="8">
          <cell r="D8" t="str">
            <v>AUDOIS1M_Quote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AUDSND_Quote#0000</v>
          </cell>
        </row>
        <row r="8">
          <cell r="D8" t="str">
            <v>AUDSWD_Quote#0000</v>
          </cell>
        </row>
      </sheetData>
      <sheetData sheetId="6">
        <row r="7">
          <cell r="D7" t="str">
            <v>AUD3x6F_Quote</v>
          </cell>
        </row>
        <row r="8">
          <cell r="D8" t="str">
            <v>AUD4x7F_Quote</v>
          </cell>
        </row>
      </sheetData>
      <sheetData sheetId="7">
        <row r="7">
          <cell r="D7" t="str">
            <v>F5</v>
          </cell>
        </row>
        <row r="8">
          <cell r="D8" t="str">
            <v>G5</v>
          </cell>
        </row>
      </sheetData>
      <sheetData sheetId="8">
        <row r="7">
          <cell r="D7" t="str">
            <v>X4</v>
          </cell>
        </row>
        <row r="8">
          <cell r="D8" t="str">
            <v>Z4</v>
          </cell>
        </row>
      </sheetData>
      <sheetData sheetId="9"/>
      <sheetData sheetId="10">
        <row r="7">
          <cell r="D7" t="str">
            <v>3AB</v>
          </cell>
        </row>
        <row r="8">
          <cell r="D8" t="str">
            <v>3AB</v>
          </cell>
        </row>
      </sheetData>
      <sheetData sheetId="11">
        <row r="7">
          <cell r="D7" t="str">
            <v>6AB</v>
          </cell>
        </row>
        <row r="8">
          <cell r="D8" t="str">
            <v>6AB</v>
          </cell>
        </row>
      </sheetData>
      <sheetData sheetId="12">
        <row r="7">
          <cell r="D7" t="str">
            <v>3BR</v>
          </cell>
        </row>
        <row r="8">
          <cell r="D8" t="str">
            <v>3BR</v>
          </cell>
        </row>
      </sheetData>
      <sheetData sheetId="13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1"/>
  <sheetViews>
    <sheetView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118" t="s">
        <v>0</v>
      </c>
      <c r="C2" s="118"/>
      <c r="D2" s="118"/>
      <c r="E2" s="118"/>
      <c r="F2" s="119"/>
      <c r="H2" s="126" t="s">
        <v>3</v>
      </c>
      <c r="I2" s="127"/>
      <c r="J2" s="127"/>
      <c r="K2" s="12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7" t="s">
        <v>106</v>
      </c>
      <c r="E4" s="3"/>
      <c r="F4" s="4"/>
      <c r="H4" s="9"/>
      <c r="I4" s="13" t="s">
        <v>6</v>
      </c>
      <c r="J4" s="14" t="b">
        <v>1</v>
      </c>
      <c r="K4" s="15"/>
    </row>
    <row r="5" spans="1:36" s="8" customFormat="1" x14ac:dyDescent="0.2">
      <c r="A5" s="1"/>
      <c r="B5" s="2"/>
      <c r="C5" s="5" t="s">
        <v>2</v>
      </c>
      <c r="D5" s="12" t="s">
        <v>107</v>
      </c>
      <c r="E5" s="3"/>
      <c r="F5" s="4"/>
      <c r="G5" s="1"/>
      <c r="H5" s="9"/>
      <c r="I5" s="13" t="s">
        <v>7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4</v>
      </c>
      <c r="D6" s="7" t="s">
        <v>109</v>
      </c>
      <c r="E6" s="3"/>
      <c r="F6" s="4"/>
      <c r="G6" s="1"/>
      <c r="H6" s="9"/>
      <c r="I6" s="13" t="s">
        <v>9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5</v>
      </c>
      <c r="D7" s="12" t="s">
        <v>108</v>
      </c>
      <c r="E7" s="3"/>
      <c r="F7" s="4"/>
      <c r="H7" s="9"/>
      <c r="I7" s="13" t="s">
        <v>10</v>
      </c>
      <c r="J7" s="18"/>
      <c r="K7" s="15"/>
    </row>
    <row r="8" spans="1:36" x14ac:dyDescent="0.2">
      <c r="B8" s="2"/>
      <c r="C8" s="5" t="s">
        <v>83</v>
      </c>
      <c r="D8" s="17" t="str">
        <f>Currency&amp;"ON"</f>
        <v>AUDON</v>
      </c>
      <c r="E8" s="3"/>
      <c r="F8" s="4"/>
      <c r="H8" s="9"/>
      <c r="I8" s="13" t="s">
        <v>12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67" t="s">
        <v>19</v>
      </c>
      <c r="D10" s="69">
        <v>41864.862141203703</v>
      </c>
      <c r="E10" s="68"/>
      <c r="F10" s="4"/>
      <c r="H10" s="9"/>
      <c r="I10" s="13" t="s">
        <v>14</v>
      </c>
      <c r="J10" s="19" t="s">
        <v>15</v>
      </c>
      <c r="K10" s="15"/>
    </row>
    <row r="11" spans="1:36" x14ac:dyDescent="0.2">
      <c r="B11" s="2"/>
      <c r="C11" s="67" t="s">
        <v>20</v>
      </c>
      <c r="D11" s="116" t="b">
        <v>1</v>
      </c>
      <c r="E11" s="68"/>
      <c r="F11" s="4"/>
      <c r="H11" s="9"/>
      <c r="I11" s="13" t="s">
        <v>17</v>
      </c>
      <c r="J11" s="20">
        <v>1E-4</v>
      </c>
      <c r="K11" s="15"/>
    </row>
    <row r="12" spans="1:36" x14ac:dyDescent="0.2">
      <c r="B12" s="2"/>
      <c r="C12" s="21"/>
      <c r="D12" s="67"/>
      <c r="E12" s="68"/>
      <c r="F12" s="4"/>
      <c r="H12" s="9"/>
      <c r="I12" s="13" t="s">
        <v>18</v>
      </c>
      <c r="J12" s="22">
        <v>-0.01</v>
      </c>
      <c r="K12" s="15"/>
    </row>
    <row r="13" spans="1:36" ht="12" thickBot="1" x14ac:dyDescent="0.25">
      <c r="B13" s="26"/>
      <c r="C13" s="123"/>
      <c r="D13" s="124"/>
      <c r="E13" s="125"/>
      <c r="F13" s="28"/>
      <c r="H13" s="23"/>
      <c r="I13" s="24"/>
      <c r="J13" s="24"/>
      <c r="K13" s="25"/>
    </row>
    <row r="15" spans="1:36" ht="12" thickBot="1" x14ac:dyDescent="0.25">
      <c r="C15" s="29"/>
      <c r="D15" s="29"/>
      <c r="E15" s="29"/>
      <c r="F15" s="29"/>
    </row>
    <row r="16" spans="1:36" ht="19.5" thickBot="1" x14ac:dyDescent="0.25">
      <c r="B16" s="118" t="s">
        <v>62</v>
      </c>
      <c r="C16" s="118"/>
      <c r="D16" s="118"/>
      <c r="E16" s="118"/>
      <c r="F16" s="119"/>
      <c r="H16" s="118" t="s">
        <v>64</v>
      </c>
      <c r="I16" s="118"/>
      <c r="J16" s="118"/>
      <c r="K16" s="119"/>
    </row>
    <row r="17" spans="2:11" x14ac:dyDescent="0.2">
      <c r="B17" s="58"/>
      <c r="C17" s="59"/>
      <c r="D17" s="60"/>
      <c r="E17" s="61"/>
      <c r="F17" s="62"/>
      <c r="H17" s="48"/>
      <c r="I17" s="30"/>
      <c r="J17" s="30"/>
      <c r="K17" s="52"/>
    </row>
    <row r="18" spans="2:11" x14ac:dyDescent="0.2">
      <c r="B18" s="2"/>
      <c r="C18" s="64" t="s">
        <v>8</v>
      </c>
      <c r="D18" s="16">
        <f>_xll.qlCalendarAdvance(Calendar,EvaluationDate,"0D","f")</f>
        <v>41893</v>
      </c>
      <c r="E18" s="3"/>
      <c r="F18" s="4"/>
      <c r="H18" s="48"/>
      <c r="I18" s="5" t="s">
        <v>21</v>
      </c>
      <c r="J18" s="120">
        <v>41893.523518518516</v>
      </c>
      <c r="K18" s="52"/>
    </row>
    <row r="19" spans="2:11" x14ac:dyDescent="0.2">
      <c r="B19" s="2"/>
      <c r="C19" s="64" t="s">
        <v>11</v>
      </c>
      <c r="D19" s="17" t="str">
        <f>_xll.qlDiscountingSwapEngine(,OisCurve,,,,,EvaluationDate)</f>
        <v>obj_00254#0000</v>
      </c>
      <c r="E19" s="3"/>
      <c r="F19" s="4"/>
      <c r="H19" s="48"/>
      <c r="I19" s="5" t="s">
        <v>22</v>
      </c>
      <c r="J19" s="120">
        <f>_xll.qlSettingsEvaluationDate(Trigger)</f>
        <v>41893</v>
      </c>
      <c r="K19" s="52"/>
    </row>
    <row r="20" spans="2:11" x14ac:dyDescent="0.2">
      <c r="B20" s="2"/>
      <c r="C20" s="64" t="s">
        <v>13</v>
      </c>
      <c r="D20" s="63">
        <f>_xll.qlCalendarAdjust(Calendar,DATE(YEAR(SettlementDate),12,31),"Preceding")</f>
        <v>42004</v>
      </c>
      <c r="E20" s="3"/>
      <c r="F20" s="4"/>
      <c r="H20" s="48"/>
      <c r="I20" s="5" t="s">
        <v>23</v>
      </c>
      <c r="J20" s="121">
        <f>[1]!TriggerCounter</f>
        <v>2</v>
      </c>
      <c r="K20" s="52"/>
    </row>
    <row r="21" spans="2:11" x14ac:dyDescent="0.2">
      <c r="B21" s="2"/>
      <c r="C21" s="64" t="s">
        <v>16</v>
      </c>
      <c r="D21" s="63">
        <f>_xll.qlCalendarAdjust(Calendar,DATE(YEAR(SettlementDate)+1,12,31),"Preceding")</f>
        <v>42369</v>
      </c>
      <c r="E21" s="3"/>
      <c r="F21" s="4"/>
      <c r="H21" s="48"/>
      <c r="I21" s="5" t="s">
        <v>24</v>
      </c>
      <c r="J21" s="122">
        <f>[1]!LastFixingsTrigger</f>
        <v>1</v>
      </c>
      <c r="K21" s="52"/>
    </row>
    <row r="22" spans="2:11" x14ac:dyDescent="0.2">
      <c r="B22" s="2"/>
      <c r="C22" s="117"/>
      <c r="D22" s="117"/>
      <c r="E22" s="3"/>
      <c r="F22" s="4"/>
      <c r="H22" s="48"/>
      <c r="I22" s="5" t="s">
        <v>26</v>
      </c>
      <c r="J22" s="6">
        <f>_xll.ohTrigger(InterestRatesTrigger,LastFixingsTrigger)</f>
        <v>1</v>
      </c>
      <c r="K22" s="52"/>
    </row>
    <row r="23" spans="2:11" ht="12" thickBot="1" x14ac:dyDescent="0.25">
      <c r="B23" s="26"/>
      <c r="C23" s="27"/>
      <c r="D23" s="27"/>
      <c r="E23" s="27"/>
      <c r="F23" s="28"/>
      <c r="H23" s="53"/>
      <c r="I23" s="54"/>
      <c r="J23" s="54"/>
      <c r="K23" s="55"/>
    </row>
    <row r="24" spans="2:11" ht="12" thickBot="1" x14ac:dyDescent="0.25"/>
    <row r="25" spans="2:11" ht="19.5" thickBot="1" x14ac:dyDescent="0.25">
      <c r="B25" s="118" t="s">
        <v>177</v>
      </c>
      <c r="C25" s="118"/>
      <c r="D25" s="118"/>
      <c r="E25" s="118"/>
      <c r="F25" s="119"/>
      <c r="H25" s="118" t="s">
        <v>190</v>
      </c>
      <c r="I25" s="118"/>
      <c r="J25" s="118"/>
      <c r="K25" s="119"/>
    </row>
    <row r="26" spans="2:11" x14ac:dyDescent="0.2">
      <c r="B26" s="2"/>
      <c r="C26" s="3"/>
      <c r="D26" s="3"/>
      <c r="E26" s="3"/>
      <c r="F26" s="4"/>
      <c r="H26" s="2"/>
      <c r="I26" s="3"/>
      <c r="J26" s="3"/>
      <c r="K26" s="348"/>
    </row>
    <row r="27" spans="2:11" x14ac:dyDescent="0.2">
      <c r="B27" s="2"/>
      <c r="C27" s="64" t="s">
        <v>166</v>
      </c>
      <c r="D27" s="6" t="s">
        <v>32</v>
      </c>
      <c r="E27" s="3"/>
      <c r="F27" s="4"/>
      <c r="H27" s="2"/>
      <c r="I27" s="64" t="s">
        <v>166</v>
      </c>
      <c r="J27" s="6" t="s">
        <v>34</v>
      </c>
      <c r="K27" s="4"/>
    </row>
    <row r="28" spans="2:11" x14ac:dyDescent="0.2">
      <c r="B28" s="2"/>
      <c r="C28" s="64" t="s">
        <v>167</v>
      </c>
      <c r="D28" s="296">
        <v>0</v>
      </c>
      <c r="E28" s="3"/>
      <c r="F28" s="4"/>
      <c r="H28" s="2"/>
      <c r="I28" s="64" t="s">
        <v>167</v>
      </c>
      <c r="J28" s="296">
        <v>0</v>
      </c>
      <c r="K28" s="4"/>
    </row>
    <row r="29" spans="2:11" x14ac:dyDescent="0.2">
      <c r="B29" s="2"/>
      <c r="C29" s="64" t="s">
        <v>168</v>
      </c>
      <c r="D29" s="7" t="e">
        <v>#N/A</v>
      </c>
      <c r="E29" s="3"/>
      <c r="F29" s="4"/>
      <c r="H29" s="2"/>
      <c r="I29" s="64" t="s">
        <v>168</v>
      </c>
      <c r="J29" s="7" t="e">
        <v>#N/A</v>
      </c>
      <c r="K29" s="4"/>
    </row>
    <row r="30" spans="2:11" x14ac:dyDescent="0.2">
      <c r="B30" s="2"/>
      <c r="C30" s="64" t="s">
        <v>169</v>
      </c>
      <c r="D30" s="297" t="s">
        <v>170</v>
      </c>
      <c r="E30" s="3"/>
      <c r="F30" s="4"/>
      <c r="H30" s="2"/>
      <c r="I30" s="64" t="s">
        <v>169</v>
      </c>
      <c r="J30" s="297" t="s">
        <v>170</v>
      </c>
      <c r="K30" s="4"/>
    </row>
    <row r="31" spans="2:11" x14ac:dyDescent="0.2">
      <c r="B31" s="2"/>
      <c r="C31" s="64" t="s">
        <v>171</v>
      </c>
      <c r="D31" s="298" t="s">
        <v>172</v>
      </c>
      <c r="E31" s="3"/>
      <c r="F31" s="4"/>
      <c r="H31" s="2"/>
      <c r="I31" s="64" t="s">
        <v>171</v>
      </c>
      <c r="J31" s="298" t="s">
        <v>172</v>
      </c>
      <c r="K31" s="4"/>
    </row>
    <row r="32" spans="2:11" x14ac:dyDescent="0.2">
      <c r="B32" s="2"/>
      <c r="C32" s="21"/>
      <c r="D32" s="299"/>
      <c r="E32" s="300"/>
      <c r="F32" s="4"/>
      <c r="H32" s="2"/>
      <c r="I32" s="21"/>
      <c r="J32" s="299"/>
      <c r="K32" s="349"/>
    </row>
    <row r="33" spans="2:11" x14ac:dyDescent="0.2">
      <c r="B33" s="2"/>
      <c r="C33" s="5" t="s">
        <v>173</v>
      </c>
      <c r="D33" s="301" t="str">
        <f>_xll.qlIborIndex(,,"1M",0,Currency,Calendar,"mf",TRUE,"actual/365 (fixed)",D35,Permanent,Trigger,ObjectOverwrite)</f>
        <v>obj_003df#0000</v>
      </c>
      <c r="E33" s="300"/>
      <c r="F33" s="4"/>
      <c r="H33" s="2"/>
      <c r="I33" s="5" t="s">
        <v>173</v>
      </c>
      <c r="J33" s="301" t="str">
        <f>_xll.qlIborIndex(,,"6M",0,Currency,Calendar,"mf",TRUE,"actual/365 (fixed)",J35,Permanent,Trigger,ObjectOverwrite)</f>
        <v>obj_003e5#0000</v>
      </c>
      <c r="K33" s="349"/>
    </row>
    <row r="34" spans="2:11" x14ac:dyDescent="0.2">
      <c r="B34" s="2"/>
      <c r="C34" s="5" t="s">
        <v>174</v>
      </c>
      <c r="D34" s="302" t="s">
        <v>73</v>
      </c>
      <c r="E34" s="3"/>
      <c r="F34" s="4"/>
      <c r="H34" s="2"/>
      <c r="I34" s="5" t="s">
        <v>174</v>
      </c>
      <c r="J34" s="302" t="s">
        <v>73</v>
      </c>
      <c r="K34" s="4"/>
    </row>
    <row r="35" spans="2:11" x14ac:dyDescent="0.2">
      <c r="B35" s="2"/>
      <c r="C35" s="303" t="s">
        <v>175</v>
      </c>
      <c r="D35" s="318" t="str">
        <f>_xll.qlPiecewiseYieldCurve(,NDays,Calendar,_xll.ohPack('1M Swaps'!L14:L22),DayCounter,,,Accuracy,TraitsID,InterpolatorID,,Trigger)</f>
        <v>obj_003dd#0000</v>
      </c>
      <c r="E35" s="300"/>
      <c r="F35" s="4"/>
      <c r="H35" s="2"/>
      <c r="I35" s="303" t="s">
        <v>175</v>
      </c>
      <c r="J35" s="318" t="str">
        <f>_xll.qlPiecewiseYieldCurve(,NDays,Calendar,_xll.ohPack('6M Swaps'!L14:L22),DayCounter,,,Accuracy,TraitsID,InterpolatorID,,Trigger)</f>
        <v>obj_003e0#0000</v>
      </c>
      <c r="K35" s="349"/>
    </row>
    <row r="36" spans="2:11" x14ac:dyDescent="0.2">
      <c r="B36" s="2"/>
      <c r="C36" s="304" t="s">
        <v>176</v>
      </c>
      <c r="D36" s="305" t="str">
        <f>_xll.ohRangeRetrieveError(YieldCurve)</f>
        <v/>
      </c>
      <c r="E36" s="300"/>
      <c r="F36" s="4"/>
      <c r="H36" s="2"/>
      <c r="I36" s="304" t="s">
        <v>176</v>
      </c>
      <c r="J36" s="305" t="str">
        <f>_xll.ohRangeRetrieveError(YieldCurve)</f>
        <v/>
      </c>
      <c r="K36" s="349"/>
    </row>
    <row r="37" spans="2:11" x14ac:dyDescent="0.2">
      <c r="B37" s="2"/>
      <c r="C37" s="21"/>
      <c r="D37" s="306"/>
      <c r="E37" s="300"/>
      <c r="F37" s="4"/>
      <c r="H37" s="2"/>
      <c r="I37" s="21"/>
      <c r="J37" s="306"/>
      <c r="K37" s="349"/>
    </row>
    <row r="38" spans="2:11" x14ac:dyDescent="0.2">
      <c r="B38" s="2"/>
      <c r="C38" s="307">
        <f>_xll.qlTermStructureReferenceDate(D35)</f>
        <v>41893</v>
      </c>
      <c r="D38" s="308">
        <f>MAX(_xll.ohPack('1M Swaps'!S11:S20))</f>
        <v>1</v>
      </c>
      <c r="E38" s="300"/>
      <c r="F38" s="4"/>
      <c r="H38" s="2"/>
      <c r="I38" s="307">
        <f>_xll.qlTermStructureReferenceDate(J35)</f>
        <v>41893</v>
      </c>
      <c r="J38" s="308">
        <f>MAX(_xll.ohPack('6M Swaps'!S11:S20))</f>
        <v>1</v>
      </c>
      <c r="K38" s="349"/>
    </row>
    <row r="39" spans="2:11" x14ac:dyDescent="0.2">
      <c r="B39" s="2"/>
      <c r="C39" s="309">
        <f>MAX(_xll.ohPack('1M Swaps'!R12:R20))</f>
        <v>42167</v>
      </c>
      <c r="D39" s="310">
        <f>MIN(_xll.ohPack('1M Swaps'!S11:S20))</f>
        <v>0.98081181342818413</v>
      </c>
      <c r="E39" s="300"/>
      <c r="F39" s="4"/>
      <c r="H39" s="2"/>
      <c r="I39" s="309">
        <f>MAX(_xll.ohPack('6M Swaps'!R12:R20))</f>
        <v>42261</v>
      </c>
      <c r="J39" s="310">
        <f>MIN(_xll.ohPack('6M Swaps'!S11:S20))</f>
        <v>0.97319221966774871</v>
      </c>
      <c r="K39" s="349"/>
    </row>
    <row r="40" spans="2:11" x14ac:dyDescent="0.2">
      <c r="B40" s="2"/>
      <c r="C40" s="21"/>
      <c r="D40" s="306"/>
      <c r="E40" s="311"/>
      <c r="F40" s="4"/>
      <c r="H40" s="2"/>
      <c r="I40" s="21"/>
      <c r="J40" s="306"/>
      <c r="K40" s="350"/>
    </row>
    <row r="41" spans="2:11" ht="12" thickBot="1" x14ac:dyDescent="0.25">
      <c r="B41" s="26"/>
      <c r="C41" s="27"/>
      <c r="D41" s="27"/>
      <c r="E41" s="27"/>
      <c r="F41" s="28"/>
      <c r="H41" s="26"/>
      <c r="I41" s="27"/>
      <c r="J41" s="27"/>
      <c r="K41" s="28"/>
    </row>
  </sheetData>
  <conditionalFormatting sqref="D11">
    <cfRule type="cellIs" dxfId="7" priority="4" stopIfTrue="1" operator="equal">
      <formula>TRUE</formula>
    </cfRule>
  </conditionalFormatting>
  <conditionalFormatting sqref="E40">
    <cfRule type="cellIs" dxfId="6" priority="2" stopIfTrue="1" operator="equal">
      <formula>TRUE</formula>
    </cfRule>
  </conditionalFormatting>
  <conditionalFormatting sqref="K40">
    <cfRule type="cellIs" dxfId="5" priority="1" stopIfTrue="1" operator="equal">
      <formula>TRUE</formula>
    </cfRule>
  </conditionalFormatting>
  <dataValidations count="5">
    <dataValidation type="list" allowBlank="1" showInputMessage="1" showErrorMessage="1" sqref="D4">
      <formula1>"EUR,USD,GBP,JPY,CHF,AUD,CNY,CNH,HKD"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31 J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0 J30">
      <formula1>"Discount,ZeroYield,ForwardRate"</formula1>
    </dataValidation>
    <dataValidation type="list" allowBlank="1" showInputMessage="1" showErrorMessage="1" sqref="D34 J3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6.1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183" t="s">
        <v>84</v>
      </c>
      <c r="E1" s="184" t="s">
        <v>81</v>
      </c>
      <c r="F1" s="184" t="s">
        <v>82</v>
      </c>
      <c r="G1" s="184" t="s">
        <v>88</v>
      </c>
      <c r="H1" s="184"/>
      <c r="I1" s="184"/>
      <c r="J1" s="184" t="s">
        <v>89</v>
      </c>
      <c r="K1" s="185" t="s">
        <v>87</v>
      </c>
      <c r="M1" s="183" t="s">
        <v>81</v>
      </c>
      <c r="N1" s="184" t="s">
        <v>82</v>
      </c>
      <c r="O1" s="184"/>
      <c r="P1" s="184"/>
      <c r="Q1" s="184" t="s">
        <v>85</v>
      </c>
      <c r="R1" s="184" t="s">
        <v>86</v>
      </c>
      <c r="S1" s="185" t="s">
        <v>87</v>
      </c>
    </row>
    <row r="2" spans="3:19" ht="11.25" customHeight="1" x14ac:dyDescent="0.2">
      <c r="D2" s="186" t="str">
        <f>PROPER(Currency&amp;IborType)&amp;"3M"&amp;"LastFixing"&amp;QuoteSuffix</f>
        <v>Audbbsw3MLastFixing_Quote</v>
      </c>
      <c r="E2" s="187">
        <f>SettlementDate</f>
        <v>41893</v>
      </c>
      <c r="F2" s="187">
        <f>_xll.qlCalendarAdvance(Calendar,E2,"3M","mf",,Trigger)</f>
        <v>41984</v>
      </c>
      <c r="G2" s="188" t="e">
        <f>_xll.qlQuoteValue(D2,LastFixingsTrigger)</f>
        <v>#NUM!</v>
      </c>
      <c r="H2" s="189" t="str">
        <f>_xll.qlMakeDatedOIS(,E2,F2,OvernightIndex,0,,,,EvaluationDate)</f>
        <v>obj_00269#0000</v>
      </c>
      <c r="I2" s="189" t="b">
        <f>_xll.qlInstrumentSetPricingEngine(H2,OisEngine)</f>
        <v>1</v>
      </c>
      <c r="J2" s="188">
        <f>_xll.qlOvernightIndexedSwapFairRate(H2,AllTriggers)</f>
        <v>2.4659578420244292E-2</v>
      </c>
      <c r="K2" s="190" t="e">
        <f t="shared" ref="K2:K11" si="0">G2-J2</f>
        <v>#NUM!</v>
      </c>
      <c r="M2" s="196">
        <f>SettlementDate</f>
        <v>41893</v>
      </c>
      <c r="N2" s="187">
        <f>_xll.qlInterestRateIndexMaturity("AUDBBSW3M",M2)</f>
        <v>41984</v>
      </c>
      <c r="O2" s="189" t="str">
        <f>_xll.qlMakeDatedOIS(,M2,N2,OvernightIndex,0,,,,EvaluationDate)</f>
        <v>obj_00277#0000</v>
      </c>
      <c r="P2" s="189" t="b">
        <f>_xll.qlInstrumentSetPricingEngine(O2,OisEngine)</f>
        <v>1</v>
      </c>
      <c r="Q2" s="188">
        <f>_xll.qlIndexFixing(Currency&amp;IborType&amp;"3M",_xll.qlInterestRateIndexFixingDate(Currency&amp;IborType&amp;"3M",M2),TRUE,AllTriggers)</f>
        <v>2.6667204810284225E-2</v>
      </c>
      <c r="R2" s="188">
        <f>_xll.qlOvernightIndexedSwapFairRate(O2,AllTriggers)</f>
        <v>2.4659578420244292E-2</v>
      </c>
      <c r="S2" s="190">
        <f>Q2-R2</f>
        <v>2.0076263900399328E-3</v>
      </c>
    </row>
    <row r="3" spans="3:19" ht="11.25" customHeight="1" x14ac:dyDescent="0.2">
      <c r="C3" t="str">
        <f>_xll.qlIMMNextCode(SettlementDate-1,TRUE)</f>
        <v>U4</v>
      </c>
      <c r="D3" s="186" t="str">
        <f t="shared" ref="D3:D11" si="1">Currency&amp;"FUT"&amp;"3M"&amp;C3&amp;QuoteSuffix</f>
        <v>AUDFUT3MU4_Quote</v>
      </c>
      <c r="E3" s="187">
        <f>_xll.qlIMMdate(C3,$E$2,Trigger)</f>
        <v>41899</v>
      </c>
      <c r="F3" s="187">
        <f>_xll.qlCalendarAdvance(Calendar,E3,"3M","mf",,Trigger)</f>
        <v>41990</v>
      </c>
      <c r="G3" s="188">
        <f>1-_xll.qlQuoteValue(D3,AllTriggers)/100</f>
        <v>2.6649999999999952E-2</v>
      </c>
      <c r="H3" s="189" t="str">
        <f>_xll.qlMakeDatedOIS(,E3,F3,OvernightIndex,0,,,,EvaluationDate)</f>
        <v>obj_0027b#0000</v>
      </c>
      <c r="I3" s="189" t="b">
        <f>_xll.qlInstrumentSetPricingEngine(H3,OisEngine)</f>
        <v>1</v>
      </c>
      <c r="J3" s="188">
        <f>_xll.qlOvernightIndexedSwapFairRate(H3,AllTriggers)</f>
        <v>2.4646660211670231E-2</v>
      </c>
      <c r="K3" s="190">
        <f t="shared" si="0"/>
        <v>2.0033397883297208E-3</v>
      </c>
      <c r="M3" s="196">
        <f>_xll.qlCalendarAdvance(Calendar,M2,"1M","f",,Trigger)</f>
        <v>41925</v>
      </c>
      <c r="N3" s="187">
        <f>_xll.qlInterestRateIndexMaturity("AUDBBSW3M",M3)</f>
        <v>42017</v>
      </c>
      <c r="O3" s="189" t="str">
        <f>_xll.qlMakeDatedOIS(,M3,N3,OvernightIndex,0,,,,EvaluationDate)</f>
        <v>obj_0027a#0000</v>
      </c>
      <c r="P3" s="189" t="b">
        <f>_xll.qlInstrumentSetPricingEngine(O3,OisEngine)</f>
        <v>1</v>
      </c>
      <c r="Q3" s="188">
        <f>_xll.qlIndexFixing(Currency&amp;IborType&amp;"3M",_xll.qlInterestRateIndexFixingDate(Currency&amp;IborType&amp;"3M",M3),TRUE,AllTriggers)</f>
        <v>2.6554828961975353E-2</v>
      </c>
      <c r="R3" s="188">
        <f>_xll.qlOvernightIndexedSwapFairRate(O3,AllTriggers)</f>
        <v>2.4592502581948811E-2</v>
      </c>
      <c r="S3" s="190">
        <f t="shared" ref="S3:S66" si="2">Q3-R3</f>
        <v>1.9623263800265418E-3</v>
      </c>
    </row>
    <row r="4" spans="3:19" ht="11.25" customHeight="1" x14ac:dyDescent="0.2">
      <c r="C4" t="str">
        <f>_xll.qlIMMNextCode(E3,TRUE)</f>
        <v>Z4</v>
      </c>
      <c r="D4" s="186" t="str">
        <f t="shared" si="1"/>
        <v>AUDFUT3MZ4_Quote</v>
      </c>
      <c r="E4" s="187">
        <f>_xll.qlIMMdate(C4,$E$2,Trigger)</f>
        <v>41990</v>
      </c>
      <c r="F4" s="187">
        <f>_xll.qlCalendarAdvance(Calendar,E4,"3M","mf",,Trigger)</f>
        <v>42080</v>
      </c>
      <c r="G4" s="188">
        <f>1-_xll.qlQuoteValue(D4,AllTriggers)/100</f>
        <v>2.6349999999999874E-2</v>
      </c>
      <c r="H4" s="189" t="str">
        <f>_xll.qlMakeDatedOIS(,E4,F4,OvernightIndex,0,,,,EvaluationDate)</f>
        <v>obj_00280#0000</v>
      </c>
      <c r="I4" s="189" t="b">
        <f>_xll.qlInstrumentSetPricingEngine(H4,OisEngine)</f>
        <v>1</v>
      </c>
      <c r="J4" s="188">
        <f>_xll.qlOvernightIndexedSwapFairRate(H4,AllTriggers)</f>
        <v>2.4557665634935333E-2</v>
      </c>
      <c r="K4" s="190">
        <f t="shared" si="0"/>
        <v>1.7923343650645407E-3</v>
      </c>
      <c r="M4" s="196">
        <f>_xll.qlCalendarAdvance(Calendar,M3,"1M","f",,Trigger)</f>
        <v>41956</v>
      </c>
      <c r="N4" s="187">
        <f>_xll.qlInterestRateIndexMaturity("AUDBBSW3M",M4)</f>
        <v>42048</v>
      </c>
      <c r="O4" s="189" t="str">
        <f>_xll.qlMakeDatedOIS(,M4,N4,OvernightIndex,0,,,,EvaluationDate)</f>
        <v>obj_0027d#0000</v>
      </c>
      <c r="P4" s="189" t="b">
        <f>_xll.qlInstrumentSetPricingEngine(O4,OisEngine)</f>
        <v>1</v>
      </c>
      <c r="Q4" s="188">
        <f>_xll.qlIndexFixing(Currency&amp;IborType&amp;"3M",_xll.qlInterestRateIndexFixingDate(Currency&amp;IborType&amp;"3M",M4),TRUE,AllTriggers)</f>
        <v>2.6434815779880202E-2</v>
      </c>
      <c r="R4" s="188">
        <f>_xll.qlOvernightIndexedSwapFairRate(O4,AllTriggers)</f>
        <v>2.4570557303613395E-2</v>
      </c>
      <c r="S4" s="190">
        <f t="shared" si="2"/>
        <v>1.8642584762668078E-3</v>
      </c>
    </row>
    <row r="5" spans="3:19" ht="11.25" customHeight="1" x14ac:dyDescent="0.2">
      <c r="C5" t="str">
        <f>_xll.qlIMMNextCode(E4,TRUE)</f>
        <v>H5</v>
      </c>
      <c r="D5" s="186" t="str">
        <f t="shared" si="1"/>
        <v>AUDFUT3MH5_Quote</v>
      </c>
      <c r="E5" s="187">
        <f>_xll.qlIMMdate(C5,$E$2,Trigger)</f>
        <v>42081</v>
      </c>
      <c r="F5" s="187">
        <f>_xll.qlCalendarAdvance(Calendar,E5,"3M","mf",,Trigger)</f>
        <v>42173</v>
      </c>
      <c r="G5" s="188">
        <f>1-_xll.qlQuoteValue(D5,AllTriggers)/100</f>
        <v>2.6549999999999963E-2</v>
      </c>
      <c r="H5" s="189" t="str">
        <f>_xll.qlMakeDatedOIS(,E5,F5,OvernightIndex,0,,,,EvaluationDate)</f>
        <v>obj_00282#0000</v>
      </c>
      <c r="I5" s="189" t="b">
        <f>_xll.qlInstrumentSetPricingEngine(H5,OisEngine)</f>
        <v>1</v>
      </c>
      <c r="J5" s="188">
        <f>_xll.qlOvernightIndexedSwapFairRate(H5,AllTriggers)</f>
        <v>2.4755911193764572E-2</v>
      </c>
      <c r="K5" s="190">
        <f t="shared" si="0"/>
        <v>1.7940888062353902E-3</v>
      </c>
      <c r="M5" s="196">
        <f>_xll.qlCalendarAdvance(Calendar,M4,"1M","f",,Trigger)</f>
        <v>41988</v>
      </c>
      <c r="N5" s="187">
        <f>_xll.qlInterestRateIndexMaturity("AUDBBSW3M",M5)</f>
        <v>42076</v>
      </c>
      <c r="O5" s="189" t="str">
        <f>_xll.qlMakeDatedOIS(,M5,N5,OvernightIndex,0,,,,EvaluationDate)</f>
        <v>obj_0027c#0000</v>
      </c>
      <c r="P5" s="189" t="b">
        <f>_xll.qlInstrumentSetPricingEngine(O5,OisEngine)</f>
        <v>1</v>
      </c>
      <c r="Q5" s="188">
        <f>_xll.qlIndexFixing(Currency&amp;IborType&amp;"3M",_xll.qlInterestRateIndexFixingDate(Currency&amp;IborType&amp;"3M",M5),TRUE,AllTriggers)</f>
        <v>2.6350409706676889E-2</v>
      </c>
      <c r="R5" s="188">
        <f>_xll.qlOvernightIndexedSwapFairRate(O5,AllTriggers)</f>
        <v>2.4553394743440045E-2</v>
      </c>
      <c r="S5" s="190">
        <f t="shared" si="2"/>
        <v>1.797014963236844E-3</v>
      </c>
    </row>
    <row r="6" spans="3:19" ht="11.25" customHeight="1" x14ac:dyDescent="0.2">
      <c r="C6" t="str">
        <f>_xll.qlIMMNextCode(E5,TRUE)</f>
        <v>M5</v>
      </c>
      <c r="D6" s="186" t="str">
        <f t="shared" si="1"/>
        <v>AUDFUT3MM5_Quote</v>
      </c>
      <c r="E6" s="187">
        <f>_xll.qlIMMdate(C6,$E$2,Trigger)</f>
        <v>42172</v>
      </c>
      <c r="F6" s="187">
        <f>_xll.qlCalendarAdvance(Calendar,E6,"3M","mf",,Trigger)</f>
        <v>42264</v>
      </c>
      <c r="G6" s="188">
        <f>1-_xll.qlQuoteValue(D6,AllTriggers)/100</f>
        <v>2.7050000000000018E-2</v>
      </c>
      <c r="H6" s="189" t="str">
        <f>_xll.qlMakeDatedOIS(,E6,F6,OvernightIndex,0,,,,EvaluationDate)</f>
        <v>obj_00286#0000</v>
      </c>
      <c r="I6" s="189" t="b">
        <f>_xll.qlInstrumentSetPricingEngine(H6,OisEngine)</f>
        <v>1</v>
      </c>
      <c r="J6" s="188">
        <f>_xll.qlOvernightIndexedSwapFairRate(H6,AllTriggers)</f>
        <v>2.5050002896449059E-2</v>
      </c>
      <c r="K6" s="190">
        <f t="shared" si="0"/>
        <v>1.9999971035509594E-3</v>
      </c>
      <c r="M6" s="196">
        <f>_xll.qlCalendarAdvance(Calendar,M5,"1M","f",,Trigger)</f>
        <v>42019</v>
      </c>
      <c r="N6" s="187">
        <f>_xll.qlInterestRateIndexMaturity("AUDBBSW3M",M6)</f>
        <v>42109</v>
      </c>
      <c r="O6" s="189" t="str">
        <f>_xll.qlMakeDatedOIS(,M6,N6,OvernightIndex,0,,,,EvaluationDate)</f>
        <v>obj_0027e#0000</v>
      </c>
      <c r="P6" s="189" t="b">
        <f>_xll.qlInstrumentSetPricingEngine(O6,OisEngine)</f>
        <v>1</v>
      </c>
      <c r="Q6" s="188">
        <f>_xll.qlIndexFixing(Currency&amp;IborType&amp;"3M",_xll.qlInterestRateIndexFixingDate(Currency&amp;IborType&amp;"3M",M6),TRUE,AllTriggers)</f>
        <v>2.6356369502872568E-2</v>
      </c>
      <c r="R6" s="188">
        <f>_xll.qlOvernightIndexedSwapFairRate(O6,AllTriggers)</f>
        <v>2.4606380371477776E-2</v>
      </c>
      <c r="S6" s="190">
        <f t="shared" si="2"/>
        <v>1.7499891313947913E-3</v>
      </c>
    </row>
    <row r="7" spans="3:19" ht="11.25" customHeight="1" x14ac:dyDescent="0.2">
      <c r="C7" t="str">
        <f>_xll.qlIMMNextCode(E6,TRUE)</f>
        <v>U5</v>
      </c>
      <c r="D7" s="186" t="str">
        <f t="shared" si="1"/>
        <v>AUDFUT3MU5_Quote</v>
      </c>
      <c r="E7" s="187">
        <f>_xll.qlIMMdate(C7,$E$2,Trigger)</f>
        <v>42263</v>
      </c>
      <c r="F7" s="187">
        <f>_xll.qlCalendarAdvance(Calendar,E7,"3M","mf",,Trigger)</f>
        <v>42354</v>
      </c>
      <c r="G7" s="188">
        <f>1-_xll.qlQuoteValue(D7,AllTriggers)/100</f>
        <v>2.795000000000003E-2</v>
      </c>
      <c r="H7" s="189" t="str">
        <f>_xll.qlMakeDatedOIS(,E7,F7,OvernightIndex,0,,,,EvaluationDate)</f>
        <v>obj_00287#0000</v>
      </c>
      <c r="I7" s="189" t="b">
        <f>_xll.qlInstrumentSetPricingEngine(H7,OisEngine)</f>
        <v>1</v>
      </c>
      <c r="J7" s="188">
        <f>_xll.qlOvernightIndexedSwapFairRate(H7,AllTriggers)</f>
        <v>2.5969984512482037E-2</v>
      </c>
      <c r="K7" s="190">
        <f t="shared" si="0"/>
        <v>1.9800154875179929E-3</v>
      </c>
      <c r="M7" s="196">
        <f>_xll.qlCalendarAdvance(Calendar,M6,"1M","f",,Trigger)</f>
        <v>42051</v>
      </c>
      <c r="N7" s="187">
        <f>_xll.qlInterestRateIndexMaturity("AUDBBSW3M",M7)</f>
        <v>42142</v>
      </c>
      <c r="O7" s="189" t="str">
        <f>_xll.qlMakeDatedOIS(,M7,N7,OvernightIndex,0,,,,EvaluationDate)</f>
        <v>obj_00281#0000</v>
      </c>
      <c r="P7" s="189" t="b">
        <f>_xll.qlInstrumentSetPricingEngine(O7,OisEngine)</f>
        <v>1</v>
      </c>
      <c r="Q7" s="188">
        <f>_xll.qlIndexFixing(Currency&amp;IborType&amp;"3M",_xll.qlInterestRateIndexFixingDate(Currency&amp;IborType&amp;"3M",M7),TRUE,AllTriggers)</f>
        <v>2.6436354429759251E-2</v>
      </c>
      <c r="R7" s="188">
        <f>_xll.qlOvernightIndexedSwapFairRate(O7,AllTriggers)</f>
        <v>2.4670949671087211E-2</v>
      </c>
      <c r="S7" s="190">
        <f t="shared" si="2"/>
        <v>1.7654047586720401E-3</v>
      </c>
    </row>
    <row r="8" spans="3:19" ht="11.25" customHeight="1" x14ac:dyDescent="0.2">
      <c r="C8" t="str">
        <f>_xll.qlIMMNextCode(E7,TRUE)</f>
        <v>Z5</v>
      </c>
      <c r="D8" s="186" t="str">
        <f t="shared" si="1"/>
        <v>AUDFUT3MZ5_Quote</v>
      </c>
      <c r="E8" s="187">
        <f>_xll.qlIMMdate(C8,$E$2,Trigger)</f>
        <v>42354</v>
      </c>
      <c r="F8" s="187">
        <f>_xll.qlCalendarAdvance(Calendar,E8,"3M","mf",,Trigger)</f>
        <v>42445</v>
      </c>
      <c r="G8" s="188">
        <f>1-_xll.qlQuoteValue(D8,AllTriggers)/100</f>
        <v>2.905000000000002E-2</v>
      </c>
      <c r="H8" s="189" t="str">
        <f>_xll.qlMakeDatedOIS(,E8,F8,OvernightIndex,0,,,,EvaluationDate)</f>
        <v>obj_0033f#0000</v>
      </c>
      <c r="I8" s="189" t="b">
        <f>_xll.qlInstrumentSetPricingEngine(H8,OisEngine)</f>
        <v>1</v>
      </c>
      <c r="J8" s="188">
        <f>_xll.qlOvernightIndexedSwapFairRate(H8,AllTriggers)</f>
        <v>2.6985807915547631E-2</v>
      </c>
      <c r="K8" s="190">
        <f t="shared" si="0"/>
        <v>2.0641920844523889E-3</v>
      </c>
      <c r="M8" s="196">
        <f>_xll.qlCalendarAdvance(Calendar,M7,"1M","f",,Trigger)</f>
        <v>42079</v>
      </c>
      <c r="N8" s="187">
        <f>_xll.qlInterestRateIndexMaturity("AUDBBSW3M",M8)</f>
        <v>42171</v>
      </c>
      <c r="O8" s="189" t="str">
        <f>_xll.qlMakeDatedOIS(,M8,N8,OvernightIndex,0,,,,EvaluationDate)</f>
        <v>obj_0027f#0000</v>
      </c>
      <c r="P8" s="189" t="b">
        <f>_xll.qlInstrumentSetPricingEngine(O8,OisEngine)</f>
        <v>1</v>
      </c>
      <c r="Q8" s="188">
        <f>_xll.qlIndexFixing(Currency&amp;IborType&amp;"3M",_xll.qlInterestRateIndexFixingDate(Currency&amp;IborType&amp;"3M",M8),TRUE,AllTriggers)</f>
        <v>2.6542043358329367E-2</v>
      </c>
      <c r="R8" s="188">
        <f>_xll.qlOvernightIndexedSwapFairRate(O8,AllTriggers)</f>
        <v>2.4751118020343799E-2</v>
      </c>
      <c r="S8" s="190">
        <f t="shared" si="2"/>
        <v>1.7909253379855689E-3</v>
      </c>
    </row>
    <row r="9" spans="3:19" ht="11.25" customHeight="1" x14ac:dyDescent="0.2">
      <c r="C9" t="str">
        <f>_xll.qlIMMNextCode(E8,TRUE)</f>
        <v>H6</v>
      </c>
      <c r="D9" s="186" t="str">
        <f t="shared" si="1"/>
        <v>AUDFUT3MH6_Quote</v>
      </c>
      <c r="E9" s="187">
        <f>_xll.qlIMMdate(C9,$E$2,Trigger)</f>
        <v>42445</v>
      </c>
      <c r="F9" s="187">
        <f>_xll.qlCalendarAdvance(Calendar,E9,"3M","mf",,Trigger)</f>
        <v>42537</v>
      </c>
      <c r="G9" s="188">
        <f>1-_xll.qlQuoteValue(D9,AllTriggers)/100</f>
        <v>3.015000000000001E-2</v>
      </c>
      <c r="H9" s="189" t="str">
        <f>_xll.qlMakeDatedOIS(,E9,F9,OvernightIndex,0,,,,EvaluationDate)</f>
        <v>obj_003dc#0000</v>
      </c>
      <c r="I9" s="189" t="b">
        <f>_xll.qlInstrumentSetPricingEngine(H9,OisEngine)</f>
        <v>1</v>
      </c>
      <c r="J9" s="188">
        <f>_xll.qlOvernightIndexedSwapFairRate(H9,AllTriggers)</f>
        <v>2.7955297193720835E-2</v>
      </c>
      <c r="K9" s="190">
        <f t="shared" si="0"/>
        <v>2.1947028062791751E-3</v>
      </c>
      <c r="M9" s="196">
        <f>_xll.qlCalendarAdvance(Calendar,M8,"1M","f",,Trigger)</f>
        <v>42110</v>
      </c>
      <c r="N9" s="187">
        <f>_xll.qlInterestRateIndexMaturity("AUDBBSW3M",M9)</f>
        <v>42201</v>
      </c>
      <c r="O9" s="189" t="str">
        <f>_xll.qlMakeDatedOIS(,M9,N9,OvernightIndex,0,,,,EvaluationDate)</f>
        <v>obj_00285#0000</v>
      </c>
      <c r="P9" s="189" t="b">
        <f>_xll.qlInstrumentSetPricingEngine(O9,OisEngine)</f>
        <v>1</v>
      </c>
      <c r="Q9" s="188">
        <f>_xll.qlIndexFixing(Currency&amp;IborType&amp;"3M",_xll.qlInterestRateIndexFixingDate(Currency&amp;IborType&amp;"3M",M9),TRUE,AllTriggers)</f>
        <v>2.6669696734846246E-2</v>
      </c>
      <c r="R9" s="188">
        <f>_xll.qlOvernightIndexedSwapFairRate(O9,AllTriggers)</f>
        <v>2.4813856513466272E-2</v>
      </c>
      <c r="S9" s="190">
        <f t="shared" si="2"/>
        <v>1.8558402213799743E-3</v>
      </c>
    </row>
    <row r="10" spans="3:19" ht="11.25" customHeight="1" x14ac:dyDescent="0.2">
      <c r="C10" t="str">
        <f>_xll.qlIMMNextCode(E9,TRUE)</f>
        <v>M6</v>
      </c>
      <c r="D10" s="186" t="str">
        <f t="shared" si="1"/>
        <v>AUDFUT3MM6_Quote</v>
      </c>
      <c r="E10" s="187">
        <f>_xll.qlIMMdate(C10,$E$2,Trigger)</f>
        <v>42536</v>
      </c>
      <c r="F10" s="187">
        <f>_xll.qlCalendarAdvance(Calendar,E10,"3M","mf",,Trigger)</f>
        <v>42628</v>
      </c>
      <c r="G10" s="188">
        <f>1-_xll.qlQuoteValue(D10,AllTriggers)/100</f>
        <v>3.1150000000000122E-2</v>
      </c>
      <c r="H10" s="189" t="str">
        <f>_xll.qlMakeDatedOIS(,E10,F10,OvernightIndex,0,,,,EvaluationDate)</f>
        <v>obj_003e8#0000</v>
      </c>
      <c r="I10" s="189" t="b">
        <f>_xll.qlInstrumentSetPricingEngine(H10,OisEngine)</f>
        <v>1</v>
      </c>
      <c r="J10" s="188">
        <f>_xll.qlOvernightIndexedSwapFairRate(H10,AllTriggers)</f>
        <v>2.8984476300426072E-2</v>
      </c>
      <c r="K10" s="190">
        <f t="shared" si="0"/>
        <v>2.1655236995740505E-3</v>
      </c>
      <c r="M10" s="196">
        <f>_xll.qlCalendarAdvance(Calendar,M9,"1M","f",,Trigger)</f>
        <v>42142</v>
      </c>
      <c r="N10" s="187">
        <f>_xll.qlInterestRateIndexMaturity("AUDBBSW3M",M10)</f>
        <v>42234</v>
      </c>
      <c r="O10" s="189" t="str">
        <f>_xll.qlMakeDatedOIS(,M10,N10,OvernightIndex,0,,,,EvaluationDate)</f>
        <v>obj_00284#0000</v>
      </c>
      <c r="P10" s="189" t="b">
        <f>_xll.qlInstrumentSetPricingEngine(O10,OisEngine)</f>
        <v>1</v>
      </c>
      <c r="Q10" s="188">
        <f>_xll.qlIndexFixing(Currency&amp;IborType&amp;"3M",_xll.qlInterestRateIndexFixingDate(Currency&amp;IborType&amp;"3M",M10),TRUE,AllTriggers)</f>
        <v>2.6841129822632242E-2</v>
      </c>
      <c r="R10" s="188">
        <f>_xll.qlOvernightIndexedSwapFairRate(O10,AllTriggers)</f>
        <v>2.4899976523642398E-2</v>
      </c>
      <c r="S10" s="190">
        <f t="shared" si="2"/>
        <v>1.9411532989898443E-3</v>
      </c>
    </row>
    <row r="11" spans="3:19" ht="11.25" customHeight="1" thickBot="1" x14ac:dyDescent="0.25">
      <c r="C11" t="str">
        <f>_xll.qlIMMNextCode(E10,TRUE)</f>
        <v>U6</v>
      </c>
      <c r="D11" s="191" t="str">
        <f t="shared" si="1"/>
        <v>AUDFUT3MU6_Quote</v>
      </c>
      <c r="E11" s="192">
        <f>_xll.qlIMMdate(C11,$E$2,Trigger)</f>
        <v>42634</v>
      </c>
      <c r="F11" s="192">
        <f>_xll.qlCalendarAdvance(Calendar,E11,"3M","mf",,Trigger)</f>
        <v>42725</v>
      </c>
      <c r="G11" s="193">
        <f>1-_xll.qlQuoteValue(D11,AllTriggers)/100</f>
        <v>3.2100000000000128E-2</v>
      </c>
      <c r="H11" s="194" t="str">
        <f>_xll.qlMakeDatedOIS(,E11,F11,OvernightIndex,0,,,,EvaluationDate)</f>
        <v>obj_003ea#0000</v>
      </c>
      <c r="I11" s="194" t="b">
        <f>_xll.qlInstrumentSetPricingEngine(H11,OisEngine)</f>
        <v>1</v>
      </c>
      <c r="J11" s="193">
        <f>_xll.qlOvernightIndexedSwapFairRate(H11,AllTriggers)</f>
        <v>3.0144918879963289E-2</v>
      </c>
      <c r="K11" s="195">
        <f t="shared" si="0"/>
        <v>1.955081120036839E-3</v>
      </c>
      <c r="M11" s="196">
        <f>_xll.qlCalendarAdvance(Calendar,M10,"1M","f",,Trigger)</f>
        <v>42173</v>
      </c>
      <c r="N11" s="187">
        <f>_xll.qlInterestRateIndexMaturity("AUDBBSW3M",M11)</f>
        <v>42265</v>
      </c>
      <c r="O11" s="189" t="str">
        <f>_xll.qlMakeDatedOIS(,M11,N11,OvernightIndex,0,,,,EvaluationDate)</f>
        <v>obj_00283#0000</v>
      </c>
      <c r="P11" s="189" t="b">
        <f>_xll.qlInstrumentSetPricingEngine(O11,OisEngine)</f>
        <v>1</v>
      </c>
      <c r="Q11" s="188">
        <f>_xll.qlIndexFixing(Currency&amp;IborType&amp;"3M",_xll.qlInterestRateIndexFixingDate(Currency&amp;IborType&amp;"3M",M11),TRUE,AllTriggers)</f>
        <v>2.7058059719872619E-2</v>
      </c>
      <c r="R11" s="188">
        <f>_xll.qlOvernightIndexedSwapFairRate(O11,AllTriggers)</f>
        <v>2.5056773842146225E-2</v>
      </c>
      <c r="S11" s="190">
        <f t="shared" si="2"/>
        <v>2.0012858777263935E-3</v>
      </c>
    </row>
    <row r="12" spans="3:19" ht="11.25" customHeight="1" x14ac:dyDescent="0.2">
      <c r="E12" s="182"/>
      <c r="F12" s="182"/>
      <c r="G12" s="181"/>
      <c r="J12" s="181"/>
      <c r="K12" s="181"/>
      <c r="M12" s="196">
        <f>_xll.qlCalendarAdvance(Calendar,M11,"1M","f",,Trigger)</f>
        <v>42205</v>
      </c>
      <c r="N12" s="187">
        <f>_xll.qlInterestRateIndexMaturity("AUDBBSW3M",M12)</f>
        <v>42297</v>
      </c>
      <c r="O12" s="189" t="str">
        <f>_xll.qlMakeDatedOIS(,M12,N12,OvernightIndex,0,,,,EvaluationDate)</f>
        <v>obj_0037a#0000</v>
      </c>
      <c r="P12" s="189" t="b">
        <f>_xll.qlInstrumentSetPricingEngine(O12,OisEngine)</f>
        <v>1</v>
      </c>
      <c r="Q12" s="188">
        <f>_xll.qlIndexFixing(Currency&amp;IborType&amp;"3M",_xll.qlInterestRateIndexFixingDate(Currency&amp;IborType&amp;"3M",M12),TRUE,AllTriggers)</f>
        <v>2.7350387016441401E-2</v>
      </c>
      <c r="R12" s="188">
        <f>_xll.qlOvernightIndexedSwapFairRate(O12,AllTriggers)</f>
        <v>2.5328529134726586E-2</v>
      </c>
      <c r="S12" s="190">
        <f t="shared" si="2"/>
        <v>2.0218578817148142E-3</v>
      </c>
    </row>
    <row r="13" spans="3:19" ht="11.25" customHeight="1" x14ac:dyDescent="0.2">
      <c r="E13" s="182"/>
      <c r="F13" s="182"/>
      <c r="G13" s="181"/>
      <c r="J13" s="181"/>
      <c r="K13" s="181"/>
      <c r="M13" s="196">
        <f>_xll.qlCalendarAdvance(Calendar,M12,"1M","f",,Trigger)</f>
        <v>42236</v>
      </c>
      <c r="N13" s="187">
        <f>_xll.qlInterestRateIndexMaturity("AUDBBSW3M",M13)</f>
        <v>42328</v>
      </c>
      <c r="O13" s="189" t="str">
        <f>_xll.qlMakeDatedOIS(,M13,N13,OvernightIndex,0,,,,EvaluationDate)</f>
        <v>obj_003c8#0000</v>
      </c>
      <c r="P13" s="189" t="b">
        <f>_xll.qlInstrumentSetPricingEngine(O13,OisEngine)</f>
        <v>1</v>
      </c>
      <c r="Q13" s="188">
        <f>_xll.qlIndexFixing(Currency&amp;IborType&amp;"3M",_xll.qlInterestRateIndexFixingDate(Currency&amp;IborType&amp;"3M",M13),TRUE,AllTriggers)</f>
        <v>2.7672394181551166E-2</v>
      </c>
      <c r="R13" s="188">
        <f>_xll.qlOvernightIndexedSwapFairRate(O13,AllTriggers)</f>
        <v>2.5662954810542916E-2</v>
      </c>
      <c r="S13" s="190">
        <f t="shared" si="2"/>
        <v>2.0094393710082502E-3</v>
      </c>
    </row>
    <row r="14" spans="3:19" ht="11.25" customHeight="1" x14ac:dyDescent="0.2">
      <c r="E14" s="182"/>
      <c r="F14" s="182"/>
      <c r="G14" s="181"/>
      <c r="J14" s="181"/>
      <c r="K14" s="181"/>
      <c r="M14" s="196">
        <f>_xll.qlCalendarAdvance(Calendar,M13,"1M","f",,Trigger)</f>
        <v>42268</v>
      </c>
      <c r="N14" s="187">
        <f>_xll.qlInterestRateIndexMaturity("AUDBBSW3M",M14)</f>
        <v>42359</v>
      </c>
      <c r="O14" s="189" t="str">
        <f>_xll.qlMakeDatedOIS(,M14,N14,OvernightIndex,0,,,,EvaluationDate)</f>
        <v>obj_003ba#0000</v>
      </c>
      <c r="P14" s="189" t="b">
        <f>_xll.qlInstrumentSetPricingEngine(O14,OisEngine)</f>
        <v>1</v>
      </c>
      <c r="Q14" s="188">
        <f>_xll.qlIndexFixing(Currency&amp;IborType&amp;"3M",_xll.qlInterestRateIndexFixingDate(Currency&amp;IborType&amp;"3M",M14),TRUE,AllTriggers)</f>
        <v>2.8000959925339929E-2</v>
      </c>
      <c r="R14" s="188">
        <f>_xll.qlOvernightIndexedSwapFairRate(O14,AllTriggers)</f>
        <v>2.6027993359050493E-2</v>
      </c>
      <c r="S14" s="190">
        <f t="shared" si="2"/>
        <v>1.9729665662894351E-3</v>
      </c>
    </row>
    <row r="15" spans="3:19" ht="11.25" customHeight="1" x14ac:dyDescent="0.2">
      <c r="E15" s="182"/>
      <c r="F15" s="182"/>
      <c r="G15" s="181"/>
      <c r="J15" s="181"/>
      <c r="K15" s="181"/>
      <c r="M15" s="196">
        <f>_xll.qlCalendarAdvance(Calendar,M14,"1M","f",,Trigger)</f>
        <v>42298</v>
      </c>
      <c r="N15" s="187">
        <f>_xll.qlInterestRateIndexMaturity("AUDBBSW3M",M15)</f>
        <v>42390</v>
      </c>
      <c r="O15" s="189" t="str">
        <f>_xll.qlMakeDatedOIS(,M15,N15,OvernightIndex,0,,,,EvaluationDate)</f>
        <v>obj_00350#0000</v>
      </c>
      <c r="P15" s="189" t="b">
        <f>_xll.qlInstrumentSetPricingEngine(O15,OisEngine)</f>
        <v>1</v>
      </c>
      <c r="Q15" s="188">
        <f>_xll.qlIndexFixing(Currency&amp;IborType&amp;"3M",_xll.qlInterestRateIndexFixingDate(Currency&amp;IborType&amp;"3M",M15),TRUE,AllTriggers)</f>
        <v>2.8313582574584335E-2</v>
      </c>
      <c r="R15" s="188">
        <f>_xll.qlOvernightIndexedSwapFairRate(O15,AllTriggers)</f>
        <v>2.6377208738589737E-2</v>
      </c>
      <c r="S15" s="190">
        <f t="shared" si="2"/>
        <v>1.9363738359945981E-3</v>
      </c>
    </row>
    <row r="16" spans="3:19" ht="11.25" customHeight="1" x14ac:dyDescent="0.2">
      <c r="E16" s="182"/>
      <c r="F16" s="182"/>
      <c r="G16" s="181"/>
      <c r="J16" s="181"/>
      <c r="K16" s="181"/>
      <c r="M16" s="196">
        <f>_xll.qlCalendarAdvance(Calendar,M15,"1M","f",,Trigger)</f>
        <v>42331</v>
      </c>
      <c r="N16" s="187">
        <f>_xll.qlInterestRateIndexMaturity("AUDBBSW3M",M16)</f>
        <v>42423</v>
      </c>
      <c r="O16" s="189" t="str">
        <f>_xll.qlMakeDatedOIS(,M16,N16,OvernightIndex,0,,,,EvaluationDate)</f>
        <v>obj_0039b#0000</v>
      </c>
      <c r="P16" s="189" t="b">
        <f>_xll.qlInstrumentSetPricingEngine(O16,OisEngine)</f>
        <v>1</v>
      </c>
      <c r="Q16" s="188">
        <f>_xll.qlIndexFixing(Currency&amp;IborType&amp;"3M",_xll.qlInterestRateIndexFixingDate(Currency&amp;IborType&amp;"3M",M16),TRUE,AllTriggers)</f>
        <v>2.8708011281600488E-2</v>
      </c>
      <c r="R16" s="188">
        <f>_xll.qlOvernightIndexedSwapFairRate(O16,AllTriggers)</f>
        <v>2.6743422312776141E-2</v>
      </c>
      <c r="S16" s="190">
        <f t="shared" si="2"/>
        <v>1.9645889688243469E-3</v>
      </c>
    </row>
    <row r="17" spans="5:19" ht="11.25" customHeight="1" x14ac:dyDescent="0.2">
      <c r="E17" s="182"/>
      <c r="F17" s="182"/>
      <c r="G17" s="181"/>
      <c r="J17" s="181"/>
      <c r="K17" s="181"/>
      <c r="M17" s="196">
        <f>_xll.qlCalendarAdvance(Calendar,M16,"1M","f",,Trigger)</f>
        <v>42361</v>
      </c>
      <c r="N17" s="187">
        <f>_xll.qlInterestRateIndexMaturity("AUDBBSW3M",M17)</f>
        <v>42452</v>
      </c>
      <c r="O17" s="189" t="str">
        <f>_xll.qlMakeDatedOIS(,M17,N17,OvernightIndex,0,,,,EvaluationDate)</f>
        <v>obj_0032e#0000</v>
      </c>
      <c r="P17" s="189" t="b">
        <f>_xll.qlInstrumentSetPricingEngine(O17,OisEngine)</f>
        <v>1</v>
      </c>
      <c r="Q17" s="188">
        <f>_xll.qlIndexFixing(Currency&amp;IborType&amp;"3M",_xll.qlInterestRateIndexFixingDate(Currency&amp;IborType&amp;"3M",M17),TRUE,AllTriggers)</f>
        <v>2.917438303383358E-2</v>
      </c>
      <c r="R17" s="188">
        <f>_xll.qlOvernightIndexedSwapFairRate(O17,AllTriggers)</f>
        <v>2.706047479697353E-2</v>
      </c>
      <c r="S17" s="190">
        <f t="shared" si="2"/>
        <v>2.1139082368600501E-3</v>
      </c>
    </row>
    <row r="18" spans="5:19" ht="11.25" customHeight="1" x14ac:dyDescent="0.2">
      <c r="E18" s="182"/>
      <c r="F18" s="182"/>
      <c r="G18" s="181"/>
      <c r="J18" s="181"/>
      <c r="K18" s="181"/>
      <c r="M18" s="196">
        <f>_xll.qlCalendarAdvance(Calendar,M17,"1M","f",,Trigger)</f>
        <v>42394</v>
      </c>
      <c r="N18" s="187">
        <f>_xll.qlInterestRateIndexMaturity("AUDBBSW3M",M18)</f>
        <v>42486</v>
      </c>
      <c r="O18" s="189" t="str">
        <f>_xll.qlMakeDatedOIS(,M18,N18,OvernightIndex,0,,,,EvaluationDate)</f>
        <v>obj_0031f#0000</v>
      </c>
      <c r="P18" s="189" t="b">
        <f>_xll.qlInstrumentSetPricingEngine(O18,OisEngine)</f>
        <v>1</v>
      </c>
      <c r="Q18" s="188">
        <f>_xll.qlIndexFixing(Currency&amp;IborType&amp;"3M",_xll.qlInterestRateIndexFixingDate(Currency&amp;IborType&amp;"3M",M18),TRUE,AllTriggers)</f>
        <v>2.9859447577556465E-2</v>
      </c>
      <c r="R18" s="188">
        <f>_xll.qlOvernightIndexedSwapFairRate(O18,AllTriggers)</f>
        <v>2.7414775177592356E-2</v>
      </c>
      <c r="S18" s="190">
        <f t="shared" si="2"/>
        <v>2.4446723999641089E-3</v>
      </c>
    </row>
    <row r="19" spans="5:19" ht="11.25" customHeight="1" x14ac:dyDescent="0.2">
      <c r="E19" s="182"/>
      <c r="F19" s="182"/>
      <c r="G19" s="181"/>
      <c r="J19" s="181"/>
      <c r="K19" s="181"/>
      <c r="M19" s="196">
        <f>_xll.qlCalendarAdvance(Calendar,M18,"1M","f",,Trigger)</f>
        <v>42425</v>
      </c>
      <c r="N19" s="187">
        <f>_xll.qlInterestRateIndexMaturity("AUDBBSW3M",M19)</f>
        <v>42515</v>
      </c>
      <c r="O19" s="189" t="str">
        <f>_xll.qlMakeDatedOIS(,M19,N19,OvernightIndex,0,,,,EvaluationDate)</f>
        <v>obj_002b1#0000</v>
      </c>
      <c r="P19" s="189" t="b">
        <f>_xll.qlInstrumentSetPricingEngine(O19,OisEngine)</f>
        <v>1</v>
      </c>
      <c r="Q19" s="188">
        <f>_xll.qlIndexFixing(Currency&amp;IborType&amp;"3M",_xll.qlInterestRateIndexFixingDate(Currency&amp;IborType&amp;"3M",M19),TRUE,AllTriggers)</f>
        <v>3.0518418624988622E-2</v>
      </c>
      <c r="R19" s="188">
        <f>_xll.qlOvernightIndexedSwapFairRate(O19,AllTriggers)</f>
        <v>2.7728528997375435E-2</v>
      </c>
      <c r="S19" s="190">
        <f t="shared" si="2"/>
        <v>2.7898896276131874E-3</v>
      </c>
    </row>
    <row r="20" spans="5:19" ht="11.25" customHeight="1" x14ac:dyDescent="0.2">
      <c r="E20" s="182"/>
      <c r="F20" s="182"/>
      <c r="G20" s="181"/>
      <c r="J20" s="181"/>
      <c r="K20" s="181"/>
      <c r="M20" s="196">
        <f>_xll.qlCalendarAdvance(Calendar,M19,"1M","f",,Trigger)</f>
        <v>42458</v>
      </c>
      <c r="N20" s="187">
        <f>_xll.qlInterestRateIndexMaturity("AUDBBSW3M",M20)</f>
        <v>42550</v>
      </c>
      <c r="O20" s="189" t="str">
        <f>_xll.qlMakeDatedOIS(,M20,N20,OvernightIndex,0,,,,EvaluationDate)</f>
        <v>obj_002f5#0000</v>
      </c>
      <c r="P20" s="189" t="b">
        <f>_xll.qlInstrumentSetPricingEngine(O20,OisEngine)</f>
        <v>1</v>
      </c>
      <c r="Q20" s="188">
        <f>_xll.qlIndexFixing(Currency&amp;IborType&amp;"3M",_xll.qlInterestRateIndexFixingDate(Currency&amp;IborType&amp;"3M",M20),TRUE,AllTriggers)</f>
        <v>3.1208749851123554E-2</v>
      </c>
      <c r="R20" s="188">
        <f>_xll.qlOvernightIndexedSwapFairRate(O20,AllTriggers)</f>
        <v>2.8096601992721727E-2</v>
      </c>
      <c r="S20" s="190">
        <f t="shared" si="2"/>
        <v>3.1121478584018279E-3</v>
      </c>
    </row>
    <row r="21" spans="5:19" ht="11.25" customHeight="1" x14ac:dyDescent="0.2">
      <c r="E21" s="182"/>
      <c r="F21" s="182"/>
      <c r="G21" s="181"/>
      <c r="J21" s="181"/>
      <c r="K21" s="181"/>
      <c r="M21" s="196">
        <f>_xll.qlCalendarAdvance(Calendar,M20,"1M","f",,Trigger)</f>
        <v>42489</v>
      </c>
      <c r="N21" s="187">
        <f>_xll.qlInterestRateIndexMaturity("AUDBBSW3M",M21)</f>
        <v>42580</v>
      </c>
      <c r="O21" s="189" t="str">
        <f>_xll.qlMakeDatedOIS(,M21,N21,OvernightIndex,0,,,,EvaluationDate)</f>
        <v>obj_0036b#0000</v>
      </c>
      <c r="P21" s="189" t="b">
        <f>_xll.qlInstrumentSetPricingEngine(O21,OisEngine)</f>
        <v>1</v>
      </c>
      <c r="Q21" s="188">
        <f>_xll.qlIndexFixing(Currency&amp;IborType&amp;"3M",_xll.qlInterestRateIndexFixingDate(Currency&amp;IborType&amp;"3M",M21),TRUE,AllTriggers)</f>
        <v>3.1712445356045185E-2</v>
      </c>
      <c r="R21" s="188">
        <f>_xll.qlOvernightIndexedSwapFairRate(O21,AllTriggers)</f>
        <v>2.8434403178713583E-2</v>
      </c>
      <c r="S21" s="190">
        <f t="shared" si="2"/>
        <v>3.2780421773316026E-3</v>
      </c>
    </row>
    <row r="22" spans="5:19" ht="11.25" customHeight="1" x14ac:dyDescent="0.2">
      <c r="E22" s="182"/>
      <c r="F22" s="182"/>
      <c r="G22" s="181"/>
      <c r="J22" s="181"/>
      <c r="K22" s="181"/>
      <c r="M22" s="196">
        <f>_xll.qlCalendarAdvance(Calendar,M21,"1M","f",,Trigger)</f>
        <v>42520</v>
      </c>
      <c r="N22" s="187">
        <f>_xll.qlInterestRateIndexMaturity("AUDBBSW3M",M22)</f>
        <v>42612</v>
      </c>
      <c r="O22" s="189" t="str">
        <f>_xll.qlMakeDatedOIS(,M22,N22,OvernightIndex,0,,,,EvaluationDate)</f>
        <v>obj_002dd#0000</v>
      </c>
      <c r="P22" s="189" t="b">
        <f>_xll.qlInstrumentSetPricingEngine(O22,OisEngine)</f>
        <v>1</v>
      </c>
      <c r="Q22" s="188">
        <f>_xll.qlIndexFixing(Currency&amp;IborType&amp;"3M",_xll.qlInterestRateIndexFixingDate(Currency&amp;IborType&amp;"3M",M22),TRUE,AllTriggers)</f>
        <v>3.2115887388497522E-2</v>
      </c>
      <c r="R22" s="188">
        <f>_xll.qlOvernightIndexedSwapFairRate(O22,AllTriggers)</f>
        <v>2.8796751149508019E-2</v>
      </c>
      <c r="S22" s="190">
        <f t="shared" si="2"/>
        <v>3.3191362389895021E-3</v>
      </c>
    </row>
    <row r="23" spans="5:19" ht="11.25" customHeight="1" x14ac:dyDescent="0.2">
      <c r="E23" s="182"/>
      <c r="F23" s="182"/>
      <c r="G23" s="181"/>
      <c r="J23" s="181"/>
      <c r="K23" s="181"/>
      <c r="M23" s="196">
        <f>_xll.qlCalendarAdvance(Calendar,M22,"1M","f",,Trigger)</f>
        <v>42551</v>
      </c>
      <c r="N23" s="187">
        <f>_xll.qlInterestRateIndexMaturity("AUDBBSW3M",M23)</f>
        <v>42643</v>
      </c>
      <c r="O23" s="189" t="str">
        <f>_xll.qlMakeDatedOIS(,M23,N23,OvernightIndex,0,,,,EvaluationDate)</f>
        <v>obj_003aa#0000</v>
      </c>
      <c r="P23" s="189" t="b">
        <f>_xll.qlInstrumentSetPricingEngine(O23,OisEngine)</f>
        <v>1</v>
      </c>
      <c r="Q23" s="188">
        <f>_xll.qlIndexFixing(Currency&amp;IborType&amp;"3M",_xll.qlInterestRateIndexFixingDate(Currency&amp;IborType&amp;"3M",M23),TRUE,AllTriggers)</f>
        <v>3.2397204585334682E-2</v>
      </c>
      <c r="R23" s="188">
        <f>_xll.qlOvernightIndexedSwapFairRate(O23,AllTriggers)</f>
        <v>2.9162838029666113E-2</v>
      </c>
      <c r="S23" s="190">
        <f t="shared" si="2"/>
        <v>3.2343665556685691E-3</v>
      </c>
    </row>
    <row r="24" spans="5:19" ht="11.25" customHeight="1" x14ac:dyDescent="0.2">
      <c r="E24" s="182"/>
      <c r="F24" s="182"/>
      <c r="G24" s="181"/>
      <c r="J24" s="181"/>
      <c r="K24" s="181"/>
      <c r="M24" s="196">
        <f>_xll.qlCalendarAdvance(Calendar,M23,"1M","f",,Trigger)</f>
        <v>42584</v>
      </c>
      <c r="N24" s="187">
        <f>_xll.qlInterestRateIndexMaturity("AUDBBSW3M",M24)</f>
        <v>42676</v>
      </c>
      <c r="O24" s="189" t="str">
        <f>_xll.qlMakeDatedOIS(,M24,N24,OvernightIndex,0,,,,EvaluationDate)</f>
        <v>obj_0033e#0000</v>
      </c>
      <c r="P24" s="189" t="b">
        <f>_xll.qlInstrumentSetPricingEngine(O24,OisEngine)</f>
        <v>1</v>
      </c>
      <c r="Q24" s="188">
        <f>_xll.qlIndexFixing(Currency&amp;IborType&amp;"3M",_xll.qlInterestRateIndexFixingDate(Currency&amp;IborType&amp;"3M",M24),TRUE,AllTriggers)</f>
        <v>3.2600755610211377E-2</v>
      </c>
      <c r="R24" s="188">
        <f>_xll.qlOvernightIndexedSwapFairRate(O24,AllTriggers)</f>
        <v>2.9559136600968674E-2</v>
      </c>
      <c r="S24" s="190">
        <f t="shared" si="2"/>
        <v>3.0416190092427027E-3</v>
      </c>
    </row>
    <row r="25" spans="5:19" ht="11.25" customHeight="1" x14ac:dyDescent="0.2">
      <c r="E25" s="182"/>
      <c r="F25" s="182"/>
      <c r="G25" s="181"/>
      <c r="J25" s="181"/>
      <c r="K25" s="181"/>
      <c r="M25" s="196">
        <f>_xll.qlCalendarAdvance(Calendar,M24,"1M","f",,Trigger)</f>
        <v>42615</v>
      </c>
      <c r="N25" s="187">
        <f>_xll.qlInterestRateIndexMaturity("AUDBBSW3M",M25)</f>
        <v>42706</v>
      </c>
      <c r="O25" s="189" t="str">
        <f>_xll.qlMakeDatedOIS(,M25,N25,OvernightIndex,0,,,,EvaluationDate)</f>
        <v>obj_0038d#0000</v>
      </c>
      <c r="P25" s="189" t="b">
        <f>_xll.qlInstrumentSetPricingEngine(O25,OisEngine)</f>
        <v>1</v>
      </c>
      <c r="Q25" s="188">
        <f>_xll.qlIndexFixing(Currency&amp;IborType&amp;"3M",_xll.qlInterestRateIndexFixingDate(Currency&amp;IborType&amp;"3M",M25),TRUE,AllTriggers)</f>
        <v>3.2746439476589263E-2</v>
      </c>
      <c r="R25" s="188">
        <f>_xll.qlOvernightIndexedSwapFairRate(O25,AllTriggers)</f>
        <v>2.9922319354545205E-2</v>
      </c>
      <c r="S25" s="190">
        <f t="shared" si="2"/>
        <v>2.8241201220440583E-3</v>
      </c>
    </row>
    <row r="26" spans="5:19" ht="11.25" customHeight="1" x14ac:dyDescent="0.2">
      <c r="E26" s="182"/>
      <c r="F26" s="182"/>
      <c r="G26" s="181"/>
      <c r="J26" s="181"/>
      <c r="K26" s="181"/>
      <c r="M26" s="196">
        <f>_xll.qlCalendarAdvance(Calendar,M25,"1M","f",,Trigger)</f>
        <v>42647</v>
      </c>
      <c r="N26" s="187">
        <f>_xll.qlInterestRateIndexMaturity("AUDBBSW3M",M26)</f>
        <v>42739</v>
      </c>
      <c r="O26" s="189" t="str">
        <f>_xll.qlMakeDatedOIS(,M26,N26,OvernightIndex,0,,,,EvaluationDate)</f>
        <v>obj_0031e#0000</v>
      </c>
      <c r="P26" s="189" t="b">
        <f>_xll.qlInstrumentSetPricingEngine(O26,OisEngine)</f>
        <v>1</v>
      </c>
      <c r="Q26" s="188">
        <f>_xll.qlIndexFixing(Currency&amp;IborType&amp;"3M",_xll.qlInterestRateIndexFixingDate(Currency&amp;IborType&amp;"3M",M26),TRUE,AllTriggers)</f>
        <v>3.2910245977410421E-2</v>
      </c>
      <c r="R26" s="188">
        <f>_xll.qlOvernightIndexedSwapFairRate(O26,AllTriggers)</f>
        <v>3.0301410098892836E-2</v>
      </c>
      <c r="S26" s="190">
        <f t="shared" si="2"/>
        <v>2.6088358785175854E-3</v>
      </c>
    </row>
    <row r="27" spans="5:19" ht="11.25" customHeight="1" x14ac:dyDescent="0.2">
      <c r="E27" s="182"/>
      <c r="F27" s="182"/>
      <c r="G27" s="181"/>
      <c r="J27" s="181"/>
      <c r="K27" s="181"/>
      <c r="M27" s="196">
        <f>_xll.qlCalendarAdvance(Calendar,M26,"1M","f",,Trigger)</f>
        <v>42678</v>
      </c>
      <c r="N27" s="187">
        <f>_xll.qlInterestRateIndexMaturity("AUDBBSW3M",M27)</f>
        <v>42772</v>
      </c>
      <c r="O27" s="189" t="str">
        <f>_xll.qlMakeDatedOIS(,M27,N27,OvernightIndex,0,,,,EvaluationDate)</f>
        <v>obj_002b0#0000</v>
      </c>
      <c r="P27" s="189" t="b">
        <f>_xll.qlInstrumentSetPricingEngine(O27,OisEngine)</f>
        <v>1</v>
      </c>
      <c r="Q27" s="188">
        <f>_xll.qlIndexFixing(Currency&amp;IborType&amp;"3M",_xll.qlInterestRateIndexFixingDate(Currency&amp;IborType&amp;"3M",M27),TRUE,AllTriggers)</f>
        <v>3.3096970692245153E-2</v>
      </c>
      <c r="R27" s="188">
        <f>_xll.qlOvernightIndexedSwapFairRate(O27,AllTriggers)</f>
        <v>3.0662463085199286E-2</v>
      </c>
      <c r="S27" s="190">
        <f t="shared" si="2"/>
        <v>2.4345076070458674E-3</v>
      </c>
    </row>
    <row r="28" spans="5:19" ht="11.25" customHeight="1" x14ac:dyDescent="0.2">
      <c r="E28" s="182"/>
      <c r="F28" s="182"/>
      <c r="G28" s="181"/>
      <c r="J28" s="181"/>
      <c r="K28" s="181"/>
      <c r="M28" s="196">
        <f>_xll.qlCalendarAdvance(Calendar,M27,"1M","f",,Trigger)</f>
        <v>42709</v>
      </c>
      <c r="N28" s="187">
        <f>_xll.qlInterestRateIndexMaturity("AUDBBSW3M",M28)</f>
        <v>42800</v>
      </c>
      <c r="O28" s="189" t="str">
        <f>_xll.qlMakeDatedOIS(,M28,N28,OvernightIndex,0,,,,EvaluationDate)</f>
        <v>obj_003d2#0000</v>
      </c>
      <c r="P28" s="189" t="b">
        <f>_xll.qlInstrumentSetPricingEngine(O28,OisEngine)</f>
        <v>1</v>
      </c>
      <c r="Q28" s="188">
        <f>_xll.qlIndexFixing(Currency&amp;IborType&amp;"3M",_xll.qlInterestRateIndexFixingDate(Currency&amp;IborType&amp;"3M",M28),TRUE,AllTriggers)</f>
        <v>3.3282040150046217E-2</v>
      </c>
      <c r="R28" s="188">
        <f>_xll.qlOvernightIndexedSwapFairRate(O28,AllTriggers)</f>
        <v>3.0977571564022286E-2</v>
      </c>
      <c r="S28" s="190">
        <f t="shared" si="2"/>
        <v>2.3044685860239313E-3</v>
      </c>
    </row>
    <row r="29" spans="5:19" ht="11.25" customHeight="1" x14ac:dyDescent="0.2">
      <c r="E29" s="182"/>
      <c r="F29" s="182"/>
      <c r="G29" s="181"/>
      <c r="J29" s="181"/>
      <c r="K29" s="181"/>
      <c r="M29" s="196">
        <f>_xll.qlCalendarAdvance(Calendar,M28,"1M","f",,Trigger)</f>
        <v>42740</v>
      </c>
      <c r="N29" s="187">
        <f>_xll.qlInterestRateIndexMaturity("AUDBBSW3M",M29)</f>
        <v>42830</v>
      </c>
      <c r="O29" s="189" t="str">
        <f>_xll.qlMakeDatedOIS(,M29,N29,OvernightIndex,0,,,,EvaluationDate)</f>
        <v>obj_002e9#0000</v>
      </c>
      <c r="P29" s="189" t="b">
        <f>_xll.qlInstrumentSetPricingEngine(O29,OisEngine)</f>
        <v>1</v>
      </c>
      <c r="Q29" s="188">
        <f>_xll.qlIndexFixing(Currency&amp;IborType&amp;"3M",_xll.qlInterestRateIndexFixingDate(Currency&amp;IborType&amp;"3M",M29),TRUE,AllTriggers)</f>
        <v>3.3498120194427813E-2</v>
      </c>
      <c r="R29" s="188">
        <f>_xll.qlOvernightIndexedSwapFairRate(O29,AllTriggers)</f>
        <v>3.1293829551184871E-2</v>
      </c>
      <c r="S29" s="190">
        <f t="shared" si="2"/>
        <v>2.2042906432429427E-3</v>
      </c>
    </row>
    <row r="30" spans="5:19" ht="11.25" customHeight="1" x14ac:dyDescent="0.2">
      <c r="E30" s="182"/>
      <c r="F30" s="182"/>
      <c r="G30" s="181"/>
      <c r="J30" s="181"/>
      <c r="K30" s="181"/>
      <c r="M30" s="196">
        <f>_xll.qlCalendarAdvance(Calendar,M29,"1M","f",,Trigger)</f>
        <v>42772</v>
      </c>
      <c r="N30" s="187">
        <f>_xll.qlInterestRateIndexMaturity("AUDBBSW3M",M30)</f>
        <v>42863</v>
      </c>
      <c r="O30" s="189" t="str">
        <f>_xll.qlMakeDatedOIS(,M30,N30,OvernightIndex,0,,,,EvaluationDate)</f>
        <v>obj_0035d#0000</v>
      </c>
      <c r="P30" s="189" t="b">
        <f>_xll.qlInstrumentSetPricingEngine(O30,OisEngine)</f>
        <v>1</v>
      </c>
      <c r="Q30" s="188">
        <f>_xll.qlIndexFixing(Currency&amp;IborType&amp;"3M",_xll.qlInterestRateIndexFixingDate(Currency&amp;IborType&amp;"3M",M30),TRUE,AllTriggers)</f>
        <v>3.3755676434595872E-2</v>
      </c>
      <c r="R30" s="188">
        <f>_xll.qlOvernightIndexedSwapFairRate(O30,AllTriggers)</f>
        <v>3.1619994318351025E-2</v>
      </c>
      <c r="S30" s="190">
        <f t="shared" si="2"/>
        <v>2.1356821162448469E-3</v>
      </c>
    </row>
    <row r="31" spans="5:19" ht="11.25" customHeight="1" x14ac:dyDescent="0.2">
      <c r="E31" s="182"/>
      <c r="F31" s="182"/>
      <c r="G31" s="181"/>
      <c r="J31" s="181"/>
      <c r="K31" s="181"/>
      <c r="M31" s="196">
        <f>_xll.qlCalendarAdvance(Calendar,M30,"1M","f",,Trigger)</f>
        <v>42800</v>
      </c>
      <c r="N31" s="187">
        <f>_xll.qlInterestRateIndexMaturity("AUDBBSW3M",M31)</f>
        <v>42892</v>
      </c>
      <c r="O31" s="189" t="str">
        <f>_xll.qlMakeDatedOIS(,M31,N31,OvernightIndex,0,,,,EvaluationDate)</f>
        <v>obj_002cf#0000</v>
      </c>
      <c r="P31" s="189" t="b">
        <f>_xll.qlInstrumentSetPricingEngine(O31,OisEngine)</f>
        <v>1</v>
      </c>
      <c r="Q31" s="188">
        <f>_xll.qlIndexFixing(Currency&amp;IborType&amp;"3M",_xll.qlInterestRateIndexFixingDate(Currency&amp;IborType&amp;"3M",M31),TRUE,AllTriggers)</f>
        <v>3.4001985706329327E-2</v>
      </c>
      <c r="R31" s="188">
        <f>_xll.qlOvernightIndexedSwapFairRate(O31,AllTriggers)</f>
        <v>3.1894816824004225E-2</v>
      </c>
      <c r="S31" s="190">
        <f t="shared" si="2"/>
        <v>2.1071688823251014E-3</v>
      </c>
    </row>
    <row r="32" spans="5:19" ht="11.25" customHeight="1" x14ac:dyDescent="0.2">
      <c r="E32" s="182"/>
      <c r="F32" s="182"/>
      <c r="G32" s="181"/>
      <c r="J32" s="181"/>
      <c r="K32" s="181"/>
      <c r="M32" s="196">
        <f>_xll.qlCalendarAdvance(Calendar,M31,"1M","f",,Trigger)</f>
        <v>42831</v>
      </c>
      <c r="N32" s="187">
        <f>_xll.qlInterestRateIndexMaturity("AUDBBSW3M",M32)</f>
        <v>42922</v>
      </c>
      <c r="O32" s="189" t="str">
        <f>_xll.qlMakeDatedOIS(,M32,N32,OvernightIndex,0,,,,EvaluationDate)</f>
        <v>obj_002c6#0000</v>
      </c>
      <c r="P32" s="189" t="b">
        <f>_xll.qlInstrumentSetPricingEngine(O32,OisEngine)</f>
        <v>1</v>
      </c>
      <c r="Q32" s="188">
        <f>_xll.qlIndexFixing(Currency&amp;IborType&amp;"3M",_xll.qlInterestRateIndexFixingDate(Currency&amp;IborType&amp;"3M",M32),TRUE,AllTriggers)</f>
        <v>3.4282850650498319E-2</v>
      </c>
      <c r="R32" s="188">
        <f>_xll.qlOvernightIndexedSwapFairRate(O32,AllTriggers)</f>
        <v>3.217440797785031E-2</v>
      </c>
      <c r="S32" s="190">
        <f t="shared" si="2"/>
        <v>2.1084426726480088E-3</v>
      </c>
    </row>
    <row r="33" spans="5:19" ht="11.25" customHeight="1" x14ac:dyDescent="0.2">
      <c r="E33" s="182"/>
      <c r="F33" s="182"/>
      <c r="G33" s="181"/>
      <c r="J33" s="181"/>
      <c r="K33" s="181"/>
      <c r="M33" s="196">
        <f>_xll.qlCalendarAdvance(Calendar,M32,"1M","f",,Trigger)</f>
        <v>42863</v>
      </c>
      <c r="N33" s="187">
        <f>_xll.qlInterestRateIndexMaturity("AUDBBSW3M",M33)</f>
        <v>42955</v>
      </c>
      <c r="O33" s="189" t="str">
        <f>_xll.qlMakeDatedOIS(,M33,N33,OvernightIndex,0,,,,EvaluationDate)</f>
        <v>obj_002b9#0000</v>
      </c>
      <c r="P33" s="189" t="b">
        <f>_xll.qlInstrumentSetPricingEngine(O33,OisEngine)</f>
        <v>1</v>
      </c>
      <c r="Q33" s="188">
        <f>_xll.qlIndexFixing(Currency&amp;IborType&amp;"3M",_xll.qlInterestRateIndexFixingDate(Currency&amp;IborType&amp;"3M",M33),TRUE,AllTriggers)</f>
        <v>3.4609610179709316E-2</v>
      </c>
      <c r="R33" s="188">
        <f>_xll.qlOvernightIndexedSwapFairRate(O33,AllTriggers)</f>
        <v>3.2461648969734622E-2</v>
      </c>
      <c r="S33" s="190">
        <f t="shared" si="2"/>
        <v>2.1479612099746942E-3</v>
      </c>
    </row>
    <row r="34" spans="5:19" ht="11.25" customHeight="1" x14ac:dyDescent="0.2">
      <c r="E34" s="182"/>
      <c r="F34" s="182"/>
      <c r="G34" s="181"/>
      <c r="J34" s="181"/>
      <c r="K34" s="181"/>
      <c r="M34" s="196">
        <f>_xll.qlCalendarAdvance(Calendar,M33,"1M","f",,Trigger)</f>
        <v>42894</v>
      </c>
      <c r="N34" s="187">
        <f>_xll.qlInterestRateIndexMaturity("AUDBBSW3M",M34)</f>
        <v>42986</v>
      </c>
      <c r="O34" s="189" t="str">
        <f>_xll.qlMakeDatedOIS(,M34,N34,OvernightIndex,0,,,,EvaluationDate)</f>
        <v>obj_0031d#0000</v>
      </c>
      <c r="P34" s="189" t="b">
        <f>_xll.qlInstrumentSetPricingEngine(O34,OisEngine)</f>
        <v>1</v>
      </c>
      <c r="Q34" s="188">
        <f>_xll.qlIndexFixing(Currency&amp;IborType&amp;"3M",_xll.qlInterestRateIndexFixingDate(Currency&amp;IborType&amp;"3M",M34),TRUE,AllTriggers)</f>
        <v>3.494247070013011E-2</v>
      </c>
      <c r="R34" s="188">
        <f>_xll.qlOvernightIndexedSwapFairRate(O34,AllTriggers)</f>
        <v>3.2721437551984499E-2</v>
      </c>
      <c r="S34" s="190">
        <f t="shared" si="2"/>
        <v>2.2210331481456111E-3</v>
      </c>
    </row>
    <row r="35" spans="5:19" ht="11.25" customHeight="1" x14ac:dyDescent="0.2">
      <c r="E35" s="182"/>
      <c r="F35" s="182"/>
      <c r="G35" s="181"/>
      <c r="J35" s="181"/>
      <c r="K35" s="181"/>
      <c r="M35" s="196">
        <f>_xll.qlCalendarAdvance(Calendar,M34,"1M","f",,Trigger)</f>
        <v>42926</v>
      </c>
      <c r="N35" s="187">
        <f>_xll.qlInterestRateIndexMaturity("AUDBBSW3M",M35)</f>
        <v>43018</v>
      </c>
      <c r="O35" s="189" t="str">
        <f>_xll.qlMakeDatedOIS(,M35,N35,OvernightIndex,0,,,,EvaluationDate)</f>
        <v>obj_002af#0000</v>
      </c>
      <c r="P35" s="189" t="b">
        <f>_xll.qlInstrumentSetPricingEngine(O35,OisEngine)</f>
        <v>1</v>
      </c>
      <c r="Q35" s="188">
        <f>_xll.qlIndexFixing(Currency&amp;IborType&amp;"3M",_xll.qlInterestRateIndexFixingDate(Currency&amp;IborType&amp;"3M",M35),TRUE,AllTriggers)</f>
        <v>3.5308022228567507E-2</v>
      </c>
      <c r="R35" s="188">
        <f>_xll.qlOvernightIndexedSwapFairRate(O35,AllTriggers)</f>
        <v>3.2977127430693469E-2</v>
      </c>
      <c r="S35" s="190">
        <f t="shared" si="2"/>
        <v>2.3308947978740377E-3</v>
      </c>
    </row>
    <row r="36" spans="5:19" ht="11.25" customHeight="1" x14ac:dyDescent="0.2">
      <c r="E36" s="182"/>
      <c r="F36" s="182"/>
      <c r="G36" s="181"/>
      <c r="J36" s="181"/>
      <c r="K36" s="181"/>
      <c r="M36" s="196">
        <f>_xll.qlCalendarAdvance(Calendar,M35,"1M","f",,Trigger)</f>
        <v>42957</v>
      </c>
      <c r="N36" s="187">
        <f>_xll.qlInterestRateIndexMaturity("AUDBBSW3M",M36)</f>
        <v>43049</v>
      </c>
      <c r="O36" s="189" t="str">
        <f>_xll.qlMakeDatedOIS(,M36,N36,OvernightIndex,0,,,,EvaluationDate)</f>
        <v>obj_00379#0000</v>
      </c>
      <c r="P36" s="189" t="b">
        <f>_xll.qlInstrumentSetPricingEngine(O36,OisEngine)</f>
        <v>1</v>
      </c>
      <c r="Q36" s="188">
        <f>_xll.qlIndexFixing(Currency&amp;IborType&amp;"3M",_xll.qlInterestRateIndexFixingDate(Currency&amp;IborType&amp;"3M",M36),TRUE,AllTriggers)</f>
        <v>3.5673878158419096E-2</v>
      </c>
      <c r="R36" s="188">
        <f>_xll.qlOvernightIndexedSwapFairRate(O36,AllTriggers)</f>
        <v>3.3217604596977E-2</v>
      </c>
      <c r="S36" s="190">
        <f t="shared" si="2"/>
        <v>2.4562735614420961E-3</v>
      </c>
    </row>
    <row r="37" spans="5:19" ht="11.25" customHeight="1" x14ac:dyDescent="0.2">
      <c r="E37" s="182"/>
      <c r="F37" s="182"/>
      <c r="G37" s="181"/>
      <c r="J37" s="181"/>
      <c r="K37" s="181"/>
      <c r="M37" s="196">
        <f>_xll.qlCalendarAdvance(Calendar,M36,"1M","f",,Trigger)</f>
        <v>42989</v>
      </c>
      <c r="N37" s="187">
        <f>_xll.qlInterestRateIndexMaturity("AUDBBSW3M",M37)</f>
        <v>43080</v>
      </c>
      <c r="O37" s="189" t="str">
        <f>_xll.qlMakeDatedOIS(,M37,N37,OvernightIndex,0,,,,EvaluationDate)</f>
        <v>obj_003c7#0000</v>
      </c>
      <c r="P37" s="189" t="b">
        <f>_xll.qlInstrumentSetPricingEngine(O37,OisEngine)</f>
        <v>1</v>
      </c>
      <c r="Q37" s="188">
        <f>_xll.qlIndexFixing(Currency&amp;IborType&amp;"3M",_xll.qlInterestRateIndexFixingDate(Currency&amp;IborType&amp;"3M",M37),TRUE,AllTriggers)</f>
        <v>3.6043193056099064E-2</v>
      </c>
      <c r="R37" s="188">
        <f>_xll.qlOvernightIndexedSwapFairRate(O37,AllTriggers)</f>
        <v>3.3459510192918637E-2</v>
      </c>
      <c r="S37" s="190">
        <f t="shared" si="2"/>
        <v>2.5836828631804268E-3</v>
      </c>
    </row>
    <row r="38" spans="5:19" ht="11.25" customHeight="1" x14ac:dyDescent="0.2">
      <c r="E38" s="182"/>
      <c r="F38" s="182"/>
      <c r="G38" s="181"/>
      <c r="J38" s="181"/>
      <c r="K38" s="181"/>
      <c r="M38" s="196">
        <f>_xll.qlCalendarAdvance(Calendar,M37,"1M","f",,Trigger)</f>
        <v>43019</v>
      </c>
      <c r="N38" s="187">
        <f>_xll.qlInterestRateIndexMaturity("AUDBBSW3M",M38)</f>
        <v>43111</v>
      </c>
      <c r="O38" s="189" t="str">
        <f>_xll.qlMakeDatedOIS(,M38,N38,OvernightIndex,0,,,,EvaluationDate)</f>
        <v>obj_003b9#0000</v>
      </c>
      <c r="P38" s="189" t="b">
        <f>_xll.qlInstrumentSetPricingEngine(O38,OisEngine)</f>
        <v>1</v>
      </c>
      <c r="Q38" s="188">
        <f>_xll.qlIndexFixing(Currency&amp;IborType&amp;"3M",_xll.qlInterestRateIndexFixingDate(Currency&amp;IborType&amp;"3M",M38),TRUE,AllTriggers)</f>
        <v>3.6393054770679403E-2</v>
      </c>
      <c r="R38" s="188">
        <f>_xll.qlOvernightIndexedSwapFairRate(O38,AllTriggers)</f>
        <v>3.3701291160818346E-2</v>
      </c>
      <c r="S38" s="190">
        <f t="shared" si="2"/>
        <v>2.6917636098610573E-3</v>
      </c>
    </row>
    <row r="39" spans="5:19" ht="11.25" customHeight="1" x14ac:dyDescent="0.2">
      <c r="E39" s="182"/>
      <c r="F39" s="182"/>
      <c r="G39" s="181"/>
      <c r="J39" s="181"/>
      <c r="K39" s="181"/>
      <c r="M39" s="196">
        <f>_xll.qlCalendarAdvance(Calendar,M38,"1M","f",,Trigger)</f>
        <v>43052</v>
      </c>
      <c r="N39" s="187">
        <f>_xll.qlInterestRateIndexMaturity("AUDBBSW3M",M39)</f>
        <v>43144</v>
      </c>
      <c r="O39" s="189" t="str">
        <f>_xll.qlMakeDatedOIS(,M39,N39,OvernightIndex,0,,,,EvaluationDate)</f>
        <v>obj_0034f#0000</v>
      </c>
      <c r="P39" s="189" t="b">
        <f>_xll.qlInstrumentSetPricingEngine(O39,OisEngine)</f>
        <v>1</v>
      </c>
      <c r="Q39" s="188">
        <f>_xll.qlIndexFixing(Currency&amp;IborType&amp;"3M",_xll.qlInterestRateIndexFixingDate(Currency&amp;IborType&amp;"3M",M39),TRUE,AllTriggers)</f>
        <v>3.6754975558736656E-2</v>
      </c>
      <c r="R39" s="188">
        <f>_xll.qlOvernightIndexedSwapFairRate(O39,AllTriggers)</f>
        <v>3.3967388594832705E-2</v>
      </c>
      <c r="S39" s="190">
        <f t="shared" si="2"/>
        <v>2.7875869639039513E-3</v>
      </c>
    </row>
    <row r="40" spans="5:19" ht="11.25" customHeight="1" x14ac:dyDescent="0.2">
      <c r="E40" s="182"/>
      <c r="F40" s="182"/>
      <c r="G40" s="181"/>
      <c r="J40" s="181"/>
      <c r="K40" s="181"/>
      <c r="M40" s="196">
        <f>_xll.qlCalendarAdvance(Calendar,M39,"1M","f",,Trigger)</f>
        <v>43082</v>
      </c>
      <c r="N40" s="187">
        <f>_xll.qlInterestRateIndexMaturity("AUDBBSW3M",M40)</f>
        <v>43172</v>
      </c>
      <c r="O40" s="189" t="str">
        <f>_xll.qlMakeDatedOIS(,M40,N40,OvernightIndex,0,,,,EvaluationDate)</f>
        <v>obj_0039a#0000</v>
      </c>
      <c r="P40" s="189" t="b">
        <f>_xll.qlInstrumentSetPricingEngine(O40,OisEngine)</f>
        <v>1</v>
      </c>
      <c r="Q40" s="188">
        <f>_xll.qlIndexFixing(Currency&amp;IborType&amp;"3M",_xll.qlInterestRateIndexFixingDate(Currency&amp;IborType&amp;"3M",M40),TRUE,AllTriggers)</f>
        <v>3.7056775893244263E-2</v>
      </c>
      <c r="R40" s="188">
        <f>_xll.qlOvernightIndexedSwapFairRate(O40,AllTriggers)</f>
        <v>3.4203243530396499E-2</v>
      </c>
      <c r="S40" s="190">
        <f t="shared" si="2"/>
        <v>2.8535323628477646E-3</v>
      </c>
    </row>
    <row r="41" spans="5:19" ht="11.25" customHeight="1" x14ac:dyDescent="0.2">
      <c r="E41" s="182"/>
      <c r="F41" s="182"/>
      <c r="G41" s="181"/>
      <c r="J41" s="181"/>
      <c r="K41" s="181"/>
      <c r="M41" s="196">
        <f>_xll.qlCalendarAdvance(Calendar,M40,"1M","f",,Trigger)</f>
        <v>43115</v>
      </c>
      <c r="N41" s="187">
        <f>_xll.qlInterestRateIndexMaturity("AUDBBSW3M",M41)</f>
        <v>43203</v>
      </c>
      <c r="O41" s="189" t="str">
        <f>_xll.qlMakeDatedOIS(,M41,N41,OvernightIndex,0,,,,EvaluationDate)</f>
        <v>obj_0032d#0000</v>
      </c>
      <c r="P41" s="189" t="b">
        <f>_xll.qlInstrumentSetPricingEngine(O41,OisEngine)</f>
        <v>1</v>
      </c>
      <c r="Q41" s="188">
        <f>_xll.qlIndexFixing(Currency&amp;IborType&amp;"3M",_xll.qlInterestRateIndexFixingDate(Currency&amp;IborType&amp;"3M",M41),TRUE,AllTriggers)</f>
        <v>3.7376219654442877E-2</v>
      </c>
      <c r="R41" s="188">
        <f>_xll.qlOvernightIndexedSwapFairRate(O41,AllTriggers)</f>
        <v>3.4469542648991297E-2</v>
      </c>
      <c r="S41" s="190">
        <f t="shared" si="2"/>
        <v>2.90667700545158E-3</v>
      </c>
    </row>
    <row r="42" spans="5:19" ht="11.25" customHeight="1" x14ac:dyDescent="0.2">
      <c r="E42" s="182"/>
      <c r="F42" s="182"/>
      <c r="G42" s="181"/>
      <c r="J42" s="181"/>
      <c r="K42" s="181"/>
      <c r="M42" s="196">
        <f>_xll.qlCalendarAdvance(Calendar,M41,"1M","f",,Trigger)</f>
        <v>43146</v>
      </c>
      <c r="N42" s="187">
        <f>_xll.qlInterestRateIndexMaturity("AUDBBSW3M",M42)</f>
        <v>43235</v>
      </c>
      <c r="O42" s="189" t="str">
        <f>_xll.qlMakeDatedOIS(,M42,N42,OvernightIndex,0,,,,EvaluationDate)</f>
        <v>obj_0031c#0000</v>
      </c>
      <c r="P42" s="189" t="b">
        <f>_xll.qlInstrumentSetPricingEngine(O42,OisEngine)</f>
        <v>1</v>
      </c>
      <c r="Q42" s="188">
        <f>_xll.qlIndexFixing(Currency&amp;IborType&amp;"3M",_xll.qlInterestRateIndexFixingDate(Currency&amp;IborType&amp;"3M",M42),TRUE,AllTriggers)</f>
        <v>3.7681844210921106E-2</v>
      </c>
      <c r="R42" s="188">
        <f>_xll.qlOvernightIndexedSwapFairRate(O42,AllTriggers)</f>
        <v>3.4742614621968364E-2</v>
      </c>
      <c r="S42" s="190">
        <f t="shared" si="2"/>
        <v>2.9392295889527423E-3</v>
      </c>
    </row>
    <row r="43" spans="5:19" ht="11.25" customHeight="1" x14ac:dyDescent="0.2">
      <c r="E43" s="182"/>
      <c r="F43" s="182"/>
      <c r="G43" s="181"/>
      <c r="J43" s="181"/>
      <c r="K43" s="181"/>
      <c r="M43" s="196">
        <f>_xll.qlCalendarAdvance(Calendar,M42,"1M","f",,Trigger)</f>
        <v>43174</v>
      </c>
      <c r="N43" s="187">
        <f>_xll.qlInterestRateIndexMaturity("AUDBBSW3M",M43)</f>
        <v>43266</v>
      </c>
      <c r="O43" s="189" t="str">
        <f>_xll.qlMakeDatedOIS(,M43,N43,OvernightIndex,0,,,,EvaluationDate)</f>
        <v>obj_002ae#0000</v>
      </c>
      <c r="P43" s="189" t="b">
        <f>_xll.qlInstrumentSetPricingEngine(O43,OisEngine)</f>
        <v>1</v>
      </c>
      <c r="Q43" s="188">
        <f>_xll.qlIndexFixing(Currency&amp;IborType&amp;"3M",_xll.qlInterestRateIndexFixingDate(Currency&amp;IborType&amp;"3M",M43),TRUE,AllTriggers)</f>
        <v>3.7959224992054882E-2</v>
      </c>
      <c r="R43" s="188">
        <f>_xll.qlOvernightIndexedSwapFairRate(O43,AllTriggers)</f>
        <v>3.5007339077463062E-2</v>
      </c>
      <c r="S43" s="190">
        <f t="shared" si="2"/>
        <v>2.9518859145918203E-3</v>
      </c>
    </row>
    <row r="44" spans="5:19" ht="11.25" customHeight="1" x14ac:dyDescent="0.2">
      <c r="E44" s="182"/>
      <c r="F44" s="182"/>
      <c r="G44" s="181"/>
      <c r="J44" s="181"/>
      <c r="K44" s="181"/>
      <c r="M44" s="196">
        <f>_xll.qlCalendarAdvance(Calendar,M43,"1M","f",,Trigger)</f>
        <v>43206</v>
      </c>
      <c r="N44" s="187">
        <f>_xll.qlInterestRateIndexMaturity("AUDBBSW3M",M44)</f>
        <v>43297</v>
      </c>
      <c r="O44" s="189" t="str">
        <f>_xll.qlMakeDatedOIS(,M44,N44,OvernightIndex,0,,,,EvaluationDate)</f>
        <v>obj_00378#0000</v>
      </c>
      <c r="P44" s="189" t="b">
        <f>_xll.qlInstrumentSetPricingEngine(O44,OisEngine)</f>
        <v>1</v>
      </c>
      <c r="Q44" s="188">
        <f>_xll.qlIndexFixing(Currency&amp;IborType&amp;"3M",_xll.qlInterestRateIndexFixingDate(Currency&amp;IborType&amp;"3M",M44),TRUE,AllTriggers)</f>
        <v>3.8234051977519203E-2</v>
      </c>
      <c r="R44" s="188">
        <f>_xll.qlOvernightIndexedSwapFairRate(O44,AllTriggers)</f>
        <v>3.5288456266538801E-2</v>
      </c>
      <c r="S44" s="190">
        <f t="shared" si="2"/>
        <v>2.9455957109804018E-3</v>
      </c>
    </row>
    <row r="45" spans="5:19" ht="11.25" customHeight="1" x14ac:dyDescent="0.2">
      <c r="E45" s="182"/>
      <c r="F45" s="182"/>
      <c r="G45" s="181"/>
      <c r="J45" s="181"/>
      <c r="K45" s="181"/>
      <c r="M45" s="196">
        <f>_xll.qlCalendarAdvance(Calendar,M44,"1M","f",,Trigger)</f>
        <v>43236</v>
      </c>
      <c r="N45" s="187">
        <f>_xll.qlInterestRateIndexMaturity("AUDBBSW3M",M45)</f>
        <v>43328</v>
      </c>
      <c r="O45" s="189" t="str">
        <f>_xll.qlMakeDatedOIS(,M45,N45,OvernightIndex,0,,,,EvaluationDate)</f>
        <v>obj_0036a#0000</v>
      </c>
      <c r="P45" s="189" t="b">
        <f>_xll.qlInstrumentSetPricingEngine(O45,OisEngine)</f>
        <v>1</v>
      </c>
      <c r="Q45" s="188">
        <f>_xll.qlIndexFixing(Currency&amp;IborType&amp;"3M",_xll.qlInterestRateIndexFixingDate(Currency&amp;IborType&amp;"3M",M45),TRUE,AllTriggers)</f>
        <v>3.8490482822845562E-2</v>
      </c>
      <c r="R45" s="188">
        <f>_xll.qlOvernightIndexedSwapFairRate(O45,AllTriggers)</f>
        <v>3.5569756489638206E-2</v>
      </c>
      <c r="S45" s="190">
        <f t="shared" si="2"/>
        <v>2.920726333207356E-3</v>
      </c>
    </row>
    <row r="46" spans="5:19" ht="11.25" customHeight="1" x14ac:dyDescent="0.2">
      <c r="E46" s="182"/>
      <c r="F46" s="182"/>
      <c r="G46" s="181"/>
      <c r="J46" s="181"/>
      <c r="K46" s="181"/>
      <c r="M46" s="196">
        <f>_xll.qlCalendarAdvance(Calendar,M45,"1M","f",,Trigger)</f>
        <v>43269</v>
      </c>
      <c r="N46" s="187">
        <f>_xll.qlInterestRateIndexMaturity("AUDBBSW3M",M46)</f>
        <v>43361</v>
      </c>
      <c r="O46" s="189" t="str">
        <f>_xll.qlMakeDatedOIS(,M46,N46,OvernightIndex,0,,,,EvaluationDate)</f>
        <v>obj_002dc#0000</v>
      </c>
      <c r="P46" s="189" t="b">
        <f>_xll.qlInstrumentSetPricingEngine(O46,OisEngine)</f>
        <v>1</v>
      </c>
      <c r="Q46" s="188">
        <f>_xll.qlIndexFixing(Currency&amp;IborType&amp;"3M",_xll.qlInterestRateIndexFixingDate(Currency&amp;IborType&amp;"3M",M46),TRUE,AllTriggers)</f>
        <v>3.8751055301728371E-2</v>
      </c>
      <c r="R46" s="188">
        <f>_xll.qlOvernightIndexedSwapFairRate(O46,AllTriggers)</f>
        <v>3.5878420473935392E-2</v>
      </c>
      <c r="S46" s="190">
        <f t="shared" si="2"/>
        <v>2.8726348277929789E-3</v>
      </c>
    </row>
    <row r="47" spans="5:19" ht="11.25" customHeight="1" x14ac:dyDescent="0.2">
      <c r="E47" s="182"/>
      <c r="F47" s="182"/>
      <c r="G47" s="181"/>
      <c r="J47" s="181"/>
      <c r="K47" s="181"/>
      <c r="M47" s="196">
        <f>_xll.qlCalendarAdvance(Calendar,M46,"1M","f",,Trigger)</f>
        <v>43299</v>
      </c>
      <c r="N47" s="187">
        <f>_xll.qlInterestRateIndexMaturity("AUDBBSW3M",M47)</f>
        <v>43391</v>
      </c>
      <c r="O47" s="189" t="str">
        <f>_xll.qlMakeDatedOIS(,M47,N47,OvernightIndex,0,,,,EvaluationDate)</f>
        <v>obj_003a9#0000</v>
      </c>
      <c r="P47" s="189" t="b">
        <f>_xll.qlInstrumentSetPricingEngine(O47,OisEngine)</f>
        <v>1</v>
      </c>
      <c r="Q47" s="188">
        <f>_xll.qlIndexFixing(Currency&amp;IborType&amp;"3M",_xll.qlInterestRateIndexFixingDate(Currency&amp;IborType&amp;"3M",M47),TRUE,AllTriggers)</f>
        <v>3.8975458034909607E-2</v>
      </c>
      <c r="R47" s="188">
        <f>_xll.qlOvernightIndexedSwapFairRate(O47,AllTriggers)</f>
        <v>3.6161929894131334E-2</v>
      </c>
      <c r="S47" s="190">
        <f t="shared" si="2"/>
        <v>2.8135281407782736E-3</v>
      </c>
    </row>
    <row r="48" spans="5:19" ht="11.25" customHeight="1" x14ac:dyDescent="0.2">
      <c r="E48" s="182"/>
      <c r="F48" s="182"/>
      <c r="G48" s="181"/>
      <c r="J48" s="181"/>
      <c r="K48" s="181"/>
      <c r="M48" s="196">
        <f>_xll.qlCalendarAdvance(Calendar,M47,"1M","f",,Trigger)</f>
        <v>43332</v>
      </c>
      <c r="N48" s="187">
        <f>_xll.qlInterestRateIndexMaturity("AUDBBSW3M",M48)</f>
        <v>43424</v>
      </c>
      <c r="O48" s="189" t="str">
        <f>_xll.qlMakeDatedOIS(,M48,N48,OvernightIndex,0,,,,EvaluationDate)</f>
        <v>obj_0033d#0000</v>
      </c>
      <c r="P48" s="189" t="b">
        <f>_xll.qlInstrumentSetPricingEngine(O48,OisEngine)</f>
        <v>1</v>
      </c>
      <c r="Q48" s="188">
        <f>_xll.qlIndexFixing(Currency&amp;IborType&amp;"3M",_xll.qlInterestRateIndexFixingDate(Currency&amp;IborType&amp;"3M",M48),TRUE,AllTriggers)</f>
        <v>3.9212088237482165E-2</v>
      </c>
      <c r="R48" s="188">
        <f>_xll.qlOvernightIndexedSwapFairRate(O48,AllTriggers)</f>
        <v>3.6466413092844686E-2</v>
      </c>
      <c r="S48" s="190">
        <f t="shared" si="2"/>
        <v>2.7456751446374786E-3</v>
      </c>
    </row>
    <row r="49" spans="5:20" ht="11.25" customHeight="1" x14ac:dyDescent="0.2">
      <c r="E49" s="182"/>
      <c r="F49" s="182"/>
      <c r="G49" s="181"/>
      <c r="J49" s="181"/>
      <c r="K49" s="181"/>
      <c r="M49" s="196">
        <f>_xll.qlCalendarAdvance(Calendar,M48,"1M","f",,Trigger)</f>
        <v>43363</v>
      </c>
      <c r="N49" s="187">
        <f>_xll.qlInterestRateIndexMaturity("AUDBBSW3M",M49)</f>
        <v>43454</v>
      </c>
      <c r="O49" s="189" t="str">
        <f>_xll.qlMakeDatedOIS(,M49,N49,OvernightIndex,0,,,,EvaluationDate)</f>
        <v>obj_0038c#0000</v>
      </c>
      <c r="P49" s="189" t="b">
        <f>_xll.qlInstrumentSetPricingEngine(O49,OisEngine)</f>
        <v>1</v>
      </c>
      <c r="Q49" s="188">
        <f>_xll.qlIndexFixing(Currency&amp;IborType&amp;"3M",_xll.qlInterestRateIndexFixingDate(Currency&amp;IborType&amp;"3M",M49),TRUE,AllTriggers)</f>
        <v>3.9422714236631497E-2</v>
      </c>
      <c r="R49" s="188">
        <f>_xll.qlOvernightIndexedSwapFairRate(O49,AllTriggers)</f>
        <v>3.6728669936786133E-2</v>
      </c>
      <c r="S49" s="190">
        <f t="shared" si="2"/>
        <v>2.6940442998453634E-3</v>
      </c>
    </row>
    <row r="50" spans="5:20" ht="11.25" customHeight="1" x14ac:dyDescent="0.2">
      <c r="E50" s="182"/>
      <c r="F50" s="182"/>
      <c r="G50" s="181"/>
      <c r="J50" s="181"/>
      <c r="K50" s="181"/>
      <c r="M50" s="196">
        <f>_xll.qlCalendarAdvance(Calendar,M49,"1M","f",,Trigger)</f>
        <v>43395</v>
      </c>
      <c r="N50" s="187">
        <f>_xll.qlInterestRateIndexMaturity("AUDBBSW3M",M50)</f>
        <v>43487</v>
      </c>
      <c r="O50" s="189" t="str">
        <f>_xll.qlMakeDatedOIS(,M50,N50,OvernightIndex,0,,,,EvaluationDate)</f>
        <v>obj_0031b#0000</v>
      </c>
      <c r="P50" s="189" t="b">
        <f>_xll.qlInstrumentSetPricingEngine(O50,OisEngine)</f>
        <v>1</v>
      </c>
      <c r="Q50" s="188">
        <f>_xll.qlIndexFixing(Currency&amp;IborType&amp;"3M",_xll.qlInterestRateIndexFixingDate(Currency&amp;IborType&amp;"3M",M50),TRUE,AllTriggers)</f>
        <v>3.9647776525850824E-2</v>
      </c>
      <c r="R50" s="188">
        <f>_xll.qlOvernightIndexedSwapFairRate(O50,AllTriggers)</f>
        <v>3.6985196457571576E-2</v>
      </c>
      <c r="S50" s="190">
        <f t="shared" si="2"/>
        <v>2.662580068279248E-3</v>
      </c>
    </row>
    <row r="51" spans="5:20" ht="11.25" customHeight="1" x14ac:dyDescent="0.2">
      <c r="E51" s="182"/>
      <c r="F51" s="182"/>
      <c r="G51" s="181"/>
      <c r="J51" s="181"/>
      <c r="K51" s="181"/>
      <c r="M51" s="196">
        <f>_xll.qlCalendarAdvance(Calendar,M50,"1M","f",,Trigger)</f>
        <v>43426</v>
      </c>
      <c r="N51" s="187">
        <f>_xll.qlInterestRateIndexMaturity("AUDBBSW3M",M51)</f>
        <v>43518</v>
      </c>
      <c r="O51" s="189" t="str">
        <f>_xll.qlMakeDatedOIS(,M51,N51,OvernightIndex,0,,,,EvaluationDate)</f>
        <v>obj_002ad#0000</v>
      </c>
      <c r="P51" s="189" t="b">
        <f>_xll.qlInstrumentSetPricingEngine(O51,OisEngine)</f>
        <v>1</v>
      </c>
      <c r="Q51" s="188">
        <f>_xll.qlIndexFixing(Currency&amp;IborType&amp;"3M",_xll.qlInterestRateIndexFixingDate(Currency&amp;IborType&amp;"3M",M51),TRUE,AllTriggers)</f>
        <v>3.9857132694079235E-2</v>
      </c>
      <c r="R51" s="188">
        <f>_xll.qlOvernightIndexedSwapFairRate(O51,AllTriggers)</f>
        <v>3.7202206225770321E-2</v>
      </c>
      <c r="S51" s="190">
        <f t="shared" si="2"/>
        <v>2.6549264683089144E-3</v>
      </c>
    </row>
    <row r="52" spans="5:20" ht="11.25" customHeight="1" x14ac:dyDescent="0.2">
      <c r="E52" s="182"/>
      <c r="F52" s="182"/>
      <c r="G52" s="181"/>
      <c r="J52" s="181"/>
      <c r="K52" s="181"/>
      <c r="M52" s="196">
        <f>_xll.qlCalendarAdvance(Calendar,M51,"1M","f",,Trigger)</f>
        <v>43458</v>
      </c>
      <c r="N52" s="187">
        <f>_xll.qlInterestRateIndexMaturity("AUDBBSW3M",M52)</f>
        <v>43549</v>
      </c>
      <c r="O52" s="189" t="str">
        <f>_xll.qlMakeDatedOIS(,M52,N52,OvernightIndex,0,,,,EvaluationDate)</f>
        <v>obj_002f4#0000</v>
      </c>
      <c r="P52" s="189" t="b">
        <f>_xll.qlInstrumentSetPricingEngine(O52,OisEngine)</f>
        <v>1</v>
      </c>
      <c r="Q52" s="188">
        <f>_xll.qlIndexFixing(Currency&amp;IborType&amp;"3M",_xll.qlInterestRateIndexFixingDate(Currency&amp;IborType&amp;"3M",M52),TRUE,AllTriggers)</f>
        <v>4.0064379712560876E-2</v>
      </c>
      <c r="R52" s="188">
        <f>_xll.qlOvernightIndexedSwapFairRate(O52,AllTriggers)</f>
        <v>3.7394886257771154E-2</v>
      </c>
      <c r="S52" s="190">
        <f t="shared" si="2"/>
        <v>2.6694934547897217E-3</v>
      </c>
    </row>
    <row r="53" spans="5:20" ht="11.25" customHeight="1" x14ac:dyDescent="0.2">
      <c r="E53" s="182"/>
      <c r="F53" s="182"/>
      <c r="G53" s="181"/>
      <c r="J53" s="181"/>
      <c r="K53" s="181"/>
      <c r="M53" s="196">
        <f>_xll.qlCalendarAdvance(Calendar,M52,"1M","f",,Trigger)</f>
        <v>43489</v>
      </c>
      <c r="N53" s="187">
        <f>_xll.qlInterestRateIndexMaturity("AUDBBSW3M",M53)</f>
        <v>43579</v>
      </c>
      <c r="O53" s="189" t="str">
        <f>_xll.qlMakeDatedOIS(,M53,N53,OvernightIndex,0,,,,EvaluationDate)</f>
        <v>obj_003c6#0000</v>
      </c>
      <c r="P53" s="189" t="b">
        <f>_xll.qlInstrumentSetPricingEngine(O53,OisEngine)</f>
        <v>1</v>
      </c>
      <c r="Q53" s="188">
        <f>_xll.qlIndexFixing(Currency&amp;IborType&amp;"3M",_xll.qlInterestRateIndexFixingDate(Currency&amp;IborType&amp;"3M",M53),TRUE,AllTriggers)</f>
        <v>4.0261745472376612E-2</v>
      </c>
      <c r="R53" s="188">
        <f>_xll.qlOvernightIndexedSwapFairRate(O53,AllTriggers)</f>
        <v>3.7556289484026451E-2</v>
      </c>
      <c r="S53" s="190">
        <f t="shared" si="2"/>
        <v>2.7054559883501611E-3</v>
      </c>
    </row>
    <row r="54" spans="5:20" ht="11.25" customHeight="1" x14ac:dyDescent="0.2">
      <c r="E54" s="182"/>
      <c r="F54" s="182"/>
      <c r="G54" s="181"/>
      <c r="J54" s="181"/>
      <c r="K54" s="181"/>
      <c r="M54" s="196">
        <f>_xll.qlCalendarAdvance(Calendar,M53,"1M","f",,Trigger)</f>
        <v>43521</v>
      </c>
      <c r="N54" s="187">
        <f>_xll.qlInterestRateIndexMaturity("AUDBBSW3M",M54)</f>
        <v>43612</v>
      </c>
      <c r="O54" s="189" t="str">
        <f>_xll.qlMakeDatedOIS(,M54,N54,OvernightIndex,0,,,,EvaluationDate)</f>
        <v>obj_0035c#0000</v>
      </c>
      <c r="P54" s="189" t="b">
        <f>_xll.qlInstrumentSetPricingEngine(O54,OisEngine)</f>
        <v>1</v>
      </c>
      <c r="Q54" s="188">
        <f>_xll.qlIndexFixing(Currency&amp;IborType&amp;"3M",_xll.qlInterestRateIndexFixingDate(Currency&amp;IborType&amp;"3M",M54),TRUE,AllTriggers)</f>
        <v>4.0473118691806462E-2</v>
      </c>
      <c r="R54" s="188">
        <f>_xll.qlOvernightIndexedSwapFairRate(O54,AllTriggers)</f>
        <v>3.7704752901541051E-2</v>
      </c>
      <c r="S54" s="190">
        <f t="shared" si="2"/>
        <v>2.7683657902654105E-3</v>
      </c>
    </row>
    <row r="55" spans="5:20" ht="11.25" customHeight="1" x14ac:dyDescent="0.2">
      <c r="E55" s="182"/>
      <c r="F55" s="182"/>
      <c r="G55" s="181"/>
      <c r="J55" s="181"/>
      <c r="K55" s="181"/>
      <c r="M55" s="196">
        <f>_xll.qlCalendarAdvance(Calendar,M54,"1M","f",,Trigger)</f>
        <v>43549</v>
      </c>
      <c r="N55" s="187">
        <f>_xll.qlInterestRateIndexMaturity("AUDBBSW3M",M55)</f>
        <v>43641</v>
      </c>
      <c r="O55" s="189" t="str">
        <f>_xll.qlMakeDatedOIS(,M55,N55,OvernightIndex,0,,,,EvaluationDate)</f>
        <v>obj_002ce#0000</v>
      </c>
      <c r="P55" s="189" t="b">
        <f>_xll.qlInstrumentSetPricingEngine(O55,OisEngine)</f>
        <v>1</v>
      </c>
      <c r="Q55" s="188">
        <f>_xll.qlIndexFixing(Currency&amp;IborType&amp;"3M",_xll.qlInterestRateIndexFixingDate(Currency&amp;IborType&amp;"3M",M55),TRUE,AllTriggers)</f>
        <v>4.0655856012940257E-2</v>
      </c>
      <c r="R55" s="188">
        <f>_xll.qlOvernightIndexedSwapFairRate(O55,AllTriggers)</f>
        <v>3.7812133473331296E-2</v>
      </c>
      <c r="S55" s="190">
        <f t="shared" si="2"/>
        <v>2.8437225396089616E-3</v>
      </c>
    </row>
    <row r="56" spans="5:20" ht="11.25" customHeight="1" x14ac:dyDescent="0.2">
      <c r="E56" s="182"/>
      <c r="F56" s="182"/>
      <c r="G56" s="181"/>
      <c r="J56" s="181"/>
      <c r="K56" s="181"/>
      <c r="M56" s="196">
        <f>_xll.qlCalendarAdvance(Calendar,M55,"1M","f",,Trigger)</f>
        <v>43581</v>
      </c>
      <c r="N56" s="187">
        <f>_xll.qlInterestRateIndexMaturity("AUDBBSW3M",M56)</f>
        <v>43672</v>
      </c>
      <c r="O56" s="189" t="str">
        <f>_xll.qlMakeDatedOIS(,M56,N56,OvernightIndex,0,,,,EvaluationDate)</f>
        <v>obj_002c5#0000</v>
      </c>
      <c r="P56" s="189" t="b">
        <f>_xll.qlInstrumentSetPricingEngine(O56,OisEngine)</f>
        <v>1</v>
      </c>
      <c r="Q56" s="188">
        <f>_xll.qlIndexFixing(Currency&amp;IborType&amp;"3M",_xll.qlInterestRateIndexFixingDate(Currency&amp;IborType&amp;"3M",M56),TRUE,AllTriggers)</f>
        <v>4.0849943813600492E-2</v>
      </c>
      <c r="R56" s="188">
        <f>_xll.qlOvernightIndexedSwapFairRate(O56,AllTriggers)</f>
        <v>3.7902014802584247E-2</v>
      </c>
      <c r="S56" s="190">
        <f t="shared" si="2"/>
        <v>2.9479290110162454E-3</v>
      </c>
    </row>
    <row r="57" spans="5:20" ht="11.25" customHeight="1" x14ac:dyDescent="0.2">
      <c r="E57" s="182"/>
      <c r="F57" s="182"/>
      <c r="G57" s="181"/>
      <c r="J57" s="181"/>
      <c r="K57" s="181"/>
      <c r="M57" s="196">
        <f>_xll.qlCalendarAdvance(Calendar,M56,"1M","f",,Trigger)</f>
        <v>43612</v>
      </c>
      <c r="N57" s="187">
        <f>_xll.qlInterestRateIndexMaturity("AUDBBSW3M",M57)</f>
        <v>43704</v>
      </c>
      <c r="O57" s="189" t="str">
        <f>_xll.qlMakeDatedOIS(,M57,N57,OvernightIndex,0,,,,EvaluationDate)</f>
        <v>obj_002b8#0000</v>
      </c>
      <c r="P57" s="189" t="b">
        <f>_xll.qlInstrumentSetPricingEngine(O57,OisEngine)</f>
        <v>1</v>
      </c>
      <c r="Q57" s="188">
        <f>_xll.qlIndexFixing(Currency&amp;IborType&amp;"3M",_xll.qlInterestRateIndexFixingDate(Currency&amp;IborType&amp;"3M",M57),TRUE,AllTriggers)</f>
        <v>4.1045187468295052E-2</v>
      </c>
      <c r="R57" s="188">
        <f>_xll.qlOvernightIndexedSwapFairRate(O57,AllTriggers)</f>
        <v>3.7969150793235693E-2</v>
      </c>
      <c r="S57" s="190">
        <f t="shared" si="2"/>
        <v>3.0760366750593598E-3</v>
      </c>
    </row>
    <row r="58" spans="5:20" ht="11.25" customHeight="1" x14ac:dyDescent="0.2">
      <c r="E58" s="182"/>
      <c r="F58" s="182"/>
      <c r="G58" s="181"/>
      <c r="J58" s="181"/>
      <c r="K58" s="181"/>
      <c r="M58" s="196">
        <f>_xll.qlCalendarAdvance(Calendar,M57,"1M","f",,Trigger)</f>
        <v>43643</v>
      </c>
      <c r="N58" s="187">
        <f>_xll.qlInterestRateIndexMaturity("AUDBBSW3M",M58)</f>
        <v>43735</v>
      </c>
      <c r="O58" s="189" t="str">
        <f>_xll.qlMakeDatedOIS(,M58,N58,OvernightIndex,0,,,,EvaluationDate)</f>
        <v>obj_0031a#0000</v>
      </c>
      <c r="P58" s="189" t="b">
        <f>_xll.qlInstrumentSetPricingEngine(O58,OisEngine)</f>
        <v>1</v>
      </c>
      <c r="Q58" s="188">
        <f>_xll.qlIndexFixing(Currency&amp;IborType&amp;"3M",_xll.qlInterestRateIndexFixingDate(Currency&amp;IborType&amp;"3M",M58),TRUE,AllTriggers)</f>
        <v>4.1231838423055861E-2</v>
      </c>
      <c r="R58" s="188">
        <f>_xll.qlOvernightIndexedSwapFairRate(O58,AllTriggers)</f>
        <v>3.8008129957571093E-2</v>
      </c>
      <c r="S58" s="190">
        <f t="shared" si="2"/>
        <v>3.2237084654847675E-3</v>
      </c>
    </row>
    <row r="59" spans="5:20" ht="11.25" customHeight="1" x14ac:dyDescent="0.2">
      <c r="E59" s="182"/>
      <c r="F59" s="182"/>
      <c r="G59" s="181"/>
      <c r="J59" s="181"/>
      <c r="K59" s="181"/>
      <c r="M59" s="196">
        <f>_xll.qlCalendarAdvance(Calendar,M58,"1M","f",,Trigger)</f>
        <v>43675</v>
      </c>
      <c r="N59" s="187">
        <f>_xll.qlInterestRateIndexMaturity("AUDBBSW3M",M59)</f>
        <v>43767</v>
      </c>
      <c r="O59" s="189" t="str">
        <f>_xll.qlMakeDatedOIS(,M59,N59,OvernightIndex,0,,,,EvaluationDate)</f>
        <v>obj_002ac#0000</v>
      </c>
      <c r="P59" s="189" t="b">
        <f>_xll.qlInstrumentSetPricingEngine(O59,OisEngine)</f>
        <v>1</v>
      </c>
      <c r="Q59" s="188">
        <f>_xll.qlIndexFixing(Currency&amp;IborType&amp;"3M",_xll.qlInterestRateIndexFixingDate(Currency&amp;IborType&amp;"3M",M59),TRUE,AllTriggers)</f>
        <v>4.1420916370195189E-2</v>
      </c>
      <c r="R59" s="188">
        <f>_xll.qlOvernightIndexedSwapFairRate(O59,AllTriggers)</f>
        <v>3.8032080956894927E-2</v>
      </c>
      <c r="S59" s="190">
        <f t="shared" si="2"/>
        <v>3.3888354133002618E-3</v>
      </c>
    </row>
    <row r="60" spans="5:20" ht="11.25" customHeight="1" x14ac:dyDescent="0.2">
      <c r="E60" s="182"/>
      <c r="F60" s="182"/>
      <c r="G60" s="181"/>
      <c r="J60" s="181"/>
      <c r="K60" s="181"/>
      <c r="M60" s="196">
        <f>_xll.qlCalendarAdvance(Calendar,M59,"1M","f",,Trigger)</f>
        <v>43706</v>
      </c>
      <c r="N60" s="187">
        <f>_xll.qlInterestRateIndexMaturity("AUDBBSW3M",M60)</f>
        <v>43798</v>
      </c>
      <c r="O60" s="189" t="str">
        <f>_xll.qlMakeDatedOIS(,M60,N60,OvernightIndex,0,,,,EvaluationDate)</f>
        <v>obj_003d1#0000</v>
      </c>
      <c r="P60" s="189" t="b">
        <f>_xll.qlInstrumentSetPricingEngine(O60,OisEngine)</f>
        <v>1</v>
      </c>
      <c r="Q60" s="188">
        <f>_xll.qlIndexFixing(Currency&amp;IborType&amp;"3M",_xll.qlInterestRateIndexFixingDate(Currency&amp;IborType&amp;"3M",M60),TRUE,AllTriggers)</f>
        <v>4.1600250282613986E-2</v>
      </c>
      <c r="R60" s="188">
        <f>_xll.qlOvernightIndexedSwapFairRate(O60,AllTriggers)</f>
        <v>3.8058855841752871E-2</v>
      </c>
      <c r="S60" s="190">
        <f t="shared" si="2"/>
        <v>3.5413944408611148E-3</v>
      </c>
    </row>
    <row r="61" spans="5:20" ht="11.25" customHeight="1" x14ac:dyDescent="0.2">
      <c r="E61" s="182"/>
      <c r="F61" s="182"/>
      <c r="G61" s="181"/>
      <c r="J61" s="181"/>
      <c r="K61" s="181"/>
      <c r="M61" s="196">
        <f>_xll.qlCalendarAdvance(Calendar,M60,"1M","f",,Trigger)</f>
        <v>43738</v>
      </c>
      <c r="N61" s="187">
        <f>_xll.qlInterestRateIndexMaturity("AUDBBSW3M",M61)</f>
        <v>43830</v>
      </c>
      <c r="O61" s="189" t="str">
        <f>_xll.qlMakeDatedOIS(,M61,N61,OvernightIndex,0,,,,EvaluationDate)</f>
        <v>obj_002e8#0000</v>
      </c>
      <c r="P61" s="189" t="b">
        <f>_xll.qlInstrumentSetPricingEngine(O61,OisEngine)</f>
        <v>1</v>
      </c>
      <c r="Q61" s="188">
        <f>_xll.qlIndexFixing(Currency&amp;IborType&amp;"3M",_xll.qlInterestRateIndexFixingDate(Currency&amp;IborType&amp;"3M",M61),TRUE,AllTriggers)</f>
        <v>4.1781044154343257E-2</v>
      </c>
      <c r="R61" s="188">
        <f>_xll.qlOvernightIndexedSwapFairRate(O61,AllTriggers)</f>
        <v>3.8110200227054546E-2</v>
      </c>
      <c r="S61" s="190">
        <f t="shared" si="2"/>
        <v>3.6708439272887111E-3</v>
      </c>
    </row>
    <row r="62" spans="5:20" ht="11.25" customHeight="1" x14ac:dyDescent="0.2">
      <c r="E62" s="182"/>
      <c r="F62" s="182"/>
      <c r="G62" s="181"/>
      <c r="J62" s="181"/>
      <c r="K62" s="181"/>
      <c r="M62" s="196">
        <f>_xll.qlCalendarAdvance(Calendar,M61,"1M","f",,Trigger)</f>
        <v>43768</v>
      </c>
      <c r="N62" s="187">
        <f>_xll.qlInterestRateIndexMaturity("AUDBBSW3M",M62)</f>
        <v>43860</v>
      </c>
      <c r="O62" s="189" t="str">
        <f>_xll.qlMakeDatedOIS(,M62,N62,OvernightIndex,0,,,,EvaluationDate)</f>
        <v>obj_003b8#0000</v>
      </c>
      <c r="P62" s="189" t="b">
        <f>_xll.qlInstrumentSetPricingEngine(O62,OisEngine)</f>
        <v>1</v>
      </c>
      <c r="Q62" s="188">
        <f>_xll.qlIndexFixing(Currency&amp;IborType&amp;"3M",_xll.qlInterestRateIndexFixingDate(Currency&amp;IborType&amp;"3M",M62),TRUE,AllTriggers)</f>
        <v>4.1946391957886256E-2</v>
      </c>
      <c r="R62" s="188">
        <f>_xll.qlOvernightIndexedSwapFairRate(O62,AllTriggers)</f>
        <v>3.818873197288343E-2</v>
      </c>
      <c r="S62" s="190">
        <f t="shared" si="2"/>
        <v>3.7576599850028258E-3</v>
      </c>
    </row>
    <row r="63" spans="5:20" ht="11.25" customHeight="1" x14ac:dyDescent="0.2">
      <c r="E63" s="182"/>
      <c r="F63" s="182"/>
      <c r="G63" s="181"/>
      <c r="J63" s="181"/>
      <c r="K63" s="181"/>
      <c r="M63" s="196">
        <f>_xll.qlCalendarAdvance(Calendar,M62,"1M","f",,Trigger)</f>
        <v>43801</v>
      </c>
      <c r="N63" s="187">
        <f>_xll.qlInterestRateIndexMaturity("AUDBBSW3M",M63)</f>
        <v>43892</v>
      </c>
      <c r="O63" s="189" t="str">
        <f>_xll.qlMakeDatedOIS(,M63,N63,OvernightIndex,0,,,,EvaluationDate)</f>
        <v>obj_0034e#0000</v>
      </c>
      <c r="P63" s="189" t="b">
        <f>_xll.qlInstrumentSetPricingEngine(O63,OisEngine)</f>
        <v>1</v>
      </c>
      <c r="Q63" s="188">
        <f>_xll.qlIndexFixing(Currency&amp;IborType&amp;"3M",_xll.qlInterestRateIndexFixingDate(Currency&amp;IborType&amp;"3M",M63),TRUE,AllTriggers)</f>
        <v>4.2118596777632314E-2</v>
      </c>
      <c r="R63" s="188">
        <f>_xll.qlOvernightIndexedSwapFairRate(O63,AllTriggers)</f>
        <v>3.8305025064161821E-2</v>
      </c>
      <c r="S63" s="190">
        <f t="shared" si="2"/>
        <v>3.8135717134704927E-3</v>
      </c>
      <c r="T63" s="197" t="s">
        <v>90</v>
      </c>
    </row>
    <row r="64" spans="5:20" ht="11.25" customHeight="1" x14ac:dyDescent="0.2">
      <c r="E64" s="182"/>
      <c r="F64" s="182"/>
      <c r="G64" s="181"/>
      <c r="J64" s="181"/>
      <c r="K64" s="181"/>
      <c r="M64" s="196">
        <f>_xll.qlCalendarAdvance(Calendar,M63,"1M","f",,Trigger)</f>
        <v>43832</v>
      </c>
      <c r="N64" s="187">
        <f>_xll.qlInterestRateIndexMaturity("AUDBBSW3M",M64)</f>
        <v>43923</v>
      </c>
      <c r="O64" s="189" t="str">
        <f>_xll.qlMakeDatedOIS(,M64,N64,OvernightIndex,0,,,,EvaluationDate)</f>
        <v>obj_00399#0000</v>
      </c>
      <c r="P64" s="189" t="b">
        <f>_xll.qlInstrumentSetPricingEngine(O64,OisEngine)</f>
        <v>1</v>
      </c>
      <c r="Q64" s="188">
        <f>_xll.qlIndexFixing(Currency&amp;IborType&amp;"3M",_xll.qlInterestRateIndexFixingDate(Currency&amp;IborType&amp;"3M",M64),TRUE,AllTriggers)</f>
        <v>4.2280717666867432E-2</v>
      </c>
      <c r="R64" s="188">
        <f>_xll.qlOvernightIndexedSwapFairRate(O64,AllTriggers)</f>
        <v>3.8450580722993219E-2</v>
      </c>
      <c r="S64" s="190">
        <f t="shared" si="2"/>
        <v>3.8301369438742128E-3</v>
      </c>
    </row>
    <row r="65" spans="5:19" ht="11.25" customHeight="1" x14ac:dyDescent="0.2">
      <c r="E65" s="182"/>
      <c r="F65" s="182"/>
      <c r="G65" s="181"/>
      <c r="J65" s="181"/>
      <c r="K65" s="181"/>
      <c r="M65" s="196">
        <f>_xll.qlCalendarAdvance(Calendar,M64,"1M","f",,Trigger)</f>
        <v>43864</v>
      </c>
      <c r="N65" s="187">
        <f>_xll.qlInterestRateIndexMaturity("AUDBBSW3M",M65)</f>
        <v>43955</v>
      </c>
      <c r="O65" s="189" t="str">
        <f>_xll.qlMakeDatedOIS(,M65,N65,OvernightIndex,0,,,,EvaluationDate)</f>
        <v>obj_0032c#0000</v>
      </c>
      <c r="P65" s="189" t="b">
        <f>_xll.qlInstrumentSetPricingEngine(O65,OisEngine)</f>
        <v>1</v>
      </c>
      <c r="Q65" s="188">
        <f>_xll.qlIndexFixing(Currency&amp;IborType&amp;"3M",_xll.qlInterestRateIndexFixingDate(Currency&amp;IborType&amp;"3M",M65),TRUE,AllTriggers)</f>
        <v>4.2443567292752962E-2</v>
      </c>
      <c r="R65" s="188">
        <f>_xll.qlOvernightIndexedSwapFairRate(O65,AllTriggers)</f>
        <v>3.8634083188774045E-2</v>
      </c>
      <c r="S65" s="190">
        <f t="shared" si="2"/>
        <v>3.8094841039789176E-3</v>
      </c>
    </row>
    <row r="66" spans="5:19" ht="11.25" customHeight="1" x14ac:dyDescent="0.2">
      <c r="E66" s="182"/>
      <c r="F66" s="182"/>
      <c r="G66" s="181"/>
      <c r="J66" s="181"/>
      <c r="K66" s="181"/>
      <c r="M66" s="196">
        <f>_xll.qlCalendarAdvance(Calendar,M65,"1M","f",,Trigger)</f>
        <v>43893</v>
      </c>
      <c r="N66" s="187">
        <f>_xll.qlInterestRateIndexMaturity("AUDBBSW3M",M66)</f>
        <v>43985</v>
      </c>
      <c r="O66" s="189" t="str">
        <f>_xll.qlMakeDatedOIS(,M66,N66,OvernightIndex,0,,,,EvaluationDate)</f>
        <v>obj_00319#0000</v>
      </c>
      <c r="P66" s="189" t="b">
        <f>_xll.qlInstrumentSetPricingEngine(O66,OisEngine)</f>
        <v>1</v>
      </c>
      <c r="Q66" s="188">
        <f>_xll.qlIndexFixing(Currency&amp;IborType&amp;"3M",_xll.qlInterestRateIndexFixingDate(Currency&amp;IborType&amp;"3M",M66),TRUE,AllTriggers)</f>
        <v>4.2592085290494616E-2</v>
      </c>
      <c r="R66" s="188">
        <f>_xll.qlOvernightIndexedSwapFairRate(O66,AllTriggers)</f>
        <v>3.8835516581599686E-2</v>
      </c>
      <c r="S66" s="190">
        <f t="shared" si="2"/>
        <v>3.7565687088949307E-3</v>
      </c>
    </row>
    <row r="67" spans="5:19" ht="11.25" customHeight="1" x14ac:dyDescent="0.2">
      <c r="E67" s="182"/>
      <c r="F67" s="182"/>
      <c r="G67" s="181"/>
      <c r="J67" s="181"/>
      <c r="K67" s="181"/>
      <c r="M67" s="196">
        <f>_xll.qlCalendarAdvance(Calendar,M66,"1M","f",,Trigger)</f>
        <v>43924</v>
      </c>
      <c r="N67" s="187">
        <f>_xll.qlInterestRateIndexMaturity("AUDBBSW3M",M67)</f>
        <v>44015</v>
      </c>
      <c r="O67" s="189" t="str">
        <f>_xll.qlMakeDatedOIS(,M67,N67,OvernightIndex,0,,,,EvaluationDate)</f>
        <v>obj_002ab#0000</v>
      </c>
      <c r="P67" s="189" t="b">
        <f>_xll.qlInstrumentSetPricingEngine(O67,OisEngine)</f>
        <v>1</v>
      </c>
      <c r="Q67" s="188">
        <f>_xll.qlIndexFixing(Currency&amp;IborType&amp;"3M",_xll.qlInterestRateIndexFixingDate(Currency&amp;IborType&amp;"3M",M67),TRUE,AllTriggers)</f>
        <v>4.2736584365254314E-2</v>
      </c>
      <c r="R67" s="188">
        <f>_xll.qlOvernightIndexedSwapFairRate(O67,AllTriggers)</f>
        <v>3.9069212730223013E-2</v>
      </c>
      <c r="S67" s="190">
        <f t="shared" ref="S67:S130" si="3">Q67-R67</f>
        <v>3.667371635031301E-3</v>
      </c>
    </row>
    <row r="68" spans="5:19" ht="11.25" customHeight="1" x14ac:dyDescent="0.2">
      <c r="E68" s="182"/>
      <c r="F68" s="182"/>
      <c r="G68" s="181"/>
      <c r="J68" s="181"/>
      <c r="K68" s="181"/>
      <c r="M68" s="196">
        <f>_xll.qlCalendarAdvance(Calendar,M67,"1M","f",,Trigger)</f>
        <v>43955</v>
      </c>
      <c r="N68" s="187">
        <f>_xll.qlInterestRateIndexMaturity("AUDBBSW3M",M68)</f>
        <v>44047</v>
      </c>
      <c r="O68" s="189" t="str">
        <f>_xll.qlMakeDatedOIS(,M68,N68,OvernightIndex,0,,,,EvaluationDate)</f>
        <v>obj_003db#0000</v>
      </c>
      <c r="P68" s="189" t="b">
        <f>_xll.qlInstrumentSetPricingEngine(O68,OisEngine)</f>
        <v>1</v>
      </c>
      <c r="Q68" s="188">
        <f>_xll.qlIndexFixing(Currency&amp;IborType&amp;"3M",_xll.qlInterestRateIndexFixingDate(Currency&amp;IborType&amp;"3M",M68),TRUE,AllTriggers)</f>
        <v>4.288645768943463E-2</v>
      </c>
      <c r="R68" s="188">
        <f>_xll.qlOvernightIndexedSwapFairRate(O68,AllTriggers)</f>
        <v>3.9347608946634874E-2</v>
      </c>
      <c r="S68" s="190">
        <f t="shared" si="3"/>
        <v>3.5388487427997564E-3</v>
      </c>
    </row>
    <row r="69" spans="5:19" ht="11.25" customHeight="1" x14ac:dyDescent="0.2">
      <c r="E69" s="182"/>
      <c r="F69" s="182"/>
      <c r="G69" s="181"/>
      <c r="J69" s="181"/>
      <c r="K69" s="181"/>
      <c r="M69" s="196">
        <f>_xll.qlCalendarAdvance(Calendar,M68,"1M","f",,Trigger)</f>
        <v>43986</v>
      </c>
      <c r="N69" s="187">
        <f>_xll.qlInterestRateIndexMaturity("AUDBBSW3M",M69)</f>
        <v>44078</v>
      </c>
      <c r="O69" s="189" t="str">
        <f>_xll.qlMakeDatedOIS(,M69,N69,OvernightIndex,0,,,,EvaluationDate)</f>
        <v>obj_00369#0000</v>
      </c>
      <c r="P69" s="189" t="b">
        <f>_xll.qlInstrumentSetPricingEngine(O69,OisEngine)</f>
        <v>1</v>
      </c>
      <c r="Q69" s="188">
        <f>_xll.qlIndexFixing(Currency&amp;IborType&amp;"3M",_xll.qlInterestRateIndexFixingDate(Currency&amp;IborType&amp;"3M",M69),TRUE,AllTriggers)</f>
        <v>4.3027203929465831E-2</v>
      </c>
      <c r="R69" s="188">
        <f>_xll.qlOvernightIndexedSwapFairRate(O69,AllTriggers)</f>
        <v>3.965124083183464E-2</v>
      </c>
      <c r="S69" s="190">
        <f t="shared" si="3"/>
        <v>3.3759630976311905E-3</v>
      </c>
    </row>
    <row r="70" spans="5:19" ht="11.25" customHeight="1" x14ac:dyDescent="0.2">
      <c r="E70" s="182"/>
      <c r="F70" s="182"/>
      <c r="G70" s="181"/>
      <c r="J70" s="181"/>
      <c r="K70" s="181"/>
      <c r="M70" s="196">
        <f>_xll.qlCalendarAdvance(Calendar,M69,"1M","f",,Trigger)</f>
        <v>44018</v>
      </c>
      <c r="N70" s="187">
        <f>_xll.qlInterestRateIndexMaturity("AUDBBSW3M",M70)</f>
        <v>44110</v>
      </c>
      <c r="O70" s="189" t="str">
        <f>_xll.qlMakeDatedOIS(,M70,N70,OvernightIndex,0,,,,EvaluationDate)</f>
        <v>obj_002db#0000</v>
      </c>
      <c r="P70" s="189" t="b">
        <f>_xll.qlInstrumentSetPricingEngine(O70,OisEngine)</f>
        <v>1</v>
      </c>
      <c r="Q70" s="188">
        <f>_xll.qlIndexFixing(Currency&amp;IborType&amp;"3M",_xll.qlInterestRateIndexFixingDate(Currency&amp;IborType&amp;"3M",M70),TRUE,AllTriggers)</f>
        <v>4.3167986447566267E-2</v>
      </c>
      <c r="R70" s="188">
        <f>_xll.qlOvernightIndexedSwapFairRate(O70,AllTriggers)</f>
        <v>3.9996348456854403E-2</v>
      </c>
      <c r="S70" s="190">
        <f t="shared" si="3"/>
        <v>3.1716379907118647E-3</v>
      </c>
    </row>
    <row r="71" spans="5:19" ht="11.25" customHeight="1" x14ac:dyDescent="0.2">
      <c r="E71" s="182"/>
      <c r="F71" s="182"/>
      <c r="G71" s="181"/>
      <c r="J71" s="181"/>
      <c r="K71" s="181"/>
      <c r="M71" s="196">
        <f>_xll.qlCalendarAdvance(Calendar,M70,"1M","f",,Trigger)</f>
        <v>44049</v>
      </c>
      <c r="N71" s="187">
        <f>_xll.qlInterestRateIndexMaturity("AUDBBSW3M",M71)</f>
        <v>44141</v>
      </c>
      <c r="O71" s="189" t="str">
        <f>_xll.qlMakeDatedOIS(,M71,N71,OvernightIndex,0,,,,EvaluationDate)</f>
        <v>obj_003a8#0000</v>
      </c>
      <c r="P71" s="189" t="b">
        <f>_xll.qlInstrumentSetPricingEngine(O71,OisEngine)</f>
        <v>1</v>
      </c>
      <c r="Q71" s="188">
        <f>_xll.qlIndexFixing(Currency&amp;IborType&amp;"3M",_xll.qlInterestRateIndexFixingDate(Currency&amp;IborType&amp;"3M",M71),TRUE,AllTriggers)</f>
        <v>4.3300005886092355E-2</v>
      </c>
      <c r="R71" s="188">
        <f>_xll.qlOvernightIndexedSwapFairRate(O71,AllTriggers)</f>
        <v>4.0343651667432749E-2</v>
      </c>
      <c r="S71" s="190">
        <f t="shared" si="3"/>
        <v>2.9563542186596056E-3</v>
      </c>
    </row>
    <row r="72" spans="5:19" ht="11.25" customHeight="1" x14ac:dyDescent="0.2">
      <c r="E72" s="182"/>
      <c r="F72" s="182"/>
      <c r="G72" s="181"/>
      <c r="J72" s="181"/>
      <c r="K72" s="181"/>
      <c r="M72" s="196">
        <f>_xll.qlCalendarAdvance(Calendar,M71,"1M","f",,Trigger)</f>
        <v>44081</v>
      </c>
      <c r="N72" s="187">
        <f>_xll.qlInterestRateIndexMaturity("AUDBBSW3M",M72)</f>
        <v>44172</v>
      </c>
      <c r="O72" s="189" t="str">
        <f>_xll.qlMakeDatedOIS(,M72,N72,OvernightIndex,0,,,,EvaluationDate)</f>
        <v>obj_0033c#0000</v>
      </c>
      <c r="P72" s="189" t="b">
        <f>_xll.qlInstrumentSetPricingEngine(O72,OisEngine)</f>
        <v>1</v>
      </c>
      <c r="Q72" s="188">
        <f>_xll.qlIndexFixing(Currency&amp;IborType&amp;"3M",_xll.qlInterestRateIndexFixingDate(Currency&amp;IborType&amp;"3M",M72),TRUE,AllTriggers)</f>
        <v>4.3427215239226137E-2</v>
      </c>
      <c r="R72" s="188">
        <f>_xll.qlOvernightIndexedSwapFairRate(O72,AllTriggers)</f>
        <v>4.0679838212227544E-2</v>
      </c>
      <c r="S72" s="190">
        <f t="shared" si="3"/>
        <v>2.7473770269985931E-3</v>
      </c>
    </row>
    <row r="73" spans="5:19" ht="11.25" customHeight="1" x14ac:dyDescent="0.2">
      <c r="E73" s="182"/>
      <c r="F73" s="182"/>
      <c r="G73" s="181"/>
      <c r="J73" s="181"/>
      <c r="K73" s="181"/>
      <c r="M73" s="196">
        <f>_xll.qlCalendarAdvance(Calendar,M72,"1M","f",,Trigger)</f>
        <v>44111</v>
      </c>
      <c r="N73" s="187">
        <f>_xll.qlInterestRateIndexMaturity("AUDBBSW3M",M73)</f>
        <v>44203</v>
      </c>
      <c r="O73" s="189" t="str">
        <f>_xll.qlMakeDatedOIS(,M73,N73,OvernightIndex,0,,,,EvaluationDate)</f>
        <v>obj_0038b#0000</v>
      </c>
      <c r="P73" s="189" t="b">
        <f>_xll.qlInstrumentSetPricingEngine(O73,OisEngine)</f>
        <v>1</v>
      </c>
      <c r="Q73" s="188">
        <f>_xll.qlIndexFixing(Currency&amp;IborType&amp;"3M",_xll.qlInterestRateIndexFixingDate(Currency&amp;IborType&amp;"3M",M73),TRUE,AllTriggers)</f>
        <v>4.3551159979426025E-2</v>
      </c>
      <c r="R73" s="188">
        <f>_xll.qlOvernightIndexedSwapFairRate(O73,AllTriggers)</f>
        <v>4.0970243572149678E-2</v>
      </c>
      <c r="S73" s="190">
        <f t="shared" si="3"/>
        <v>2.5809164072763471E-3</v>
      </c>
    </row>
    <row r="74" spans="5:19" ht="11.25" customHeight="1" x14ac:dyDescent="0.2">
      <c r="E74" s="182"/>
      <c r="F74" s="182"/>
      <c r="G74" s="181"/>
      <c r="J74" s="181"/>
      <c r="K74" s="181"/>
      <c r="M74" s="196">
        <f>_xll.qlCalendarAdvance(Calendar,M73,"1M","f",,Trigger)</f>
        <v>44144</v>
      </c>
      <c r="N74" s="187">
        <f>_xll.qlInterestRateIndexMaturity("AUDBBSW3M",M74)</f>
        <v>44236</v>
      </c>
      <c r="O74" s="189" t="str">
        <f>_xll.qlMakeDatedOIS(,M74,N74,OvernightIndex,0,,,,EvaluationDate)</f>
        <v>obj_00318#0000</v>
      </c>
      <c r="P74" s="189" t="b">
        <f>_xll.qlInstrumentSetPricingEngine(O74,OisEngine)</f>
        <v>1</v>
      </c>
      <c r="Q74" s="188">
        <f>_xll.qlIndexFixing(Currency&amp;IborType&amp;"3M",_xll.qlInterestRateIndexFixingDate(Currency&amp;IborType&amp;"3M",M74),TRUE,AllTriggers)</f>
        <v>4.3677832364861779E-2</v>
      </c>
      <c r="R74" s="188">
        <f>_xll.qlOvernightIndexedSwapFairRate(O74,AllTriggers)</f>
        <v>4.1229889881363599E-2</v>
      </c>
      <c r="S74" s="190">
        <f t="shared" si="3"/>
        <v>2.4479424834981806E-3</v>
      </c>
    </row>
    <row r="75" spans="5:19" ht="11.25" customHeight="1" x14ac:dyDescent="0.2">
      <c r="E75" s="182"/>
      <c r="F75" s="182"/>
      <c r="G75" s="181"/>
      <c r="J75" s="181"/>
      <c r="K75" s="181"/>
      <c r="M75" s="196">
        <f>_xll.qlCalendarAdvance(Calendar,M74,"1M","f",,Trigger)</f>
        <v>44174</v>
      </c>
      <c r="N75" s="187">
        <f>_xll.qlInterestRateIndexMaturity("AUDBBSW3M",M75)</f>
        <v>44264</v>
      </c>
      <c r="O75" s="189" t="str">
        <f>_xll.qlMakeDatedOIS(,M75,N75,OvernightIndex,0,,,,EvaluationDate)</f>
        <v>obj_002aa#0000</v>
      </c>
      <c r="P75" s="189" t="b">
        <f>_xll.qlInstrumentSetPricingEngine(O75,OisEngine)</f>
        <v>1</v>
      </c>
      <c r="Q75" s="188">
        <f>_xll.qlIndexFixing(Currency&amp;IborType&amp;"3M",_xll.qlInterestRateIndexFixingDate(Currency&amp;IborType&amp;"3M",M75),TRUE,AllTriggers)</f>
        <v>4.377996673324884E-2</v>
      </c>
      <c r="R75" s="188">
        <f>_xll.qlOvernightIndexedSwapFairRate(O75,AllTriggers)</f>
        <v>4.1408976058797897E-2</v>
      </c>
      <c r="S75" s="190">
        <f t="shared" si="3"/>
        <v>2.3709906744509429E-3</v>
      </c>
    </row>
    <row r="76" spans="5:19" ht="11.25" customHeight="1" x14ac:dyDescent="0.2">
      <c r="E76" s="182"/>
      <c r="F76" s="182"/>
      <c r="G76" s="181"/>
      <c r="J76" s="181"/>
      <c r="K76" s="181"/>
      <c r="M76" s="196">
        <f>_xll.qlCalendarAdvance(Calendar,M75,"1M","f",,Trigger)</f>
        <v>44207</v>
      </c>
      <c r="N76" s="187">
        <f>_xll.qlInterestRateIndexMaturity("AUDBBSW3M",M76)</f>
        <v>44298</v>
      </c>
      <c r="O76" s="189" t="str">
        <f>_xll.qlMakeDatedOIS(,M76,N76,OvernightIndex,0,,,,EvaluationDate)</f>
        <v>obj_00377#0000</v>
      </c>
      <c r="P76" s="189" t="b">
        <f>_xll.qlInstrumentSetPricingEngine(O76,OisEngine)</f>
        <v>1</v>
      </c>
      <c r="Q76" s="188">
        <f>_xll.qlIndexFixing(Currency&amp;IborType&amp;"3M",_xll.qlInterestRateIndexFixingDate(Currency&amp;IborType&amp;"3M",M76),TRUE,AllTriggers)</f>
        <v>4.390180398493395E-2</v>
      </c>
      <c r="R76" s="188">
        <f>_xll.qlOvernightIndexedSwapFairRate(O76,AllTriggers)</f>
        <v>4.1569904092087606E-2</v>
      </c>
      <c r="S76" s="190">
        <f t="shared" si="3"/>
        <v>2.3318998928463439E-3</v>
      </c>
    </row>
    <row r="77" spans="5:19" ht="11.25" customHeight="1" x14ac:dyDescent="0.2">
      <c r="E77" s="182"/>
      <c r="F77" s="182"/>
      <c r="G77" s="181"/>
      <c r="J77" s="181"/>
      <c r="K77" s="181"/>
      <c r="M77" s="196">
        <f>_xll.qlCalendarAdvance(Calendar,M76,"1M","f",,Trigger)</f>
        <v>44238</v>
      </c>
      <c r="N77" s="187">
        <f>_xll.qlInterestRateIndexMaturity("AUDBBSW3M",M77)</f>
        <v>44327</v>
      </c>
      <c r="O77" s="189" t="str">
        <f>_xll.qlMakeDatedOIS(,M77,N77,OvernightIndex,0,,,,EvaluationDate)</f>
        <v>obj_003c5#0000</v>
      </c>
      <c r="P77" s="189" t="b">
        <f>_xll.qlInstrumentSetPricingEngine(O77,OisEngine)</f>
        <v>1</v>
      </c>
      <c r="Q77" s="188">
        <f>_xll.qlIndexFixing(Currency&amp;IborType&amp;"3M",_xll.qlInterestRateIndexFixingDate(Currency&amp;IborType&amp;"3M",M77),TRUE,AllTriggers)</f>
        <v>4.3999122638444542E-2</v>
      </c>
      <c r="R77" s="188">
        <f>_xll.qlOvernightIndexedSwapFairRate(O77,AllTriggers)</f>
        <v>4.1660386839683677E-2</v>
      </c>
      <c r="S77" s="190">
        <f t="shared" si="3"/>
        <v>2.3387357987608645E-3</v>
      </c>
    </row>
    <row r="78" spans="5:19" ht="11.25" customHeight="1" x14ac:dyDescent="0.2">
      <c r="E78" s="182"/>
      <c r="F78" s="182"/>
      <c r="G78" s="181"/>
      <c r="J78" s="181"/>
      <c r="K78" s="181"/>
      <c r="M78" s="196">
        <f>_xll.qlCalendarAdvance(Calendar,M77,"1M","f",,Trigger)</f>
        <v>44266</v>
      </c>
      <c r="N78" s="187">
        <f>_xll.qlInterestRateIndexMaturity("AUDBBSW3M",M78)</f>
        <v>44358</v>
      </c>
      <c r="O78" s="189" t="str">
        <f>_xll.qlMakeDatedOIS(,M78,N78,OvernightIndex,0,,,,EvaluationDate)</f>
        <v>obj_0035b#0000</v>
      </c>
      <c r="P78" s="189" t="b">
        <f>_xll.qlInstrumentSetPricingEngine(O78,OisEngine)</f>
        <v>1</v>
      </c>
      <c r="Q78" s="188">
        <f>_xll.qlIndexFixing(Currency&amp;IborType&amp;"3M",_xll.qlInterestRateIndexFixingDate(Currency&amp;IborType&amp;"3M",M78),TRUE,AllTriggers)</f>
        <v>4.4103865779681707E-2</v>
      </c>
      <c r="R78" s="188">
        <f>_xll.qlOvernightIndexedSwapFairRate(O78,AllTriggers)</f>
        <v>4.1715384749066366E-2</v>
      </c>
      <c r="S78" s="190">
        <f t="shared" si="3"/>
        <v>2.3884810306153414E-3</v>
      </c>
    </row>
    <row r="79" spans="5:19" ht="11.25" customHeight="1" x14ac:dyDescent="0.2">
      <c r="E79" s="182"/>
      <c r="F79" s="182"/>
      <c r="G79" s="181"/>
      <c r="J79" s="181"/>
      <c r="K79" s="181"/>
      <c r="M79" s="196">
        <f>_xll.qlCalendarAdvance(Calendar,M78,"1M","f",,Trigger)</f>
        <v>44298</v>
      </c>
      <c r="N79" s="187">
        <f>_xll.qlInterestRateIndexMaturity("AUDBBSW3M",M79)</f>
        <v>44389</v>
      </c>
      <c r="O79" s="189" t="str">
        <f>_xll.qlMakeDatedOIS(,M79,N79,OvernightIndex,0,,,,EvaluationDate)</f>
        <v>obj_002cd#0000</v>
      </c>
      <c r="P79" s="189" t="b">
        <f>_xll.qlInstrumentSetPricingEngine(O79,OisEngine)</f>
        <v>1</v>
      </c>
      <c r="Q79" s="188">
        <f>_xll.qlIndexFixing(Currency&amp;IborType&amp;"3M",_xll.qlInterestRateIndexFixingDate(Currency&amp;IborType&amp;"3M",M79),TRUE,AllTriggers)</f>
        <v>4.4200423472653162E-2</v>
      </c>
      <c r="R79" s="188">
        <f>_xll.qlOvernightIndexedSwapFairRate(O79,AllTriggers)</f>
        <v>4.1717383336190718E-2</v>
      </c>
      <c r="S79" s="190">
        <f t="shared" si="3"/>
        <v>2.4830401364624444E-3</v>
      </c>
    </row>
    <row r="80" spans="5:19" ht="11.25" customHeight="1" x14ac:dyDescent="0.2">
      <c r="E80" s="182"/>
      <c r="F80" s="182"/>
      <c r="G80" s="181"/>
      <c r="J80" s="181"/>
      <c r="K80" s="181"/>
      <c r="M80" s="196">
        <f>_xll.qlCalendarAdvance(Calendar,M79,"1M","f",,Trigger)</f>
        <v>44328</v>
      </c>
      <c r="N80" s="187">
        <f>_xll.qlInterestRateIndexMaturity("AUDBBSW3M",M80)</f>
        <v>44420</v>
      </c>
      <c r="O80" s="189" t="str">
        <f>_xll.qlMakeDatedOIS(,M80,N80,OvernightIndex,0,,,,EvaluationDate)</f>
        <v>obj_002c4#0000</v>
      </c>
      <c r="P80" s="189" t="b">
        <f>_xll.qlInstrumentSetPricingEngine(O80,OisEngine)</f>
        <v>1</v>
      </c>
      <c r="Q80" s="188">
        <f>_xll.qlIndexFixing(Currency&amp;IborType&amp;"3M",_xll.qlInterestRateIndexFixingDate(Currency&amp;IborType&amp;"3M",M80),TRUE,AllTriggers)</f>
        <v>4.4294868863639966E-2</v>
      </c>
      <c r="R80" s="188">
        <f>_xll.qlOvernightIndexedSwapFairRate(O80,AllTriggers)</f>
        <v>4.1675853613947982E-2</v>
      </c>
      <c r="S80" s="190">
        <f t="shared" si="3"/>
        <v>2.6190152496919847E-3</v>
      </c>
    </row>
    <row r="81" spans="5:19" ht="11.25" customHeight="1" x14ac:dyDescent="0.2">
      <c r="E81" s="182"/>
      <c r="F81" s="182"/>
      <c r="G81" s="181"/>
      <c r="J81" s="181"/>
      <c r="K81" s="181"/>
      <c r="M81" s="196">
        <f>_xll.qlCalendarAdvance(Calendar,M80,"1M","f",,Trigger)</f>
        <v>44362</v>
      </c>
      <c r="N81" s="187">
        <f>_xll.qlInterestRateIndexMaturity("AUDBBSW3M",M81)</f>
        <v>44454</v>
      </c>
      <c r="O81" s="189" t="str">
        <f>_xll.qlMakeDatedOIS(,M81,N81,OvernightIndex,0,,,,EvaluationDate)</f>
        <v>obj_002b7#0000</v>
      </c>
      <c r="P81" s="189" t="b">
        <f>_xll.qlInstrumentSetPricingEngine(O81,OisEngine)</f>
        <v>1</v>
      </c>
      <c r="Q81" s="188">
        <f>_xll.qlIndexFixing(Currency&amp;IborType&amp;"3M",_xll.qlInterestRateIndexFixingDate(Currency&amp;IborType&amp;"3M",M81),TRUE,AllTriggers)</f>
        <v>4.4392313762444048E-2</v>
      </c>
      <c r="R81" s="188">
        <f>_xll.qlOvernightIndexedSwapFairRate(O81,AllTriggers)</f>
        <v>4.1572271700573586E-2</v>
      </c>
      <c r="S81" s="190">
        <f t="shared" si="3"/>
        <v>2.8200420618704619E-3</v>
      </c>
    </row>
    <row r="82" spans="5:19" ht="11.25" customHeight="1" x14ac:dyDescent="0.2">
      <c r="E82" s="182"/>
      <c r="F82" s="182"/>
      <c r="G82" s="181"/>
      <c r="J82" s="181"/>
      <c r="K82" s="181"/>
      <c r="M82" s="196">
        <f>_xll.qlCalendarAdvance(Calendar,M81,"1M","f",,Trigger)</f>
        <v>44392</v>
      </c>
      <c r="N82" s="187">
        <f>_xll.qlInterestRateIndexMaturity("AUDBBSW3M",M82)</f>
        <v>44484</v>
      </c>
      <c r="O82" s="189" t="str">
        <f>_xll.qlMakeDatedOIS(,M82,N82,OvernightIndex,0,,,,EvaluationDate)</f>
        <v>obj_00317#0000</v>
      </c>
      <c r="P82" s="189" t="b">
        <f>_xll.qlInstrumentSetPricingEngine(O82,OisEngine)</f>
        <v>1</v>
      </c>
      <c r="Q82" s="188">
        <f>_xll.qlIndexFixing(Currency&amp;IborType&amp;"3M",_xll.qlInterestRateIndexFixingDate(Currency&amp;IborType&amp;"3M",M82),TRUE,AllTriggers)</f>
        <v>4.4474398420719083E-2</v>
      </c>
      <c r="R82" s="188">
        <f>_xll.qlOvernightIndexedSwapFairRate(O82,AllTriggers)</f>
        <v>4.1437928807500975E-2</v>
      </c>
      <c r="S82" s="190">
        <f t="shared" si="3"/>
        <v>3.0364696132181082E-3</v>
      </c>
    </row>
    <row r="83" spans="5:19" ht="11.25" customHeight="1" x14ac:dyDescent="0.2">
      <c r="E83" s="182"/>
      <c r="F83" s="182"/>
      <c r="G83" s="181"/>
      <c r="J83" s="181"/>
      <c r="K83" s="181"/>
      <c r="M83" s="196">
        <f>_xll.qlCalendarAdvance(Calendar,M82,"1M","f",,Trigger)</f>
        <v>44424</v>
      </c>
      <c r="N83" s="187">
        <f>_xll.qlInterestRateIndexMaturity("AUDBBSW3M",M83)</f>
        <v>44516</v>
      </c>
      <c r="O83" s="189" t="str">
        <f>_xll.qlMakeDatedOIS(,M83,N83,OvernightIndex,0,,,,EvaluationDate)</f>
        <v>obj_002a9#0000</v>
      </c>
      <c r="P83" s="189" t="b">
        <f>_xll.qlInstrumentSetPricingEngine(O83,OisEngine)</f>
        <v>1</v>
      </c>
      <c r="Q83" s="188">
        <f>_xll.qlIndexFixing(Currency&amp;IborType&amp;"3M",_xll.qlInterestRateIndexFixingDate(Currency&amp;IborType&amp;"3M",M83),TRUE,AllTriggers)</f>
        <v>4.4559878996693378E-2</v>
      </c>
      <c r="R83" s="188">
        <f>_xll.qlOvernightIndexedSwapFairRate(O83,AllTriggers)</f>
        <v>4.1275888367344658E-2</v>
      </c>
      <c r="S83" s="190">
        <f t="shared" si="3"/>
        <v>3.2839906293487195E-3</v>
      </c>
    </row>
    <row r="84" spans="5:19" ht="11.25" customHeight="1" x14ac:dyDescent="0.2">
      <c r="E84" s="182"/>
      <c r="F84" s="182"/>
      <c r="G84" s="181"/>
      <c r="J84" s="181"/>
      <c r="K84" s="181"/>
      <c r="M84" s="196">
        <f>_xll.qlCalendarAdvance(Calendar,M83,"1M","f",,Trigger)</f>
        <v>44455</v>
      </c>
      <c r="N84" s="187">
        <f>_xll.qlInterestRateIndexMaturity("AUDBBSW3M",M84)</f>
        <v>44546</v>
      </c>
      <c r="O84" s="189" t="str">
        <f>_xll.qlMakeDatedOIS(,M84,N84,OvernightIndex,0,,,,EvaluationDate)</f>
        <v>obj_002f3#0000</v>
      </c>
      <c r="P84" s="189" t="b">
        <f>_xll.qlInstrumentSetPricingEngine(O84,OisEngine)</f>
        <v>1</v>
      </c>
      <c r="Q84" s="188">
        <f>_xll.qlIndexFixing(Currency&amp;IborType&amp;"3M",_xll.qlInterestRateIndexFixingDate(Currency&amp;IborType&amp;"3M",M84),TRUE,AllTriggers)</f>
        <v>4.4638761742852369E-2</v>
      </c>
      <c r="R84" s="188">
        <f>_xll.qlOvernightIndexedSwapFairRate(O84,AllTriggers)</f>
        <v>4.1128949680435754E-2</v>
      </c>
      <c r="S84" s="190">
        <f t="shared" si="3"/>
        <v>3.5098120624166146E-3</v>
      </c>
    </row>
    <row r="85" spans="5:19" ht="11.25" customHeight="1" x14ac:dyDescent="0.2">
      <c r="E85" s="182"/>
      <c r="F85" s="182"/>
      <c r="G85" s="181"/>
      <c r="J85" s="181"/>
      <c r="K85" s="181"/>
      <c r="M85" s="196">
        <f>_xll.qlCalendarAdvance(Calendar,M84,"1M","f",,Trigger)</f>
        <v>44487</v>
      </c>
      <c r="N85" s="187">
        <f>_xll.qlInterestRateIndexMaturity("AUDBBSW3M",M85)</f>
        <v>44579</v>
      </c>
      <c r="O85" s="189" t="str">
        <f>_xll.qlMakeDatedOIS(,M85,N85,OvernightIndex,0,,,,EvaluationDate)</f>
        <v>obj_00368#0000</v>
      </c>
      <c r="P85" s="189" t="b">
        <f>_xll.qlInstrumentSetPricingEngine(O85,OisEngine)</f>
        <v>1</v>
      </c>
      <c r="Q85" s="188">
        <f>_xll.qlIndexFixing(Currency&amp;IborType&amp;"3M",_xll.qlInterestRateIndexFixingDate(Currency&amp;IborType&amp;"3M",M85),TRUE,AllTriggers)</f>
        <v>4.4730468264020058E-2</v>
      </c>
      <c r="R85" s="188">
        <f>_xll.qlOvernightIndexedSwapFairRate(O85,AllTriggers)</f>
        <v>4.1012906132625343E-2</v>
      </c>
      <c r="S85" s="190">
        <f t="shared" si="3"/>
        <v>3.7175621313947152E-3</v>
      </c>
    </row>
    <row r="86" spans="5:19" ht="11.25" customHeight="1" x14ac:dyDescent="0.2">
      <c r="E86" s="182"/>
      <c r="F86" s="182"/>
      <c r="G86" s="181"/>
      <c r="J86" s="181"/>
      <c r="K86" s="181"/>
      <c r="M86" s="196">
        <f>_xll.qlCalendarAdvance(Calendar,M85,"1M","f",,Trigger)</f>
        <v>44518</v>
      </c>
      <c r="N86" s="187">
        <f>_xll.qlInterestRateIndexMaturity("AUDBBSW3M",M86)</f>
        <v>44610</v>
      </c>
      <c r="O86" s="189" t="str">
        <f>_xll.qlMakeDatedOIS(,M86,N86,OvernightIndex,0,,,,EvaluationDate)</f>
        <v>obj_003b7#0000</v>
      </c>
      <c r="P86" s="189" t="b">
        <f>_xll.qlInstrumentSetPricingEngine(O86,OisEngine)</f>
        <v>1</v>
      </c>
      <c r="Q86" s="188">
        <f>_xll.qlIndexFixing(Currency&amp;IborType&amp;"3M",_xll.qlInterestRateIndexFixingDate(Currency&amp;IborType&amp;"3M",M86),TRUE,AllTriggers)</f>
        <v>4.4817526342917642E-2</v>
      </c>
      <c r="R86" s="188">
        <f>_xll.qlOvernightIndexedSwapFairRate(O86,AllTriggers)</f>
        <v>4.0937038262371363E-2</v>
      </c>
      <c r="S86" s="190">
        <f t="shared" si="3"/>
        <v>3.8804880805462794E-3</v>
      </c>
    </row>
    <row r="87" spans="5:19" ht="11.25" customHeight="1" x14ac:dyDescent="0.2">
      <c r="E87" s="182"/>
      <c r="F87" s="182"/>
      <c r="G87" s="181"/>
      <c r="J87" s="181"/>
      <c r="K87" s="181"/>
      <c r="M87" s="196">
        <f>_xll.qlCalendarAdvance(Calendar,M86,"1M","f",,Trigger)</f>
        <v>44550</v>
      </c>
      <c r="N87" s="187">
        <f>_xll.qlInterestRateIndexMaturity("AUDBBSW3M",M87)</f>
        <v>44641</v>
      </c>
      <c r="O87" s="189" t="str">
        <f>_xll.qlMakeDatedOIS(,M87,N87,OvernightIndex,0,,,,EvaluationDate)</f>
        <v>obj_0034d#0000</v>
      </c>
      <c r="P87" s="189" t="b">
        <f>_xll.qlInstrumentSetPricingEngine(O87,OisEngine)</f>
        <v>1</v>
      </c>
      <c r="Q87" s="188">
        <f>_xll.qlIndexFixing(Currency&amp;IborType&amp;"3M",_xll.qlInterestRateIndexFixingDate(Currency&amp;IborType&amp;"3M",M87),TRUE,AllTriggers)</f>
        <v>4.4905414338410152E-2</v>
      </c>
      <c r="R87" s="188">
        <f>_xll.qlOvernightIndexedSwapFairRate(O87,AllTriggers)</f>
        <v>4.089467423353263E-2</v>
      </c>
      <c r="S87" s="190">
        <f t="shared" si="3"/>
        <v>4.0107401048775221E-3</v>
      </c>
    </row>
    <row r="88" spans="5:19" ht="11.25" customHeight="1" x14ac:dyDescent="0.2">
      <c r="E88" s="182"/>
      <c r="F88" s="182"/>
      <c r="G88" s="181"/>
      <c r="J88" s="181"/>
      <c r="K88" s="181"/>
      <c r="M88" s="196">
        <f>_xll.qlCalendarAdvance(Calendar,M87,"1M","f",,Trigger)</f>
        <v>44581</v>
      </c>
      <c r="N88" s="187">
        <f>_xll.qlInterestRateIndexMaturity("AUDBBSW3M",M88)</f>
        <v>44671</v>
      </c>
      <c r="O88" s="189" t="str">
        <f>_xll.qlMakeDatedOIS(,M88,N88,OvernightIndex,0,,,,EvaluationDate)</f>
        <v>obj_00398#0000</v>
      </c>
      <c r="P88" s="189" t="b">
        <f>_xll.qlInstrumentSetPricingEngine(O88,OisEngine)</f>
        <v>1</v>
      </c>
      <c r="Q88" s="188">
        <f>_xll.qlIndexFixing(Currency&amp;IborType&amp;"3M",_xll.qlInterestRateIndexFixingDate(Currency&amp;IborType&amp;"3M",M88),TRUE,AllTriggers)</f>
        <v>4.4992511112586932E-2</v>
      </c>
      <c r="R88" s="188">
        <f>_xll.qlOvernightIndexedSwapFairRate(O88,AllTriggers)</f>
        <v>4.0889432600347497E-2</v>
      </c>
      <c r="S88" s="190">
        <f t="shared" si="3"/>
        <v>4.1030785122394345E-3</v>
      </c>
    </row>
    <row r="89" spans="5:19" ht="11.25" customHeight="1" x14ac:dyDescent="0.2">
      <c r="E89" s="182"/>
      <c r="F89" s="182"/>
      <c r="G89" s="181"/>
      <c r="J89" s="181"/>
      <c r="K89" s="181"/>
      <c r="M89" s="196">
        <f>_xll.qlCalendarAdvance(Calendar,M88,"1M","f",,Trigger)</f>
        <v>44613</v>
      </c>
      <c r="N89" s="187">
        <f>_xll.qlInterestRateIndexMaturity("AUDBBSW3M",M89)</f>
        <v>44704</v>
      </c>
      <c r="O89" s="189" t="str">
        <f>_xll.qlMakeDatedOIS(,M89,N89,OvernightIndex,0,,,,EvaluationDate)</f>
        <v>obj_0032b#0000</v>
      </c>
      <c r="P89" s="189" t="b">
        <f>_xll.qlInstrumentSetPricingEngine(O89,OisEngine)</f>
        <v>1</v>
      </c>
      <c r="Q89" s="188">
        <f>_xll.qlIndexFixing(Currency&amp;IborType&amp;"3M",_xll.qlInterestRateIndexFixingDate(Currency&amp;IborType&amp;"3M",M89),TRUE,AllTriggers)</f>
        <v>4.509334368649303E-2</v>
      </c>
      <c r="R89" s="188">
        <f>_xll.qlOvernightIndexedSwapFairRate(O89,AllTriggers)</f>
        <v>4.0928037613459534E-2</v>
      </c>
      <c r="S89" s="190">
        <f t="shared" si="3"/>
        <v>4.1653060730334965E-3</v>
      </c>
    </row>
    <row r="90" spans="5:19" ht="11.25" customHeight="1" x14ac:dyDescent="0.2">
      <c r="E90" s="182"/>
      <c r="F90" s="182"/>
      <c r="G90" s="181"/>
      <c r="J90" s="181"/>
      <c r="K90" s="181"/>
      <c r="M90" s="196">
        <f>_xll.qlCalendarAdvance(Calendar,M89,"1M","f",,Trigger)</f>
        <v>44641</v>
      </c>
      <c r="N90" s="187">
        <f>_xll.qlInterestRateIndexMaturity("AUDBBSW3M",M90)</f>
        <v>44733</v>
      </c>
      <c r="O90" s="189" t="str">
        <f>_xll.qlMakeDatedOIS(,M90,N90,OvernightIndex,0,,,,EvaluationDate)</f>
        <v>obj_00316#0000</v>
      </c>
      <c r="P90" s="189" t="b">
        <f>_xll.qlInstrumentSetPricingEngine(O90,OisEngine)</f>
        <v>1</v>
      </c>
      <c r="Q90" s="188">
        <f>_xll.qlIndexFixing(Currency&amp;IborType&amp;"3M",_xll.qlInterestRateIndexFixingDate(Currency&amp;IborType&amp;"3M",M90),TRUE,AllTriggers)</f>
        <v>4.5184069846349047E-2</v>
      </c>
      <c r="R90" s="188">
        <f>_xll.qlOvernightIndexedSwapFairRate(O90,AllTriggers)</f>
        <v>4.0995187645230656E-2</v>
      </c>
      <c r="S90" s="190">
        <f t="shared" si="3"/>
        <v>4.1888822011183907E-3</v>
      </c>
    </row>
    <row r="91" spans="5:19" ht="11.25" customHeight="1" x14ac:dyDescent="0.2">
      <c r="E91" s="182"/>
      <c r="F91" s="182"/>
      <c r="G91" s="181"/>
      <c r="J91" s="181"/>
      <c r="K91" s="181"/>
      <c r="M91" s="196">
        <f>_xll.qlCalendarAdvance(Calendar,M90,"1M","f",,Trigger)</f>
        <v>44672</v>
      </c>
      <c r="N91" s="187">
        <f>_xll.qlInterestRateIndexMaturity("AUDBBSW3M",M91)</f>
        <v>44763</v>
      </c>
      <c r="O91" s="189" t="str">
        <f>_xll.qlMakeDatedOIS(,M91,N91,OvernightIndex,0,,,,EvaluationDate)</f>
        <v>obj_002a8#0000</v>
      </c>
      <c r="P91" s="189" t="b">
        <f>_xll.qlInstrumentSetPricingEngine(O91,OisEngine)</f>
        <v>1</v>
      </c>
      <c r="Q91" s="188">
        <f>_xll.qlIndexFixing(Currency&amp;IborType&amp;"3M",_xll.qlInterestRateIndexFixingDate(Currency&amp;IborType&amp;"3M",M91),TRUE,AllTriggers)</f>
        <v>4.5277366509293406E-2</v>
      </c>
      <c r="R91" s="188">
        <f>_xll.qlOvernightIndexedSwapFairRate(O91,AllTriggers)</f>
        <v>4.1095756099364271E-2</v>
      </c>
      <c r="S91" s="190">
        <f t="shared" si="3"/>
        <v>4.1816104099291346E-3</v>
      </c>
    </row>
    <row r="92" spans="5:19" ht="11.25" customHeight="1" x14ac:dyDescent="0.2">
      <c r="E92" s="182"/>
      <c r="F92" s="182"/>
      <c r="G92" s="181"/>
      <c r="J92" s="181"/>
      <c r="K92" s="181"/>
      <c r="M92" s="196">
        <f>_xll.qlCalendarAdvance(Calendar,M91,"1M","f",,Trigger)</f>
        <v>44704</v>
      </c>
      <c r="N92" s="187">
        <f>_xll.qlInterestRateIndexMaturity("AUDBBSW3M",M92)</f>
        <v>44796</v>
      </c>
      <c r="O92" s="189" t="str">
        <f>_xll.qlMakeDatedOIS(,M92,N92,OvernightIndex,0,,,,EvaluationDate)</f>
        <v>obj_003d0#0000</v>
      </c>
      <c r="P92" s="189" t="b">
        <f>_xll.qlInstrumentSetPricingEngine(O92,OisEngine)</f>
        <v>1</v>
      </c>
      <c r="Q92" s="188">
        <f>_xll.qlIndexFixing(Currency&amp;IborType&amp;"3M",_xll.qlInterestRateIndexFixingDate(Currency&amp;IborType&amp;"3M",M92),TRUE,AllTriggers)</f>
        <v>4.5384878822370987E-2</v>
      </c>
      <c r="R92" s="188">
        <f>_xll.qlOvernightIndexedSwapFairRate(O92,AllTriggers)</f>
        <v>4.1247174754360849E-2</v>
      </c>
      <c r="S92" s="190">
        <f t="shared" si="3"/>
        <v>4.1377040680101382E-3</v>
      </c>
    </row>
    <row r="93" spans="5:19" ht="11.25" customHeight="1" x14ac:dyDescent="0.2">
      <c r="E93" s="182"/>
      <c r="F93" s="182"/>
      <c r="G93" s="181"/>
      <c r="J93" s="181"/>
      <c r="K93" s="181"/>
      <c r="M93" s="196">
        <f>_xll.qlCalendarAdvance(Calendar,M92,"1M","f",,Trigger)</f>
        <v>44735</v>
      </c>
      <c r="N93" s="187">
        <f>_xll.qlInterestRateIndexMaturity("AUDBBSW3M",M93)</f>
        <v>44827</v>
      </c>
      <c r="O93" s="189" t="str">
        <f>_xll.qlMakeDatedOIS(,M93,N93,OvernightIndex,0,,,,EvaluationDate)</f>
        <v>obj_002e7#0000</v>
      </c>
      <c r="P93" s="189" t="b">
        <f>_xll.qlInstrumentSetPricingEngine(O93,OisEngine)</f>
        <v>1</v>
      </c>
      <c r="Q93" s="188">
        <f>_xll.qlIndexFixing(Currency&amp;IborType&amp;"3M",_xll.qlInterestRateIndexFixingDate(Currency&amp;IborType&amp;"3M",M93),TRUE,AllTriggers)</f>
        <v>4.5486939649868448E-2</v>
      </c>
      <c r="R93" s="188">
        <f>_xll.qlOvernightIndexedSwapFairRate(O93,AllTriggers)</f>
        <v>4.1426335831746819E-2</v>
      </c>
      <c r="S93" s="190">
        <f t="shared" si="3"/>
        <v>4.0606038181216289E-3</v>
      </c>
    </row>
    <row r="94" spans="5:19" ht="11.25" customHeight="1" x14ac:dyDescent="0.2">
      <c r="E94" s="182"/>
      <c r="F94" s="182"/>
      <c r="G94" s="181"/>
      <c r="J94" s="181"/>
      <c r="K94" s="181"/>
      <c r="M94" s="196">
        <f>_xll.qlCalendarAdvance(Calendar,M93,"1M","f",,Trigger)</f>
        <v>44767</v>
      </c>
      <c r="N94" s="187">
        <f>_xll.qlInterestRateIndexMaturity("AUDBBSW3M",M94)</f>
        <v>44859</v>
      </c>
      <c r="O94" s="189" t="str">
        <f>_xll.qlMakeDatedOIS(,M94,N94,OvernightIndex,0,,,,EvaluationDate)</f>
        <v>obj_002da#0000</v>
      </c>
      <c r="P94" s="189" t="b">
        <f>_xll.qlInstrumentSetPricingEngine(O94,OisEngine)</f>
        <v>1</v>
      </c>
      <c r="Q94" s="188">
        <f>_xll.qlIndexFixing(Currency&amp;IborType&amp;"3M",_xll.qlInterestRateIndexFixingDate(Currency&amp;IborType&amp;"3M",M94),TRUE,AllTriggers)</f>
        <v>4.5594541491460236E-2</v>
      </c>
      <c r="R94" s="188">
        <f>_xll.qlOvernightIndexedSwapFairRate(O94,AllTriggers)</f>
        <v>4.1643807280322104E-2</v>
      </c>
      <c r="S94" s="190">
        <f t="shared" si="3"/>
        <v>3.9507342111381322E-3</v>
      </c>
    </row>
    <row r="95" spans="5:19" ht="11.25" customHeight="1" x14ac:dyDescent="0.2">
      <c r="E95" s="182"/>
      <c r="F95" s="182"/>
      <c r="G95" s="181"/>
      <c r="J95" s="181"/>
      <c r="K95" s="181"/>
      <c r="M95" s="196">
        <f>_xll.qlCalendarAdvance(Calendar,M94,"1M","f",,Trigger)</f>
        <v>44798</v>
      </c>
      <c r="N95" s="187">
        <f>_xll.qlInterestRateIndexMaturity("AUDBBSW3M",M95)</f>
        <v>44890</v>
      </c>
      <c r="O95" s="189" t="str">
        <f>_xll.qlMakeDatedOIS(,M95,N95,OvernightIndex,0,,,,EvaluationDate)</f>
        <v>obj_003a7#0000</v>
      </c>
      <c r="P95" s="189" t="b">
        <f>_xll.qlInstrumentSetPricingEngine(O95,OisEngine)</f>
        <v>1</v>
      </c>
      <c r="Q95" s="188">
        <f>_xll.qlIndexFixing(Currency&amp;IborType&amp;"3M",_xll.qlInterestRateIndexFixingDate(Currency&amp;IborType&amp;"3M",M95),TRUE,AllTriggers)</f>
        <v>4.5700959403498304E-2</v>
      </c>
      <c r="R95" s="188">
        <f>_xll.qlOvernightIndexedSwapFairRate(O95,AllTriggers)</f>
        <v>4.1872945693862837E-2</v>
      </c>
      <c r="S95" s="190">
        <f t="shared" si="3"/>
        <v>3.8280137096354666E-3</v>
      </c>
    </row>
    <row r="96" spans="5:19" ht="11.25" customHeight="1" x14ac:dyDescent="0.2">
      <c r="E96" s="182"/>
      <c r="F96" s="182"/>
      <c r="G96" s="181"/>
      <c r="J96" s="181"/>
      <c r="K96" s="181"/>
      <c r="M96" s="196">
        <f>_xll.qlCalendarAdvance(Calendar,M95,"1M","f",,Trigger)</f>
        <v>44830</v>
      </c>
      <c r="N96" s="187">
        <f>_xll.qlInterestRateIndexMaturity("AUDBBSW3M",M96)</f>
        <v>44923</v>
      </c>
      <c r="O96" s="189" t="str">
        <f>_xll.qlMakeDatedOIS(,M96,N96,OvernightIndex,0,,,,EvaluationDate)</f>
        <v>obj_0033b#0000</v>
      </c>
      <c r="P96" s="189" t="b">
        <f>_xll.qlInstrumentSetPricingEngine(O96,OisEngine)</f>
        <v>1</v>
      </c>
      <c r="Q96" s="188">
        <f>_xll.qlIndexFixing(Currency&amp;IborType&amp;"3M",_xll.qlInterestRateIndexFixingDate(Currency&amp;IborType&amp;"3M",M96),TRUE,AllTriggers)</f>
        <v>4.5817710563973754E-2</v>
      </c>
      <c r="R96" s="188">
        <f>_xll.qlOvernightIndexedSwapFairRate(O96,AllTriggers)</f>
        <v>4.2120686015709299E-2</v>
      </c>
      <c r="S96" s="190">
        <f t="shared" si="3"/>
        <v>3.6970245482644548E-3</v>
      </c>
    </row>
    <row r="97" spans="5:19" ht="11.25" customHeight="1" x14ac:dyDescent="0.2">
      <c r="E97" s="182"/>
      <c r="F97" s="182"/>
      <c r="G97" s="181"/>
      <c r="J97" s="181"/>
      <c r="K97" s="181"/>
      <c r="M97" s="196">
        <f>_xll.qlCalendarAdvance(Calendar,M96,"1M","f",,Trigger)</f>
        <v>44860</v>
      </c>
      <c r="N97" s="187">
        <f>_xll.qlInterestRateIndexMaturity("AUDBBSW3M",M97)</f>
        <v>44953</v>
      </c>
      <c r="O97" s="189" t="str">
        <f>_xll.qlMakeDatedOIS(,M97,N97,OvernightIndex,0,,,,EvaluationDate)</f>
        <v>obj_0038a#0000</v>
      </c>
      <c r="P97" s="189" t="b">
        <f>_xll.qlInstrumentSetPricingEngine(O97,OisEngine)</f>
        <v>1</v>
      </c>
      <c r="Q97" s="188">
        <f>_xll.qlIndexFixing(Currency&amp;IborType&amp;"3M",_xll.qlInterestRateIndexFixingDate(Currency&amp;IborType&amp;"3M",M97),TRUE,AllTriggers)</f>
        <v>4.592492625007643E-2</v>
      </c>
      <c r="R97" s="188">
        <f>_xll.qlOvernightIndexedSwapFairRate(O97,AllTriggers)</f>
        <v>4.2344644335983672E-2</v>
      </c>
      <c r="S97" s="190">
        <f t="shared" si="3"/>
        <v>3.5802819140927575E-3</v>
      </c>
    </row>
    <row r="98" spans="5:19" ht="11.25" customHeight="1" x14ac:dyDescent="0.2">
      <c r="E98" s="182"/>
      <c r="F98" s="182"/>
      <c r="G98" s="181"/>
      <c r="J98" s="181"/>
      <c r="K98" s="181"/>
      <c r="M98" s="196">
        <f>_xll.qlCalendarAdvance(Calendar,M97,"1M","f",,Trigger)</f>
        <v>44893</v>
      </c>
      <c r="N98" s="187">
        <f>_xll.qlInterestRateIndexMaturity("AUDBBSW3M",M98)</f>
        <v>44985</v>
      </c>
      <c r="O98" s="189" t="str">
        <f>_xll.qlMakeDatedOIS(,M98,N98,OvernightIndex,0,,,,EvaluationDate)</f>
        <v>obj_00315#0000</v>
      </c>
      <c r="P98" s="189" t="b">
        <f>_xll.qlInstrumentSetPricingEngine(O98,OisEngine)</f>
        <v>1</v>
      </c>
      <c r="Q98" s="188">
        <f>_xll.qlIndexFixing(Currency&amp;IborType&amp;"3M",_xll.qlInterestRateIndexFixingDate(Currency&amp;IborType&amp;"3M",M98),TRUE,AllTriggers)</f>
        <v>4.6040433514309788E-2</v>
      </c>
      <c r="R98" s="188">
        <f>_xll.qlOvernightIndexedSwapFairRate(O98,AllTriggers)</f>
        <v>4.2581630060961558E-2</v>
      </c>
      <c r="S98" s="190">
        <f t="shared" si="3"/>
        <v>3.4588034533482304E-3</v>
      </c>
    </row>
    <row r="99" spans="5:19" ht="11.25" customHeight="1" x14ac:dyDescent="0.2">
      <c r="E99" s="182"/>
      <c r="F99" s="182"/>
      <c r="G99" s="181"/>
      <c r="J99" s="181"/>
      <c r="K99" s="181"/>
      <c r="M99" s="196">
        <f>_xll.qlCalendarAdvance(Calendar,M98,"1M","f",,Trigger)</f>
        <v>44923</v>
      </c>
      <c r="N99" s="187">
        <f>_xll.qlInterestRateIndexMaturity("AUDBBSW3M",M99)</f>
        <v>45013</v>
      </c>
      <c r="O99" s="189" t="str">
        <f>_xll.qlMakeDatedOIS(,M99,N99,OvernightIndex,0,,,,EvaluationDate)</f>
        <v>obj_002a7#0000</v>
      </c>
      <c r="P99" s="189" t="b">
        <f>_xll.qlInstrumentSetPricingEngine(O99,OisEngine)</f>
        <v>1</v>
      </c>
      <c r="Q99" s="188">
        <f>_xll.qlIndexFixing(Currency&amp;IborType&amp;"3M",_xll.qlInterestRateIndexFixingDate(Currency&amp;IborType&amp;"3M",M99),TRUE,AllTriggers)</f>
        <v>4.6142229541523756E-2</v>
      </c>
      <c r="R99" s="188">
        <f>_xll.qlOvernightIndexedSwapFairRate(O99,AllTriggers)</f>
        <v>4.2787499780764904E-2</v>
      </c>
      <c r="S99" s="190">
        <f t="shared" si="3"/>
        <v>3.3547297607588525E-3</v>
      </c>
    </row>
    <row r="100" spans="5:19" ht="11.25" customHeight="1" x14ac:dyDescent="0.2">
      <c r="E100" s="182"/>
      <c r="F100" s="182"/>
      <c r="G100" s="181"/>
      <c r="J100" s="181"/>
      <c r="K100" s="181"/>
      <c r="M100" s="196">
        <f>_xll.qlCalendarAdvance(Calendar,M99,"1M","f",,Trigger)</f>
        <v>44956</v>
      </c>
      <c r="N100" s="187">
        <f>_xll.qlInterestRateIndexMaturity("AUDBBSW3M",M100)</f>
        <v>45044</v>
      </c>
      <c r="O100" s="189" t="str">
        <f>_xll.qlMakeDatedOIS(,M100,N100,OvernightIndex,0,,,,EvaluationDate)</f>
        <v>obj_00376#0000</v>
      </c>
      <c r="P100" s="189" t="b">
        <f>_xll.qlInstrumentSetPricingEngine(O100,OisEngine)</f>
        <v>1</v>
      </c>
      <c r="Q100" s="188">
        <f>_xll.qlIndexFixing(Currency&amp;IborType&amp;"3M",_xll.qlInterestRateIndexFixingDate(Currency&amp;IborType&amp;"3M",M100),TRUE,AllTriggers)</f>
        <v>4.6257280165682563E-2</v>
      </c>
      <c r="R100" s="188">
        <f>_xll.qlOvernightIndexedSwapFairRate(O100,AllTriggers)</f>
        <v>4.3012048219317783E-2</v>
      </c>
      <c r="S100" s="190">
        <f t="shared" si="3"/>
        <v>3.2452319463647794E-3</v>
      </c>
    </row>
    <row r="101" spans="5:19" ht="11.25" customHeight="1" x14ac:dyDescent="0.2">
      <c r="E101" s="182"/>
      <c r="F101" s="182"/>
      <c r="G101" s="181"/>
      <c r="J101" s="181"/>
      <c r="K101" s="181"/>
      <c r="M101" s="196">
        <f>_xll.qlCalendarAdvance(Calendar,M100,"1M","f",,Trigger)</f>
        <v>44985</v>
      </c>
      <c r="N101" s="187">
        <f>_xll.qlInterestRateIndexMaturity("AUDBBSW3M",M101)</f>
        <v>45077</v>
      </c>
      <c r="O101" s="189" t="str">
        <f>_xll.qlMakeDatedOIS(,M101,N101,OvernightIndex,0,,,,EvaluationDate)</f>
        <v>obj_003d5#0000</v>
      </c>
      <c r="P101" s="189" t="b">
        <f>_xll.qlInstrumentSetPricingEngine(O101,OisEngine)</f>
        <v>1</v>
      </c>
      <c r="Q101" s="188">
        <f>_xll.qlIndexFixing(Currency&amp;IborType&amp;"3M",_xll.qlInterestRateIndexFixingDate(Currency&amp;IborType&amp;"3M",M101),TRUE,AllTriggers)</f>
        <v>4.6388385325894496E-2</v>
      </c>
      <c r="R101" s="188">
        <f>_xll.qlOvernightIndexedSwapFairRate(O101,AllTriggers)</f>
        <v>4.3241668764412593E-2</v>
      </c>
      <c r="S101" s="190">
        <f t="shared" si="3"/>
        <v>3.1467165614819034E-3</v>
      </c>
    </row>
    <row r="102" spans="5:19" ht="11.25" customHeight="1" x14ac:dyDescent="0.2">
      <c r="E102" s="182"/>
      <c r="F102" s="182"/>
      <c r="G102" s="181"/>
      <c r="J102" s="181"/>
      <c r="K102" s="181"/>
      <c r="M102" s="196">
        <f>_xll.qlCalendarAdvance(Calendar,M101,"1M","f",,Trigger)</f>
        <v>45013</v>
      </c>
      <c r="N102" s="187">
        <f>_xll.qlInterestRateIndexMaturity("AUDBBSW3M",M102)</f>
        <v>45105</v>
      </c>
      <c r="O102" s="189" t="str">
        <f>_xll.qlMakeDatedOIS(,M102,N102,OvernightIndex,0,,,,EvaluationDate)</f>
        <v>obj_0035a#0000</v>
      </c>
      <c r="P102" s="189" t="b">
        <f>_xll.qlInstrumentSetPricingEngine(O102,OisEngine)</f>
        <v>1</v>
      </c>
      <c r="Q102" s="188">
        <f>_xll.qlIndexFixing(Currency&amp;IborType&amp;"3M",_xll.qlInterestRateIndexFixingDate(Currency&amp;IborType&amp;"3M",M102),TRUE,AllTriggers)</f>
        <v>4.6498033877226383E-2</v>
      </c>
      <c r="R102" s="188">
        <f>_xll.qlOvernightIndexedSwapFairRate(O102,AllTriggers)</f>
        <v>4.3437336161957101E-2</v>
      </c>
      <c r="S102" s="190">
        <f t="shared" si="3"/>
        <v>3.0606977152692824E-3</v>
      </c>
    </row>
    <row r="103" spans="5:19" ht="11.25" customHeight="1" x14ac:dyDescent="0.2">
      <c r="E103" s="182"/>
      <c r="F103" s="182"/>
      <c r="G103" s="181"/>
      <c r="J103" s="181"/>
      <c r="K103" s="181"/>
      <c r="M103" s="196">
        <f>_xll.qlCalendarAdvance(Calendar,M102,"1M","f",,Trigger)</f>
        <v>45044</v>
      </c>
      <c r="N103" s="187">
        <f>_xll.qlInterestRateIndexMaturity("AUDBBSW3M",M103)</f>
        <v>45138</v>
      </c>
      <c r="O103" s="189" t="str">
        <f>_xll.qlMakeDatedOIS(,M103,N103,OvernightIndex,0,,,,EvaluationDate)</f>
        <v>obj_002cc#0000</v>
      </c>
      <c r="P103" s="189" t="b">
        <f>_xll.qlInstrumentSetPricingEngine(O103,OisEngine)</f>
        <v>1</v>
      </c>
      <c r="Q103" s="188">
        <f>_xll.qlIndexFixing(Currency&amp;IborType&amp;"3M",_xll.qlInterestRateIndexFixingDate(Currency&amp;IborType&amp;"3M",M103),TRUE,AllTriggers)</f>
        <v>4.6631457629900126E-2</v>
      </c>
      <c r="R103" s="188">
        <f>_xll.qlOvernightIndexedSwapFairRate(O103,AllTriggers)</f>
        <v>4.3663202858377444E-2</v>
      </c>
      <c r="S103" s="190">
        <f t="shared" si="3"/>
        <v>2.9682547715226826E-3</v>
      </c>
    </row>
    <row r="104" spans="5:19" ht="11.25" customHeight="1" x14ac:dyDescent="0.2">
      <c r="E104" s="182"/>
      <c r="F104" s="182"/>
      <c r="G104" s="181"/>
      <c r="J104" s="181"/>
      <c r="K104" s="181"/>
      <c r="M104" s="196">
        <f>_xll.qlCalendarAdvance(Calendar,M103,"1M","f",,Trigger)</f>
        <v>45075</v>
      </c>
      <c r="N104" s="187">
        <f>_xll.qlInterestRateIndexMaturity("AUDBBSW3M",M104)</f>
        <v>45167</v>
      </c>
      <c r="O104" s="189" t="str">
        <f>_xll.qlMakeDatedOIS(,M104,N104,OvernightIndex,0,,,,EvaluationDate)</f>
        <v>obj_002c3#0000</v>
      </c>
      <c r="P104" s="189" t="b">
        <f>_xll.qlInstrumentSetPricingEngine(O104,OisEngine)</f>
        <v>1</v>
      </c>
      <c r="Q104" s="188">
        <f>_xll.qlIndexFixing(Currency&amp;IborType&amp;"3M",_xll.qlInterestRateIndexFixingDate(Currency&amp;IborType&amp;"3M",M104),TRUE,AllTriggers)</f>
        <v>4.6747056165381523E-2</v>
      </c>
      <c r="R104" s="188">
        <f>_xll.qlOvernightIndexedSwapFairRate(O104,AllTriggers)</f>
        <v>4.3861938008146056E-2</v>
      </c>
      <c r="S104" s="190">
        <f t="shared" si="3"/>
        <v>2.8851181572354667E-3</v>
      </c>
    </row>
    <row r="105" spans="5:19" ht="11.25" customHeight="1" x14ac:dyDescent="0.2">
      <c r="E105" s="182"/>
      <c r="F105" s="182"/>
      <c r="G105" s="181"/>
      <c r="J105" s="181"/>
      <c r="K105" s="181"/>
      <c r="M105" s="196">
        <f>_xll.qlCalendarAdvance(Calendar,M104,"1M","f",,Trigger)</f>
        <v>45106</v>
      </c>
      <c r="N105" s="187">
        <f>_xll.qlInterestRateIndexMaturity("AUDBBSW3M",M105)</f>
        <v>45198</v>
      </c>
      <c r="O105" s="189" t="str">
        <f>_xll.qlMakeDatedOIS(,M105,N105,OvernightIndex,0,,,,EvaluationDate)</f>
        <v>obj_002b6#0000</v>
      </c>
      <c r="P105" s="189" t="b">
        <f>_xll.qlInstrumentSetPricingEngine(O105,OisEngine)</f>
        <v>1</v>
      </c>
      <c r="Q105" s="188">
        <f>_xll.qlIndexFixing(Currency&amp;IborType&amp;"3M",_xll.qlInterestRateIndexFixingDate(Currency&amp;IborType&amp;"3M",M105),TRUE,AllTriggers)</f>
        <v>4.6874786050302188E-2</v>
      </c>
      <c r="R105" s="188">
        <f>_xll.qlOvernightIndexedSwapFairRate(O105,AllTriggers)</f>
        <v>4.406966676775706E-2</v>
      </c>
      <c r="S105" s="190">
        <f t="shared" si="3"/>
        <v>2.8051192825451279E-3</v>
      </c>
    </row>
    <row r="106" spans="5:19" ht="11.25" customHeight="1" x14ac:dyDescent="0.2">
      <c r="E106" s="182"/>
      <c r="F106" s="182"/>
      <c r="G106" s="181"/>
      <c r="J106" s="181"/>
      <c r="K106" s="181"/>
      <c r="M106" s="196">
        <f>_xll.qlCalendarAdvance(Calendar,M105,"1M","f",,Trigger)</f>
        <v>45138</v>
      </c>
      <c r="N106" s="187">
        <f>_xll.qlInterestRateIndexMaturity("AUDBBSW3M",M106)</f>
        <v>45230</v>
      </c>
      <c r="O106" s="189" t="str">
        <f>_xll.qlMakeDatedOIS(,M106,N106,OvernightIndex,0,,,,EvaluationDate)</f>
        <v>obj_00314#0000</v>
      </c>
      <c r="P106" s="189" t="b">
        <f>_xll.qlInstrumentSetPricingEngine(O106,OisEngine)</f>
        <v>1</v>
      </c>
      <c r="Q106" s="188">
        <f>_xll.qlIndexFixing(Currency&amp;IborType&amp;"3M",_xll.qlInterestRateIndexFixingDate(Currency&amp;IborType&amp;"3M",M106),TRUE,AllTriggers)</f>
        <v>4.7008887315393273E-2</v>
      </c>
      <c r="R106" s="188">
        <f>_xll.qlOvernightIndexedSwapFairRate(O106,AllTriggers)</f>
        <v>4.4278861331990098E-2</v>
      </c>
      <c r="S106" s="190">
        <f t="shared" si="3"/>
        <v>2.7300259834031754E-3</v>
      </c>
    </row>
    <row r="107" spans="5:19" ht="11.25" customHeight="1" x14ac:dyDescent="0.2">
      <c r="E107" s="182"/>
      <c r="F107" s="182"/>
      <c r="G107" s="181"/>
      <c r="J107" s="181"/>
      <c r="K107" s="181"/>
      <c r="M107" s="196">
        <f>_xll.qlCalendarAdvance(Calendar,M106,"1M","f",,Trigger)</f>
        <v>45169</v>
      </c>
      <c r="N107" s="187">
        <f>_xll.qlInterestRateIndexMaturity("AUDBBSW3M",M107)</f>
        <v>45260</v>
      </c>
      <c r="O107" s="189" t="str">
        <f>_xll.qlMakeDatedOIS(,M107,N107,OvernightIndex,0,,,,EvaluationDate)</f>
        <v>obj_002a6#0000</v>
      </c>
      <c r="P107" s="189" t="b">
        <f>_xll.qlInstrumentSetPricingEngine(O107,OisEngine)</f>
        <v>1</v>
      </c>
      <c r="Q107" s="188">
        <f>_xll.qlIndexFixing(Currency&amp;IborType&amp;"3M",_xll.qlInterestRateIndexFixingDate(Currency&amp;IborType&amp;"3M",M107),TRUE,AllTriggers)</f>
        <v>4.7135782495221636E-2</v>
      </c>
      <c r="R107" s="188">
        <f>_xll.qlOvernightIndexedSwapFairRate(O107,AllTriggers)</f>
        <v>4.4467233262863996E-2</v>
      </c>
      <c r="S107" s="190">
        <f t="shared" si="3"/>
        <v>2.6685492323576393E-3</v>
      </c>
    </row>
    <row r="108" spans="5:19" ht="11.25" customHeight="1" x14ac:dyDescent="0.2">
      <c r="E108" s="182"/>
      <c r="F108" s="182"/>
      <c r="G108" s="181"/>
      <c r="J108" s="181"/>
      <c r="K108" s="181"/>
      <c r="M108" s="196">
        <f>_xll.qlCalendarAdvance(Calendar,M107,"1M","f",,Trigger)</f>
        <v>45202</v>
      </c>
      <c r="N108" s="187">
        <f>_xll.qlInterestRateIndexMaturity("AUDBBSW3M",M108)</f>
        <v>45294</v>
      </c>
      <c r="O108" s="189" t="str">
        <f>_xll.qlMakeDatedOIS(,M108,N108,OvernightIndex,0,,,,EvaluationDate)</f>
        <v>obj_002f2#0000</v>
      </c>
      <c r="P108" s="189" t="b">
        <f>_xll.qlInstrumentSetPricingEngine(O108,OisEngine)</f>
        <v>1</v>
      </c>
      <c r="Q108" s="188">
        <f>_xll.qlIndexFixing(Currency&amp;IborType&amp;"3M",_xll.qlInterestRateIndexFixingDate(Currency&amp;IborType&amp;"3M",M108),TRUE,AllTriggers)</f>
        <v>4.7283951135268662E-2</v>
      </c>
      <c r="R108" s="188">
        <f>_xll.qlOvernightIndexedSwapFairRate(O108,AllTriggers)</f>
        <v>4.4666389234265948E-2</v>
      </c>
      <c r="S108" s="190">
        <f t="shared" si="3"/>
        <v>2.6175619010027143E-3</v>
      </c>
    </row>
    <row r="109" spans="5:19" ht="11.25" customHeight="1" x14ac:dyDescent="0.2">
      <c r="E109" s="182"/>
      <c r="F109" s="182"/>
      <c r="G109" s="181"/>
      <c r="J109" s="181"/>
      <c r="K109" s="181"/>
      <c r="M109" s="196">
        <f>_xll.qlCalendarAdvance(Calendar,M108,"1M","f",,Trigger)</f>
        <v>45233</v>
      </c>
      <c r="N109" s="187">
        <f>_xll.qlInterestRateIndexMaturity("AUDBBSW3M",M109)</f>
        <v>45327</v>
      </c>
      <c r="O109" s="189" t="str">
        <f>_xll.qlMakeDatedOIS(,M109,N109,OvernightIndex,0,,,,EvaluationDate)</f>
        <v>obj_003c4#0000</v>
      </c>
      <c r="P109" s="189" t="b">
        <f>_xll.qlInstrumentSetPricingEngine(O109,OisEngine)</f>
        <v>1</v>
      </c>
      <c r="Q109" s="188">
        <f>_xll.qlIndexFixing(Currency&amp;IborType&amp;"3M",_xll.qlInterestRateIndexFixingDate(Currency&amp;IborType&amp;"3M",M109),TRUE,AllTriggers)</f>
        <v>4.7431086822438767E-2</v>
      </c>
      <c r="R109" s="188">
        <f>_xll.qlOvernightIndexedSwapFairRate(O109,AllTriggers)</f>
        <v>4.4844929520557741E-2</v>
      </c>
      <c r="S109" s="190">
        <f t="shared" si="3"/>
        <v>2.5861573018810258E-3</v>
      </c>
    </row>
    <row r="110" spans="5:19" ht="11.25" customHeight="1" x14ac:dyDescent="0.2">
      <c r="E110" s="182"/>
      <c r="F110" s="182"/>
      <c r="G110" s="181"/>
      <c r="J110" s="181"/>
      <c r="K110" s="181"/>
      <c r="M110" s="196">
        <f>_xll.qlCalendarAdvance(Calendar,M109,"1M","f",,Trigger)</f>
        <v>45264</v>
      </c>
      <c r="N110" s="187">
        <f>_xll.qlInterestRateIndexMaturity("AUDBBSW3M",M110)</f>
        <v>45355</v>
      </c>
      <c r="O110" s="189" t="str">
        <f>_xll.qlMakeDatedOIS(,M110,N110,OvernightIndex,0,,,,EvaluationDate)</f>
        <v>obj_0036c#0000</v>
      </c>
      <c r="P110" s="189" t="b">
        <f>_xll.qlInstrumentSetPricingEngine(O110,OisEngine)</f>
        <v>1</v>
      </c>
      <c r="Q110" s="188">
        <f>_xll.qlIndexFixing(Currency&amp;IborType&amp;"3M",_xll.qlInterestRateIndexFixingDate(Currency&amp;IborType&amp;"3M",M110),TRUE,AllTriggers)</f>
        <v>4.7553788340747354E-2</v>
      </c>
      <c r="R110" s="188">
        <f>_xll.qlOvernightIndexedSwapFairRate(O110,AllTriggers)</f>
        <v>4.4983937507226429E-2</v>
      </c>
      <c r="S110" s="190">
        <f t="shared" si="3"/>
        <v>2.5698508335209244E-3</v>
      </c>
    </row>
    <row r="111" spans="5:19" ht="11.25" customHeight="1" x14ac:dyDescent="0.2">
      <c r="E111" s="182"/>
      <c r="F111" s="182"/>
      <c r="G111" s="181"/>
      <c r="J111" s="181"/>
      <c r="K111" s="181"/>
      <c r="M111" s="196">
        <f>_xll.qlCalendarAdvance(Calendar,M110,"1M","f",,Trigger)</f>
        <v>45295</v>
      </c>
      <c r="N111" s="187">
        <f>_xll.qlInterestRateIndexMaturity("AUDBBSW3M",M111)</f>
        <v>45386</v>
      </c>
      <c r="O111" s="189" t="str">
        <f>_xll.qlMakeDatedOIS(,M111,N111,OvernightIndex,0,,,,EvaluationDate)</f>
        <v>obj_003b6#0000</v>
      </c>
      <c r="P111" s="189" t="b">
        <f>_xll.qlInstrumentSetPricingEngine(O111,OisEngine)</f>
        <v>1</v>
      </c>
      <c r="Q111" s="188">
        <f>_xll.qlIndexFixing(Currency&amp;IborType&amp;"3M",_xll.qlInterestRateIndexFixingDate(Currency&amp;IborType&amp;"3M",M111),TRUE,AllTriggers)</f>
        <v>4.769455291708654E-2</v>
      </c>
      <c r="R111" s="188">
        <f>_xll.qlOvernightIndexedSwapFairRate(O111,AllTriggers)</f>
        <v>4.5125409735221278E-2</v>
      </c>
      <c r="S111" s="190">
        <f t="shared" si="3"/>
        <v>2.5691431818652619E-3</v>
      </c>
    </row>
    <row r="112" spans="5:19" ht="11.25" customHeight="1" x14ac:dyDescent="0.2">
      <c r="E112" s="182"/>
      <c r="F112" s="182"/>
      <c r="G112" s="181"/>
      <c r="J112" s="181"/>
      <c r="K112" s="181"/>
      <c r="M112" s="196">
        <f>_xll.qlCalendarAdvance(Calendar,M111,"1M","f",,Trigger)</f>
        <v>45327</v>
      </c>
      <c r="N112" s="187">
        <f>_xll.qlInterestRateIndexMaturity("AUDBBSW3M",M112)</f>
        <v>45418</v>
      </c>
      <c r="O112" s="189" t="str">
        <f>_xll.qlMakeDatedOIS(,M112,N112,OvernightIndex,0,,,,EvaluationDate)</f>
        <v>obj_003d3#0000</v>
      </c>
      <c r="P112" s="189" t="b">
        <f>_xll.qlInstrumentSetPricingEngine(O112,OisEngine)</f>
        <v>1</v>
      </c>
      <c r="Q112" s="188">
        <f>_xll.qlIndexFixing(Currency&amp;IborType&amp;"3M",_xll.qlInterestRateIndexFixingDate(Currency&amp;IborType&amp;"3M",M112),TRUE,AllTriggers)</f>
        <v>4.7842110380658033E-2</v>
      </c>
      <c r="R112" s="188">
        <f>_xll.qlOvernightIndexedSwapFairRate(O112,AllTriggers)</f>
        <v>4.525743123706457E-2</v>
      </c>
      <c r="S112" s="190">
        <f t="shared" si="3"/>
        <v>2.584679143593463E-3</v>
      </c>
    </row>
    <row r="113" spans="5:19" ht="11.25" customHeight="1" x14ac:dyDescent="0.2">
      <c r="E113" s="182"/>
      <c r="F113" s="182"/>
      <c r="G113" s="181"/>
      <c r="J113" s="181"/>
      <c r="K113" s="181"/>
      <c r="M113" s="196">
        <f>_xll.qlCalendarAdvance(Calendar,M112,"1M","f",,Trigger)</f>
        <v>45356</v>
      </c>
      <c r="N113" s="187">
        <f>_xll.qlInterestRateIndexMaturity("AUDBBSW3M",M113)</f>
        <v>45448</v>
      </c>
      <c r="O113" s="189" t="str">
        <f>_xll.qlMakeDatedOIS(,M113,N113,OvernightIndex,0,,,,EvaluationDate)</f>
        <v>obj_00397#0000</v>
      </c>
      <c r="P113" s="189" t="b">
        <f>_xll.qlInstrumentSetPricingEngine(O113,OisEngine)</f>
        <v>1</v>
      </c>
      <c r="Q113" s="188">
        <f>_xll.qlIndexFixing(Currency&amp;IborType&amp;"3M",_xll.qlInterestRateIndexFixingDate(Currency&amp;IborType&amp;"3M",M113),TRUE,AllTriggers)</f>
        <v>4.7983325041338024E-2</v>
      </c>
      <c r="R113" s="188">
        <f>_xll.qlOvernightIndexedSwapFairRate(O113,AllTriggers)</f>
        <v>4.5369267175135286E-2</v>
      </c>
      <c r="S113" s="190">
        <f t="shared" si="3"/>
        <v>2.6140578662027375E-3</v>
      </c>
    </row>
    <row r="114" spans="5:19" ht="11.25" customHeight="1" x14ac:dyDescent="0.2">
      <c r="E114" s="182"/>
      <c r="F114" s="182"/>
      <c r="G114" s="181"/>
      <c r="J114" s="181"/>
      <c r="K114" s="181"/>
      <c r="M114" s="196">
        <f>_xll.qlCalendarAdvance(Calendar,M113,"1M","f",,Trigger)</f>
        <v>45387</v>
      </c>
      <c r="N114" s="187">
        <f>_xll.qlInterestRateIndexMaturity("AUDBBSW3M",M114)</f>
        <v>45478</v>
      </c>
      <c r="O114" s="189" t="str">
        <f>_xll.qlMakeDatedOIS(,M114,N114,OvernightIndex,0,,,,EvaluationDate)</f>
        <v>obj_0032a#0000</v>
      </c>
      <c r="P114" s="189" t="b">
        <f>_xll.qlInstrumentSetPricingEngine(O114,OisEngine)</f>
        <v>1</v>
      </c>
      <c r="Q114" s="188">
        <f>_xll.qlIndexFixing(Currency&amp;IborType&amp;"3M",_xll.qlInterestRateIndexFixingDate(Currency&amp;IborType&amp;"3M",M114),TRUE,AllTriggers)</f>
        <v>4.8124947937369551E-2</v>
      </c>
      <c r="R114" s="188">
        <f>_xll.qlOvernightIndexedSwapFairRate(O114,AllTriggers)</f>
        <v>4.5466594188926887E-2</v>
      </c>
      <c r="S114" s="190">
        <f t="shared" si="3"/>
        <v>2.6583537484426642E-3</v>
      </c>
    </row>
    <row r="115" spans="5:19" ht="11.25" customHeight="1" x14ac:dyDescent="0.2">
      <c r="E115" s="182"/>
      <c r="F115" s="182"/>
      <c r="G115" s="181"/>
      <c r="J115" s="181"/>
      <c r="K115" s="181"/>
      <c r="M115" s="196">
        <f>_xll.qlCalendarAdvance(Calendar,M114,"1M","f",,Trigger)</f>
        <v>45418</v>
      </c>
      <c r="N115" s="187">
        <f>_xll.qlInterestRateIndexMaturity("AUDBBSW3M",M115)</f>
        <v>45510</v>
      </c>
      <c r="O115" s="189" t="str">
        <f>_xll.qlMakeDatedOIS(,M115,N115,OvernightIndex,0,,,,EvaluationDate)</f>
        <v>obj_00313#0000</v>
      </c>
      <c r="P115" s="189" t="b">
        <f>_xll.qlInstrumentSetPricingEngine(O115,OisEngine)</f>
        <v>1</v>
      </c>
      <c r="Q115" s="188">
        <f>_xll.qlIndexFixing(Currency&amp;IborType&amp;"3M",_xll.qlInterestRateIndexFixingDate(Currency&amp;IborType&amp;"3M",M115),TRUE,AllTriggers)</f>
        <v>4.8279855417858883E-2</v>
      </c>
      <c r="R115" s="188">
        <f>_xll.qlOvernightIndexedSwapFairRate(O115,AllTriggers)</f>
        <v>4.5559129488246641E-2</v>
      </c>
      <c r="S115" s="190">
        <f t="shared" si="3"/>
        <v>2.7207259296122416E-3</v>
      </c>
    </row>
    <row r="116" spans="5:19" ht="11.25" customHeight="1" x14ac:dyDescent="0.2">
      <c r="E116" s="182"/>
      <c r="F116" s="182"/>
      <c r="G116" s="181"/>
      <c r="J116" s="181"/>
      <c r="K116" s="181"/>
      <c r="M116" s="196">
        <f>_xll.qlCalendarAdvance(Calendar,M115,"1M","f",,Trigger)</f>
        <v>45449</v>
      </c>
      <c r="N116" s="187">
        <f>_xll.qlInterestRateIndexMaturity("AUDBBSW3M",M116)</f>
        <v>45541</v>
      </c>
      <c r="O116" s="189" t="str">
        <f>_xll.qlMakeDatedOIS(,M116,N116,OvernightIndex,0,,,,EvaluationDate)</f>
        <v>obj_002a5#0000</v>
      </c>
      <c r="P116" s="189" t="b">
        <f>_xll.qlInstrumentSetPricingEngine(O116,OisEngine)</f>
        <v>1</v>
      </c>
      <c r="Q116" s="188">
        <f>_xll.qlIndexFixing(Currency&amp;IborType&amp;"3M",_xll.qlInterestRateIndexFixingDate(Currency&amp;IborType&amp;"3M",M116),TRUE,AllTriggers)</f>
        <v>4.843134301114272E-2</v>
      </c>
      <c r="R116" s="188">
        <f>_xll.qlOvernightIndexedSwapFairRate(O116,AllTriggers)</f>
        <v>4.5634010791512518E-2</v>
      </c>
      <c r="S116" s="190">
        <f t="shared" si="3"/>
        <v>2.7973322196302025E-3</v>
      </c>
    </row>
    <row r="117" spans="5:19" ht="11.25" customHeight="1" x14ac:dyDescent="0.2">
      <c r="E117" s="182"/>
      <c r="F117" s="182"/>
      <c r="G117" s="181"/>
      <c r="J117" s="181"/>
      <c r="K117" s="181"/>
      <c r="M117" s="196">
        <f>_xll.qlCalendarAdvance(Calendar,M116,"1M","f",,Trigger)</f>
        <v>45481</v>
      </c>
      <c r="N117" s="187">
        <f>_xll.qlInterestRateIndexMaturity("AUDBBSW3M",M117)</f>
        <v>45573</v>
      </c>
      <c r="O117" s="189" t="str">
        <f>_xll.qlMakeDatedOIS(,M117,N117,OvernightIndex,0,,,,EvaluationDate)</f>
        <v>obj_00375#0000</v>
      </c>
      <c r="P117" s="189" t="b">
        <f>_xll.qlInstrumentSetPricingEngine(O117,OisEngine)</f>
        <v>1</v>
      </c>
      <c r="Q117" s="188">
        <f>_xll.qlIndexFixing(Currency&amp;IborType&amp;"3M",_xll.qlInterestRateIndexFixingDate(Currency&amp;IborType&amp;"3M",M117),TRUE,AllTriggers)</f>
        <v>4.8589678711832972E-2</v>
      </c>
      <c r="R117" s="188">
        <f>_xll.qlOvernightIndexedSwapFairRate(O117,AllTriggers)</f>
        <v>4.5697701539548968E-2</v>
      </c>
      <c r="S117" s="190">
        <f t="shared" si="3"/>
        <v>2.8919771722840035E-3</v>
      </c>
    </row>
    <row r="118" spans="5:19" ht="11.25" customHeight="1" x14ac:dyDescent="0.2">
      <c r="E118" s="182"/>
      <c r="F118" s="182"/>
      <c r="G118" s="181"/>
      <c r="J118" s="181"/>
      <c r="K118" s="181"/>
      <c r="M118" s="196">
        <f>_xll.qlCalendarAdvance(Calendar,M117,"1M","f",,Trigger)</f>
        <v>45512</v>
      </c>
      <c r="N118" s="187">
        <f>_xll.qlInterestRateIndexMaturity("AUDBBSW3M",M118)</f>
        <v>45604</v>
      </c>
      <c r="O118" s="189" t="str">
        <f>_xll.qlMakeDatedOIS(,M118,N118,OvernightIndex,0,,,,EvaluationDate)</f>
        <v>obj_00367#0000</v>
      </c>
      <c r="P118" s="189" t="b">
        <f>_xll.qlInstrumentSetPricingEngine(O118,OisEngine)</f>
        <v>1</v>
      </c>
      <c r="Q118" s="188">
        <f>_xll.qlIndexFixing(Currency&amp;IborType&amp;"3M",_xll.qlInterestRateIndexFixingDate(Currency&amp;IborType&amp;"3M",M118),TRUE,AllTriggers)</f>
        <v>4.8742745682551596E-2</v>
      </c>
      <c r="R118" s="188">
        <f>_xll.qlOvernightIndexedSwapFairRate(O118,AllTriggers)</f>
        <v>4.5749376632662216E-2</v>
      </c>
      <c r="S118" s="190">
        <f t="shared" si="3"/>
        <v>2.99336904988938E-3</v>
      </c>
    </row>
    <row r="119" spans="5:19" ht="11.25" customHeight="1" x14ac:dyDescent="0.2">
      <c r="E119" s="182"/>
      <c r="F119" s="182"/>
      <c r="G119" s="181"/>
      <c r="J119" s="181"/>
      <c r="K119" s="181"/>
      <c r="M119" s="196">
        <f>_xll.qlCalendarAdvance(Calendar,M118,"1M","f",,Trigger)</f>
        <v>45544</v>
      </c>
      <c r="N119" s="187">
        <f>_xll.qlInterestRateIndexMaturity("AUDBBSW3M",M119)</f>
        <v>45635</v>
      </c>
      <c r="O119" s="189" t="str">
        <f>_xll.qlMakeDatedOIS(,M119,N119,OvernightIndex,0,,,,EvaluationDate)</f>
        <v>obj_002d9#0000</v>
      </c>
      <c r="P119" s="189" t="b">
        <f>_xll.qlInstrumentSetPricingEngine(O119,OisEngine)</f>
        <v>1</v>
      </c>
      <c r="Q119" s="188">
        <f>_xll.qlIndexFixing(Currency&amp;IborType&amp;"3M",_xll.qlInterestRateIndexFixingDate(Currency&amp;IborType&amp;"3M",M119),TRUE,AllTriggers)</f>
        <v>4.8891658960418617E-2</v>
      </c>
      <c r="R119" s="188">
        <f>_xll.qlOvernightIndexedSwapFairRate(O119,AllTriggers)</f>
        <v>4.5793275604546858E-2</v>
      </c>
      <c r="S119" s="190">
        <f t="shared" si="3"/>
        <v>3.0983833558717588E-3</v>
      </c>
    </row>
    <row r="120" spans="5:19" ht="11.25" customHeight="1" x14ac:dyDescent="0.2">
      <c r="E120" s="182"/>
      <c r="F120" s="182"/>
      <c r="G120" s="181"/>
      <c r="J120" s="181"/>
      <c r="K120" s="181"/>
      <c r="M120" s="196">
        <f>_xll.qlCalendarAdvance(Calendar,M119,"1M","f",,Trigger)</f>
        <v>45574</v>
      </c>
      <c r="N120" s="187">
        <f>_xll.qlInterestRateIndexMaturity("AUDBBSW3M",M120)</f>
        <v>45666</v>
      </c>
      <c r="O120" s="189" t="str">
        <f>_xll.qlMakeDatedOIS(,M120,N120,OvernightIndex,0,,,,EvaluationDate)</f>
        <v>obj_0034c#0000</v>
      </c>
      <c r="P120" s="189" t="b">
        <f>_xll.qlInstrumentSetPricingEngine(O120,OisEngine)</f>
        <v>1</v>
      </c>
      <c r="Q120" s="188">
        <f>_xll.qlIndexFixing(Currency&amp;IborType&amp;"3M",_xll.qlInterestRateIndexFixingDate(Currency&amp;IborType&amp;"3M",M120),TRUE,AllTriggers)</f>
        <v>4.9036283643935794E-2</v>
      </c>
      <c r="R120" s="188">
        <f>_xll.qlOvernightIndexedSwapFairRate(O120,AllTriggers)</f>
        <v>4.5839679205927332E-2</v>
      </c>
      <c r="S120" s="190">
        <f t="shared" si="3"/>
        <v>3.1966044380084616E-3</v>
      </c>
    </row>
    <row r="121" spans="5:19" ht="11.25" customHeight="1" x14ac:dyDescent="0.2">
      <c r="E121" s="182"/>
      <c r="F121" s="182"/>
      <c r="G121" s="181"/>
      <c r="J121" s="181"/>
      <c r="K121" s="181"/>
      <c r="M121" s="196">
        <f>_xll.qlCalendarAdvance(Calendar,M120,"1M","f",,Trigger)</f>
        <v>45607</v>
      </c>
      <c r="N121" s="187">
        <f>_xll.qlInterestRateIndexMaturity("AUDBBSW3M",M121)</f>
        <v>45699</v>
      </c>
      <c r="O121" s="189" t="str">
        <f>_xll.qlMakeDatedOIS(,M121,N121,OvernightIndex,0,,,,EvaluationDate)</f>
        <v>obj_0033a#0000</v>
      </c>
      <c r="P121" s="189" t="b">
        <f>_xll.qlInstrumentSetPricingEngine(O121,OisEngine)</f>
        <v>1</v>
      </c>
      <c r="Q121" s="188">
        <f>_xll.qlIndexFixing(Currency&amp;IborType&amp;"3M",_xll.qlInterestRateIndexFixingDate(Currency&amp;IborType&amp;"3M",M121),TRUE,AllTriggers)</f>
        <v>4.9182015365003787E-2</v>
      </c>
      <c r="R121" s="188">
        <f>_xll.qlOvernightIndexedSwapFairRate(O121,AllTriggers)</f>
        <v>4.5885844985798438E-2</v>
      </c>
      <c r="S121" s="190">
        <f t="shared" si="3"/>
        <v>3.2961703792053487E-3</v>
      </c>
    </row>
    <row r="122" spans="5:19" ht="11.25" customHeight="1" x14ac:dyDescent="0.2">
      <c r="E122" s="182"/>
      <c r="F122" s="182"/>
      <c r="G122" s="181"/>
      <c r="J122" s="181"/>
      <c r="K122" s="181"/>
      <c r="M122" s="196">
        <f>_xll.qlCalendarAdvance(Calendar,M121,"1M","f",,Trigger)</f>
        <v>45637</v>
      </c>
      <c r="N122" s="187">
        <f>_xll.qlInterestRateIndexMaturity("AUDBBSW3M",M122)</f>
        <v>45727</v>
      </c>
      <c r="O122" s="189" t="str">
        <f>_xll.qlMakeDatedOIS(,M122,N122,OvernightIndex,0,,,,EvaluationDate)</f>
        <v>obj_002b5#0000</v>
      </c>
      <c r="P122" s="189" t="b">
        <f>_xll.qlInstrumentSetPricingEngine(O122,OisEngine)</f>
        <v>1</v>
      </c>
      <c r="Q122" s="188">
        <f>_xll.qlIndexFixing(Currency&amp;IborType&amp;"3M",_xll.qlInterestRateIndexFixingDate(Currency&amp;IborType&amp;"3M",M122),TRUE,AllTriggers)</f>
        <v>4.9297312029606251E-2</v>
      </c>
      <c r="R122" s="188">
        <f>_xll.qlOvernightIndexedSwapFairRate(O122,AllTriggers)</f>
        <v>4.5919812977034624E-2</v>
      </c>
      <c r="S122" s="190">
        <f t="shared" si="3"/>
        <v>3.3774990525716267E-3</v>
      </c>
    </row>
    <row r="123" spans="5:19" ht="11.25" customHeight="1" x14ac:dyDescent="0.2">
      <c r="E123" s="182"/>
      <c r="F123" s="182"/>
      <c r="G123" s="181"/>
      <c r="J123" s="181"/>
      <c r="K123" s="181"/>
      <c r="M123" s="196">
        <f>_xll.qlCalendarAdvance(Calendar,M122,"1M","f",,Trigger)</f>
        <v>45670</v>
      </c>
      <c r="N123" s="187">
        <f>_xll.qlInterestRateIndexMaturity("AUDBBSW3M",M123)</f>
        <v>45761</v>
      </c>
      <c r="O123" s="189" t="str">
        <f>_xll.qlMakeDatedOIS(,M123,N123,OvernightIndex,0,,,,EvaluationDate)</f>
        <v>obj_00312#0000</v>
      </c>
      <c r="P123" s="189" t="b">
        <f>_xll.qlInstrumentSetPricingEngine(O123,OisEngine)</f>
        <v>1</v>
      </c>
      <c r="Q123" s="188">
        <f>_xll.qlIndexFixing(Currency&amp;IborType&amp;"3M",_xll.qlInterestRateIndexFixingDate(Currency&amp;IborType&amp;"3M",M123),TRUE,AllTriggers)</f>
        <v>4.9434012376977289E-2</v>
      </c>
      <c r="R123" s="188">
        <f>_xll.qlOvernightIndexedSwapFairRate(O123,AllTriggers)</f>
        <v>4.5967775208357035E-2</v>
      </c>
      <c r="S123" s="190">
        <f t="shared" si="3"/>
        <v>3.4662371686202537E-3</v>
      </c>
    </row>
    <row r="124" spans="5:19" ht="11.25" customHeight="1" x14ac:dyDescent="0.2">
      <c r="E124" s="182"/>
      <c r="F124" s="182"/>
      <c r="G124" s="181"/>
      <c r="J124" s="181"/>
      <c r="K124" s="181"/>
      <c r="M124" s="196">
        <f>_xll.qlCalendarAdvance(Calendar,M123,"1M","f",,Trigger)</f>
        <v>45701</v>
      </c>
      <c r="N124" s="187">
        <f>_xll.qlInterestRateIndexMaturity("AUDBBSW3M",M124)</f>
        <v>45790</v>
      </c>
      <c r="O124" s="189" t="str">
        <f>_xll.qlMakeDatedOIS(,M124,N124,OvernightIndex,0,,,,EvaluationDate)</f>
        <v>obj_002a4#0000</v>
      </c>
      <c r="P124" s="189" t="b">
        <f>_xll.qlInstrumentSetPricingEngine(O124,OisEngine)</f>
        <v>1</v>
      </c>
      <c r="Q124" s="188">
        <f>_xll.qlIndexFixing(Currency&amp;IborType&amp;"3M",_xll.qlInterestRateIndexFixingDate(Currency&amp;IborType&amp;"3M",M124),TRUE,AllTriggers)</f>
        <v>4.9540298659182407E-2</v>
      </c>
      <c r="R124" s="188">
        <f>_xll.qlOvernightIndexedSwapFairRate(O124,AllTriggers)</f>
        <v>4.6001450109138857E-2</v>
      </c>
      <c r="S124" s="190">
        <f t="shared" si="3"/>
        <v>3.5388485500435496E-3</v>
      </c>
    </row>
    <row r="125" spans="5:19" ht="11.25" customHeight="1" x14ac:dyDescent="0.2">
      <c r="E125" s="182"/>
      <c r="F125" s="182"/>
      <c r="G125" s="181"/>
      <c r="J125" s="181"/>
      <c r="K125" s="181"/>
      <c r="M125" s="196">
        <f>_xll.qlCalendarAdvance(Calendar,M124,"1M","f",,Trigger)</f>
        <v>45729</v>
      </c>
      <c r="N125" s="187">
        <f>_xll.qlInterestRateIndexMaturity("AUDBBSW3M",M125)</f>
        <v>45821</v>
      </c>
      <c r="O125" s="189" t="str">
        <f>_xll.qlMakeDatedOIS(,M125,N125,OvernightIndex,0,,,,EvaluationDate)</f>
        <v>obj_003cf#0000</v>
      </c>
      <c r="P125" s="189" t="b">
        <f>_xll.qlInstrumentSetPricingEngine(O125,OisEngine)</f>
        <v>1</v>
      </c>
      <c r="Q125" s="188">
        <f>_xll.qlIndexFixing(Currency&amp;IborType&amp;"3M",_xll.qlInterestRateIndexFixingDate(Currency&amp;IborType&amp;"3M",M125),TRUE,AllTriggers)</f>
        <v>4.9655104280315096E-2</v>
      </c>
      <c r="R125" s="188">
        <f>_xll.qlOvernightIndexedSwapFairRate(O125,AllTriggers)</f>
        <v>4.604831913053397E-2</v>
      </c>
      <c r="S125" s="190">
        <f t="shared" si="3"/>
        <v>3.6067851497811262E-3</v>
      </c>
    </row>
    <row r="126" spans="5:19" ht="11.25" customHeight="1" x14ac:dyDescent="0.2">
      <c r="E126" s="182"/>
      <c r="F126" s="182"/>
      <c r="G126" s="181"/>
      <c r="J126" s="181"/>
      <c r="K126" s="181"/>
      <c r="M126" s="196">
        <f>_xll.qlCalendarAdvance(Calendar,M125,"1M","f",,Trigger)</f>
        <v>45761</v>
      </c>
      <c r="N126" s="187">
        <f>_xll.qlInterestRateIndexMaturity("AUDBBSW3M",M126)</f>
        <v>45852</v>
      </c>
      <c r="O126" s="189" t="str">
        <f>_xll.qlMakeDatedOIS(,M126,N126,OvernightIndex,0,,,,EvaluationDate)</f>
        <v>obj_002e6#0000</v>
      </c>
      <c r="P126" s="189" t="b">
        <f>_xll.qlInstrumentSetPricingEngine(O126,OisEngine)</f>
        <v>1</v>
      </c>
      <c r="Q126" s="188">
        <f>_xll.qlIndexFixing(Currency&amp;IborType&amp;"3M",_xll.qlInterestRateIndexFixingDate(Currency&amp;IborType&amp;"3M",M126),TRUE,AllTriggers)</f>
        <v>4.9757133139535517E-2</v>
      </c>
      <c r="R126" s="188">
        <f>_xll.qlOvernightIndexedSwapFairRate(O126,AllTriggers)</f>
        <v>4.6085240822707194E-2</v>
      </c>
      <c r="S126" s="190">
        <f t="shared" si="3"/>
        <v>3.6718923168283235E-3</v>
      </c>
    </row>
    <row r="127" spans="5:19" ht="11.25" customHeight="1" x14ac:dyDescent="0.2">
      <c r="E127" s="182"/>
      <c r="F127" s="182"/>
      <c r="G127" s="181"/>
      <c r="J127" s="181"/>
      <c r="K127" s="181"/>
      <c r="M127" s="196">
        <f>_xll.qlCalendarAdvance(Calendar,M126,"1M","f",,Trigger)</f>
        <v>45791</v>
      </c>
      <c r="N127" s="187">
        <f>_xll.qlInterestRateIndexMaturity("AUDBBSW3M",M127)</f>
        <v>45883</v>
      </c>
      <c r="O127" s="189" t="str">
        <f>_xll.qlMakeDatedOIS(,M127,N127,OvernightIndex,0,,,,EvaluationDate)</f>
        <v>obj_00359#0000</v>
      </c>
      <c r="P127" s="189" t="b">
        <f>_xll.qlInstrumentSetPricingEngine(O127,OisEngine)</f>
        <v>1</v>
      </c>
      <c r="Q127" s="188">
        <f>_xll.qlIndexFixing(Currency&amp;IborType&amp;"3M",_xll.qlInterestRateIndexFixingDate(Currency&amp;IborType&amp;"3M",M127),TRUE,AllTriggers)</f>
        <v>4.9855896881075189E-2</v>
      </c>
      <c r="R127" s="188">
        <f>_xll.qlOvernightIndexedSwapFairRate(O127,AllTriggers)</f>
        <v>4.6125941108897145E-2</v>
      </c>
      <c r="S127" s="190">
        <f t="shared" si="3"/>
        <v>3.7299557721780438E-3</v>
      </c>
    </row>
    <row r="128" spans="5:19" ht="11.25" customHeight="1" x14ac:dyDescent="0.2">
      <c r="E128" s="182"/>
      <c r="F128" s="182"/>
      <c r="G128" s="181"/>
      <c r="J128" s="181"/>
      <c r="K128" s="181"/>
      <c r="M128" s="196">
        <f>_xll.qlCalendarAdvance(Calendar,M127,"1M","f",,Trigger)</f>
        <v>45824</v>
      </c>
      <c r="N128" s="187">
        <f>_xll.qlInterestRateIndexMaturity("AUDBBSW3M",M128)</f>
        <v>45916</v>
      </c>
      <c r="O128" s="189" t="str">
        <f>_xll.qlMakeDatedOIS(,M128,N128,OvernightIndex,0,,,,EvaluationDate)</f>
        <v>obj_003a6#0000</v>
      </c>
      <c r="P128" s="189" t="b">
        <f>_xll.qlInstrumentSetPricingEngine(O128,OisEngine)</f>
        <v>1</v>
      </c>
      <c r="Q128" s="188">
        <f>_xll.qlIndexFixing(Currency&amp;IborType&amp;"3M",_xll.qlInterestRateIndexFixingDate(Currency&amp;IborType&amp;"3M",M128),TRUE,AllTriggers)</f>
        <v>4.9951877858083985E-2</v>
      </c>
      <c r="R128" s="188">
        <f>_xll.qlOvernightIndexedSwapFairRate(O128,AllTriggers)</f>
        <v>4.616589650853991E-2</v>
      </c>
      <c r="S128" s="190">
        <f t="shared" si="3"/>
        <v>3.785981349544075E-3</v>
      </c>
    </row>
    <row r="129" spans="5:19" ht="11.25" customHeight="1" x14ac:dyDescent="0.2">
      <c r="E129" s="182"/>
      <c r="F129" s="182"/>
      <c r="G129" s="181"/>
      <c r="J129" s="181"/>
      <c r="K129" s="181"/>
      <c r="M129" s="196">
        <f>_xll.qlCalendarAdvance(Calendar,M128,"1M","f",,Trigger)</f>
        <v>45854</v>
      </c>
      <c r="N129" s="187">
        <f>_xll.qlInterestRateIndexMaturity("AUDBBSW3M",M129)</f>
        <v>45946</v>
      </c>
      <c r="O129" s="189" t="str">
        <f>_xll.qlMakeDatedOIS(,M129,N129,OvernightIndex,0,,,,EvaluationDate)</f>
        <v>obj_002c2#0000</v>
      </c>
      <c r="P129" s="189" t="b">
        <f>_xll.qlInstrumentSetPricingEngine(O129,OisEngine)</f>
        <v>1</v>
      </c>
      <c r="Q129" s="188">
        <f>_xll.qlIndexFixing(Currency&amp;IborType&amp;"3M",_xll.qlInterestRateIndexFixingDate(Currency&amp;IborType&amp;"3M",M129),TRUE,AllTriggers)</f>
        <v>5.0032565913152374E-2</v>
      </c>
      <c r="R129" s="188">
        <f>_xll.qlOvernightIndexedSwapFairRate(O129,AllTriggers)</f>
        <v>4.6201399950069215E-2</v>
      </c>
      <c r="S129" s="190">
        <f t="shared" si="3"/>
        <v>3.8311659630831593E-3</v>
      </c>
    </row>
    <row r="130" spans="5:19" ht="11.25" customHeight="1" x14ac:dyDescent="0.2">
      <c r="E130" s="182"/>
      <c r="F130" s="182"/>
      <c r="G130" s="181"/>
      <c r="J130" s="181"/>
      <c r="K130" s="181"/>
      <c r="M130" s="196">
        <f>_xll.qlCalendarAdvance(Calendar,M129,"1M","f",,Trigger)</f>
        <v>45887</v>
      </c>
      <c r="N130" s="187">
        <f>_xll.qlInterestRateIndexMaturity("AUDBBSW3M",M130)</f>
        <v>45979</v>
      </c>
      <c r="O130" s="189" t="str">
        <f>_xll.qlMakeDatedOIS(,M130,N130,OvernightIndex,0,,,,EvaluationDate)</f>
        <v>obj_00389#0000</v>
      </c>
      <c r="P130" s="189" t="b">
        <f>_xll.qlInstrumentSetPricingEngine(O130,OisEngine)</f>
        <v>1</v>
      </c>
      <c r="Q130" s="188">
        <f>_xll.qlIndexFixing(Currency&amp;IborType&amp;"3M",_xll.qlInterestRateIndexFixingDate(Currency&amp;IborType&amp;"3M",M130),TRUE,AllTriggers)</f>
        <v>5.0114098192895494E-2</v>
      </c>
      <c r="R130" s="188">
        <f>_xll.qlOvernightIndexedSwapFairRate(O130,AllTriggers)</f>
        <v>4.6239552095910054E-2</v>
      </c>
      <c r="S130" s="190">
        <f t="shared" si="3"/>
        <v>3.8745460969854401E-3</v>
      </c>
    </row>
    <row r="131" spans="5:19" ht="11.25" customHeight="1" x14ac:dyDescent="0.2">
      <c r="E131" s="182"/>
      <c r="F131" s="182"/>
      <c r="G131" s="181"/>
      <c r="J131" s="181"/>
      <c r="K131" s="181"/>
      <c r="M131" s="196">
        <f>_xll.qlCalendarAdvance(Calendar,M130,"1M","f",,Trigger)</f>
        <v>45918</v>
      </c>
      <c r="N131" s="187">
        <f>_xll.qlInterestRateIndexMaturity("AUDBBSW3M",M131)</f>
        <v>46009</v>
      </c>
      <c r="O131" s="189" t="str">
        <f>_xll.qlMakeDatedOIS(,M131,N131,OvernightIndex,0,,,,EvaluationDate)</f>
        <v>obj_00311#0000</v>
      </c>
      <c r="P131" s="189" t="b">
        <f>_xll.qlInstrumentSetPricingEngine(O131,OisEngine)</f>
        <v>1</v>
      </c>
      <c r="Q131" s="188">
        <f>_xll.qlIndexFixing(Currency&amp;IborType&amp;"3M",_xll.qlInterestRateIndexFixingDate(Currency&amp;IborType&amp;"3M",M131),TRUE,AllTriggers)</f>
        <v>5.0179341017561087E-2</v>
      </c>
      <c r="R131" s="188">
        <f>_xll.qlOvernightIndexedSwapFairRate(O131,AllTriggers)</f>
        <v>4.6271018352485441E-2</v>
      </c>
      <c r="S131" s="190">
        <f t="shared" ref="S131:S194" si="4">Q131-R131</f>
        <v>3.9083226650756461E-3</v>
      </c>
    </row>
    <row r="132" spans="5:19" ht="11.25" customHeight="1" x14ac:dyDescent="0.2">
      <c r="E132" s="182"/>
      <c r="F132" s="182"/>
      <c r="G132" s="181"/>
      <c r="J132" s="181"/>
      <c r="K132" s="181"/>
      <c r="M132" s="196">
        <f>_xll.qlCalendarAdvance(Calendar,M131,"1M","f",,Trigger)</f>
        <v>45950</v>
      </c>
      <c r="N132" s="187">
        <f>_xll.qlInterestRateIndexMaturity("AUDBBSW3M",M132)</f>
        <v>46042</v>
      </c>
      <c r="O132" s="189" t="str">
        <f>_xll.qlMakeDatedOIS(,M132,N132,OvernightIndex,0,,,,EvaluationDate)</f>
        <v>obj_002a3#0000</v>
      </c>
      <c r="P132" s="189" t="b">
        <f>_xll.qlInstrumentSetPricingEngine(O132,OisEngine)</f>
        <v>1</v>
      </c>
      <c r="Q132" s="188">
        <f>_xll.qlIndexFixing(Currency&amp;IborType&amp;"3M",_xll.qlInterestRateIndexFixingDate(Currency&amp;IborType&amp;"3M",M132),TRUE,AllTriggers)</f>
        <v>5.0248732173485647E-2</v>
      </c>
      <c r="R132" s="188">
        <f>_xll.qlOvernightIndexedSwapFairRate(O132,AllTriggers)</f>
        <v>4.6309764962498688E-2</v>
      </c>
      <c r="S132" s="190">
        <f t="shared" si="4"/>
        <v>3.9389672109869586E-3</v>
      </c>
    </row>
    <row r="133" spans="5:19" ht="11.25" customHeight="1" x14ac:dyDescent="0.2">
      <c r="E133" s="182"/>
      <c r="F133" s="182"/>
      <c r="G133" s="181"/>
      <c r="J133" s="181"/>
      <c r="K133" s="181"/>
      <c r="M133" s="196">
        <f>_xll.qlCalendarAdvance(Calendar,M132,"1M","f",,Trigger)</f>
        <v>45981</v>
      </c>
      <c r="N133" s="187">
        <f>_xll.qlInterestRateIndexMaturity("AUDBBSW3M",M133)</f>
        <v>46073</v>
      </c>
      <c r="O133" s="189" t="str">
        <f>_xll.qlMakeDatedOIS(,M133,N133,OvernightIndex,0,,,,EvaluationDate)</f>
        <v>obj_003da#0000</v>
      </c>
      <c r="P133" s="189" t="b">
        <f>_xll.qlInstrumentSetPricingEngine(O133,OisEngine)</f>
        <v>1</v>
      </c>
      <c r="Q133" s="188">
        <f>_xll.qlIndexFixing(Currency&amp;IborType&amp;"3M",_xll.qlInterestRateIndexFixingDate(Currency&amp;IborType&amp;"3M",M133),TRUE,AllTriggers)</f>
        <v>5.0304852959949506E-2</v>
      </c>
      <c r="R133" s="188">
        <f>_xll.qlOvernightIndexedSwapFairRate(O133,AllTriggers)</f>
        <v>4.6343050289069321E-2</v>
      </c>
      <c r="S133" s="190">
        <f t="shared" si="4"/>
        <v>3.9618026708801851E-3</v>
      </c>
    </row>
    <row r="134" spans="5:19" ht="11.25" customHeight="1" x14ac:dyDescent="0.2">
      <c r="E134" s="182"/>
      <c r="F134" s="182"/>
      <c r="G134" s="181"/>
      <c r="J134" s="181"/>
      <c r="K134" s="181"/>
      <c r="M134" s="196">
        <f>_xll.qlCalendarAdvance(Calendar,M133,"1M","f",,Trigger)</f>
        <v>46013</v>
      </c>
      <c r="N134" s="187">
        <f>_xll.qlInterestRateIndexMaturity("AUDBBSW3M",M134)</f>
        <v>46104</v>
      </c>
      <c r="O134" s="189" t="str">
        <f>_xll.qlMakeDatedOIS(,M134,N134,OvernightIndex,0,,,,EvaluationDate)</f>
        <v>obj_003c3#0000</v>
      </c>
      <c r="P134" s="189" t="b">
        <f>_xll.qlInstrumentSetPricingEngine(O134,OisEngine)</f>
        <v>1</v>
      </c>
      <c r="Q134" s="188">
        <f>_xll.qlIndexFixing(Currency&amp;IborType&amp;"3M",_xll.qlInterestRateIndexFixingDate(Currency&amp;IborType&amp;"3M",M134),TRUE,AllTriggers)</f>
        <v>5.0351630381113274E-2</v>
      </c>
      <c r="R134" s="188">
        <f>_xll.qlOvernightIndexedSwapFairRate(O134,AllTriggers)</f>
        <v>4.6373049901383114E-2</v>
      </c>
      <c r="S134" s="190">
        <f t="shared" si="4"/>
        <v>3.9785804797301608E-3</v>
      </c>
    </row>
    <row r="135" spans="5:19" ht="11.25" customHeight="1" x14ac:dyDescent="0.2">
      <c r="E135" s="182"/>
      <c r="F135" s="182"/>
      <c r="G135" s="181"/>
      <c r="J135" s="181"/>
      <c r="K135" s="181"/>
      <c r="M135" s="196">
        <f>_xll.qlCalendarAdvance(Calendar,M134,"1M","f",,Trigger)</f>
        <v>46044</v>
      </c>
      <c r="N135" s="187">
        <f>_xll.qlInterestRateIndexMaturity("AUDBBSW3M",M135)</f>
        <v>46134</v>
      </c>
      <c r="O135" s="189" t="str">
        <f>_xll.qlMakeDatedOIS(,M135,N135,OvernightIndex,0,,,,EvaluationDate)</f>
        <v>obj_003b5#0000</v>
      </c>
      <c r="P135" s="189" t="b">
        <f>_xll.qlInstrumentSetPricingEngine(O135,OisEngine)</f>
        <v>1</v>
      </c>
      <c r="Q135" s="188">
        <f>_xll.qlIndexFixing(Currency&amp;IborType&amp;"3M",_xll.qlInterestRateIndexFixingDate(Currency&amp;IborType&amp;"3M",M135),TRUE,AllTriggers)</f>
        <v>5.0390230044088991E-2</v>
      </c>
      <c r="R135" s="188">
        <f>_xll.qlOvernightIndexedSwapFairRate(O135,AllTriggers)</f>
        <v>4.6401174900804434E-2</v>
      </c>
      <c r="S135" s="190">
        <f t="shared" si="4"/>
        <v>3.9890551432845561E-3</v>
      </c>
    </row>
    <row r="136" spans="5:19" ht="11.25" customHeight="1" x14ac:dyDescent="0.2">
      <c r="E136" s="182"/>
      <c r="F136" s="182"/>
      <c r="G136" s="181"/>
      <c r="J136" s="181"/>
      <c r="K136" s="181"/>
      <c r="M136" s="196">
        <f>_xll.qlCalendarAdvance(Calendar,M135,"1M","f",,Trigger)</f>
        <v>46076</v>
      </c>
      <c r="N136" s="187">
        <f>_xll.qlInterestRateIndexMaturity("AUDBBSW3M",M136)</f>
        <v>46167</v>
      </c>
      <c r="O136" s="189" t="str">
        <f>_xll.qlMakeDatedOIS(,M136,N136,OvernightIndex,0,,,,EvaluationDate)</f>
        <v>obj_002cb#0000</v>
      </c>
      <c r="P136" s="189" t="b">
        <f>_xll.qlInstrumentSetPricingEngine(O136,OisEngine)</f>
        <v>1</v>
      </c>
      <c r="Q136" s="188">
        <f>_xll.qlIndexFixing(Currency&amp;IborType&amp;"3M",_xll.qlInterestRateIndexFixingDate(Currency&amp;IborType&amp;"3M",M136),TRUE,AllTriggers)</f>
        <v>5.0431291957078475E-2</v>
      </c>
      <c r="R136" s="188">
        <f>_xll.qlOvernightIndexedSwapFairRate(O136,AllTriggers)</f>
        <v>4.6436395994125378E-2</v>
      </c>
      <c r="S136" s="190">
        <f t="shared" si="4"/>
        <v>3.9948959629530975E-3</v>
      </c>
    </row>
    <row r="137" spans="5:19" ht="11.25" customHeight="1" x14ac:dyDescent="0.2">
      <c r="E137" s="182"/>
      <c r="F137" s="182"/>
      <c r="G137" s="181"/>
      <c r="J137" s="181"/>
      <c r="K137" s="181"/>
      <c r="M137" s="196">
        <f>_xll.qlCalendarAdvance(Calendar,M136,"1M","f",,Trigger)</f>
        <v>46104</v>
      </c>
      <c r="N137" s="187">
        <f>_xll.qlInterestRateIndexMaturity("AUDBBSW3M",M137)</f>
        <v>46196</v>
      </c>
      <c r="O137" s="189" t="str">
        <f>_xll.qlMakeDatedOIS(,M137,N137,OvernightIndex,0,,,,EvaluationDate)</f>
        <v>obj_00396#0000</v>
      </c>
      <c r="P137" s="189" t="b">
        <f>_xll.qlInstrumentSetPricingEngine(O137,OisEngine)</f>
        <v>1</v>
      </c>
      <c r="Q137" s="188">
        <f>_xll.qlIndexFixing(Currency&amp;IborType&amp;"3M",_xll.qlInterestRateIndexFixingDate(Currency&amp;IborType&amp;"3M",M137),TRUE,AllTriggers)</f>
        <v>5.0461686294095413E-2</v>
      </c>
      <c r="R137" s="188">
        <f>_xll.qlOvernightIndexedSwapFairRate(O137,AllTriggers)</f>
        <v>4.6466901862310811E-2</v>
      </c>
      <c r="S137" s="190">
        <f t="shared" si="4"/>
        <v>3.9947844317846024E-3</v>
      </c>
    </row>
    <row r="138" spans="5:19" ht="11.25" customHeight="1" x14ac:dyDescent="0.2">
      <c r="E138" s="182"/>
      <c r="F138" s="182"/>
      <c r="G138" s="181"/>
      <c r="J138" s="181"/>
      <c r="K138" s="181"/>
      <c r="M138" s="196">
        <f>_xll.qlCalendarAdvance(Calendar,M137,"1M","f",,Trigger)</f>
        <v>46135</v>
      </c>
      <c r="N138" s="187">
        <f>_xll.qlInterestRateIndexMaturity("AUDBBSW3M",M138)</f>
        <v>46226</v>
      </c>
      <c r="O138" s="189" t="str">
        <f>_xll.qlMakeDatedOIS(,M138,N138,OvernightIndex,0,,,,EvaluationDate)</f>
        <v>obj_00329#0000</v>
      </c>
      <c r="P138" s="189" t="b">
        <f>_xll.qlInstrumentSetPricingEngine(O138,OisEngine)</f>
        <v>1</v>
      </c>
      <c r="Q138" s="188">
        <f>_xll.qlIndexFixing(Currency&amp;IborType&amp;"3M",_xll.qlInterestRateIndexFixingDate(Currency&amp;IborType&amp;"3M",M138),TRUE,AllTriggers)</f>
        <v>5.0480878426523594E-2</v>
      </c>
      <c r="R138" s="188">
        <f>_xll.qlOvernightIndexedSwapFairRate(O138,AllTriggers)</f>
        <v>4.6492598252021775E-2</v>
      </c>
      <c r="S138" s="190">
        <f t="shared" si="4"/>
        <v>3.9882801745018195E-3</v>
      </c>
    </row>
    <row r="139" spans="5:19" ht="11.25" customHeight="1" x14ac:dyDescent="0.2">
      <c r="E139" s="182"/>
      <c r="F139" s="182"/>
      <c r="G139" s="181"/>
      <c r="J139" s="181"/>
      <c r="K139" s="181"/>
      <c r="M139" s="196">
        <f>_xll.qlCalendarAdvance(Calendar,M138,"1M","f",,Trigger)</f>
        <v>46167</v>
      </c>
      <c r="N139" s="187">
        <f>_xll.qlInterestRateIndexMaturity("AUDBBSW3M",M139)</f>
        <v>46259</v>
      </c>
      <c r="O139" s="189" t="str">
        <f>_xll.qlMakeDatedOIS(,M139,N139,OvernightIndex,0,,,,EvaluationDate)</f>
        <v>obj_00310#0000</v>
      </c>
      <c r="P139" s="189" t="b">
        <f>_xll.qlInstrumentSetPricingEngine(O139,OisEngine)</f>
        <v>1</v>
      </c>
      <c r="Q139" s="188">
        <f>_xll.qlIndexFixing(Currency&amp;IborType&amp;"3M",_xll.qlInterestRateIndexFixingDate(Currency&amp;IborType&amp;"3M",M139),TRUE,AllTriggers)</f>
        <v>5.0501282923521795E-2</v>
      </c>
      <c r="R139" s="188">
        <f>_xll.qlOvernightIndexedSwapFairRate(O139,AllTriggers)</f>
        <v>4.6525255122146281E-2</v>
      </c>
      <c r="S139" s="190">
        <f t="shared" si="4"/>
        <v>3.9760278013755146E-3</v>
      </c>
    </row>
    <row r="140" spans="5:19" ht="11.25" customHeight="1" x14ac:dyDescent="0.2">
      <c r="E140" s="182"/>
      <c r="F140" s="182"/>
      <c r="G140" s="181"/>
      <c r="J140" s="181"/>
      <c r="K140" s="181"/>
      <c r="M140" s="196">
        <f>_xll.qlCalendarAdvance(Calendar,M139,"1M","f",,Trigger)</f>
        <v>46198</v>
      </c>
      <c r="N140" s="187">
        <f>_xll.qlInterestRateIndexMaturity("AUDBBSW3M",M140)</f>
        <v>46290</v>
      </c>
      <c r="O140" s="189" t="str">
        <f>_xll.qlMakeDatedOIS(,M140,N140,OvernightIndex,0,,,,EvaluationDate)</f>
        <v>obj_002a2#0000</v>
      </c>
      <c r="P140" s="189" t="b">
        <f>_xll.qlInstrumentSetPricingEngine(O140,OisEngine)</f>
        <v>1</v>
      </c>
      <c r="Q140" s="188">
        <f>_xll.qlIndexFixing(Currency&amp;IborType&amp;"3M",_xll.qlInterestRateIndexFixingDate(Currency&amp;IborType&amp;"3M",M140),TRUE,AllTriggers)</f>
        <v>5.0510657782231155E-2</v>
      </c>
      <c r="R140" s="188">
        <f>_xll.qlOvernightIndexedSwapFairRate(O140,AllTriggers)</f>
        <v>4.6552708269393957E-2</v>
      </c>
      <c r="S140" s="190">
        <f t="shared" si="4"/>
        <v>3.9579495128371986E-3</v>
      </c>
    </row>
    <row r="141" spans="5:19" ht="11.25" customHeight="1" x14ac:dyDescent="0.2">
      <c r="E141" s="182"/>
      <c r="F141" s="182"/>
      <c r="G141" s="181"/>
      <c r="J141" s="181"/>
      <c r="K141" s="181"/>
      <c r="M141" s="196">
        <f>_xll.qlCalendarAdvance(Calendar,M140,"1M","f",,Trigger)</f>
        <v>46230</v>
      </c>
      <c r="N141" s="187">
        <f>_xll.qlInterestRateIndexMaturity("AUDBBSW3M",M141)</f>
        <v>46322</v>
      </c>
      <c r="O141" s="189" t="str">
        <f>_xll.qlMakeDatedOIS(,M141,N141,OvernightIndex,0,,,,EvaluationDate)</f>
        <v>obj_002f1#0000</v>
      </c>
      <c r="P141" s="189" t="b">
        <f>_xll.qlInstrumentSetPricingEngine(O141,OisEngine)</f>
        <v>1</v>
      </c>
      <c r="Q141" s="188">
        <f>_xll.qlIndexFixing(Currency&amp;IborType&amp;"3M",_xll.qlInterestRateIndexFixingDate(Currency&amp;IborType&amp;"3M",M141),TRUE,AllTriggers)</f>
        <v>5.051451067964105E-2</v>
      </c>
      <c r="R141" s="188">
        <f>_xll.qlOvernightIndexedSwapFairRate(O141,AllTriggers)</f>
        <v>4.6580386445264327E-2</v>
      </c>
      <c r="S141" s="190">
        <f t="shared" si="4"/>
        <v>3.9341242343767235E-3</v>
      </c>
    </row>
    <row r="142" spans="5:19" ht="11.25" customHeight="1" x14ac:dyDescent="0.2">
      <c r="E142" s="182"/>
      <c r="F142" s="182"/>
      <c r="G142" s="181"/>
      <c r="J142" s="181"/>
      <c r="K142" s="181"/>
      <c r="M142" s="196">
        <f>_xll.qlCalendarAdvance(Calendar,M141,"1M","f",,Trigger)</f>
        <v>46261</v>
      </c>
      <c r="N142" s="187">
        <f>_xll.qlInterestRateIndexMaturity("AUDBBSW3M",M142)</f>
        <v>46353</v>
      </c>
      <c r="O142" s="189" t="str">
        <f>_xll.qlMakeDatedOIS(,M142,N142,OvernightIndex,0,,,,EvaluationDate)</f>
        <v>obj_00366#0000</v>
      </c>
      <c r="P142" s="189" t="b">
        <f>_xll.qlInstrumentSetPricingEngine(O142,OisEngine)</f>
        <v>1</v>
      </c>
      <c r="Q142" s="188">
        <f>_xll.qlIndexFixing(Currency&amp;IborType&amp;"3M",_xll.qlInterestRateIndexFixingDate(Currency&amp;IborType&amp;"3M",M142),TRUE,AllTriggers)</f>
        <v>5.0515307076017771E-2</v>
      </c>
      <c r="R142" s="188">
        <f>_xll.qlOvernightIndexedSwapFairRate(O142,AllTriggers)</f>
        <v>4.6607048976260411E-2</v>
      </c>
      <c r="S142" s="190">
        <f t="shared" si="4"/>
        <v>3.9082580997573599E-3</v>
      </c>
    </row>
    <row r="143" spans="5:19" ht="11.25" customHeight="1" x14ac:dyDescent="0.2">
      <c r="E143" s="182"/>
      <c r="F143" s="182"/>
      <c r="G143" s="181"/>
      <c r="J143" s="181"/>
      <c r="K143" s="181"/>
      <c r="M143" s="196">
        <f>_xll.qlCalendarAdvance(Calendar,M142,"1M","f",,Trigger)</f>
        <v>46293</v>
      </c>
      <c r="N143" s="187">
        <f>_xll.qlInterestRateIndexMaturity("AUDBBSW3M",M143)</f>
        <v>46385</v>
      </c>
      <c r="O143" s="189" t="str">
        <f>_xll.qlMakeDatedOIS(,M143,N143,OvernightIndex,0,,,,EvaluationDate)</f>
        <v>obj_002d8#0000</v>
      </c>
      <c r="P143" s="189" t="b">
        <f>_xll.qlInstrumentSetPricingEngine(O143,OisEngine)</f>
        <v>1</v>
      </c>
      <c r="Q143" s="188">
        <f>_xll.qlIndexFixing(Currency&amp;IborType&amp;"3M",_xll.qlInterestRateIndexFixingDate(Currency&amp;IborType&amp;"3M",M143),TRUE,AllTriggers)</f>
        <v>5.0516007994509039E-2</v>
      </c>
      <c r="R143" s="188">
        <f>_xll.qlOvernightIndexedSwapFairRate(O143,AllTriggers)</f>
        <v>4.6634942014352705E-2</v>
      </c>
      <c r="S143" s="190">
        <f t="shared" si="4"/>
        <v>3.8810659801563341E-3</v>
      </c>
    </row>
    <row r="144" spans="5:19" ht="11.25" customHeight="1" x14ac:dyDescent="0.2">
      <c r="E144" s="182"/>
      <c r="F144" s="182"/>
      <c r="G144" s="181"/>
      <c r="J144" s="181"/>
      <c r="K144" s="181"/>
      <c r="M144" s="196">
        <f>_xll.qlCalendarAdvance(Calendar,M143,"1M","f",,Trigger)</f>
        <v>46323</v>
      </c>
      <c r="N144" s="187">
        <f>_xll.qlInterestRateIndexMaturity("AUDBBSW3M",M144)</f>
        <v>46415</v>
      </c>
      <c r="O144" s="189" t="str">
        <f>_xll.qlMakeDatedOIS(,M144,N144,OvernightIndex,0,,,,EvaluationDate)</f>
        <v>obj_0034b#0000</v>
      </c>
      <c r="P144" s="189" t="b">
        <f>_xll.qlInstrumentSetPricingEngine(O144,OisEngine)</f>
        <v>1</v>
      </c>
      <c r="Q144" s="188">
        <f>_xll.qlIndexFixing(Currency&amp;IborType&amp;"3M",_xll.qlInterestRateIndexFixingDate(Currency&amp;IborType&amp;"3M",M144),TRUE,AllTriggers)</f>
        <v>5.0518027498406316E-2</v>
      </c>
      <c r="R144" s="188">
        <f>_xll.qlOvernightIndexedSwapFairRate(O144,AllTriggers)</f>
        <v>4.6661700003984556E-2</v>
      </c>
      <c r="S144" s="190">
        <f t="shared" si="4"/>
        <v>3.8563274944217601E-3</v>
      </c>
    </row>
    <row r="145" spans="5:19" ht="11.25" customHeight="1" x14ac:dyDescent="0.2">
      <c r="E145" s="182"/>
      <c r="F145" s="182"/>
      <c r="G145" s="181"/>
      <c r="J145" s="181"/>
      <c r="K145" s="181"/>
      <c r="M145" s="196">
        <f>_xll.qlCalendarAdvance(Calendar,M144,"1M","f",,Trigger)</f>
        <v>46356</v>
      </c>
      <c r="N145" s="187">
        <f>_xll.qlInterestRateIndexMaturity("AUDBBSW3M",M145)</f>
        <v>46444</v>
      </c>
      <c r="O145" s="189" t="str">
        <f>_xll.qlMakeDatedOIS(,M145,N145,OvernightIndex,0,,,,EvaluationDate)</f>
        <v>obj_00339#0000</v>
      </c>
      <c r="P145" s="189" t="b">
        <f>_xll.qlInstrumentSetPricingEngine(O145,OisEngine)</f>
        <v>1</v>
      </c>
      <c r="Q145" s="188">
        <f>_xll.qlIndexFixing(Currency&amp;IborType&amp;"3M",_xll.qlInterestRateIndexFixingDate(Currency&amp;IborType&amp;"3M",M145),TRUE,AllTriggers)</f>
        <v>5.0507614082952519E-2</v>
      </c>
      <c r="R145" s="188">
        <f>_xll.qlOvernightIndexedSwapFairRate(O145,AllTriggers)</f>
        <v>4.6677902834893939E-2</v>
      </c>
      <c r="S145" s="190">
        <f t="shared" si="4"/>
        <v>3.8297112480585802E-3</v>
      </c>
    </row>
    <row r="146" spans="5:19" ht="11.25" customHeight="1" x14ac:dyDescent="0.2">
      <c r="E146" s="182"/>
      <c r="F146" s="182"/>
      <c r="G146" s="181"/>
      <c r="J146" s="181"/>
      <c r="K146" s="181"/>
      <c r="M146" s="196">
        <f>_xll.qlCalendarAdvance(Calendar,M145,"1M","f",,Trigger)</f>
        <v>46386</v>
      </c>
      <c r="N146" s="187">
        <f>_xll.qlInterestRateIndexMaturity("AUDBBSW3M",M146)</f>
        <v>46476</v>
      </c>
      <c r="O146" s="189" t="str">
        <f>_xll.qlMakeDatedOIS(,M146,N146,OvernightIndex,0,,,,EvaluationDate)</f>
        <v>obj_002b4#0000</v>
      </c>
      <c r="P146" s="189" t="b">
        <f>_xll.qlInstrumentSetPricingEngine(O146,OisEngine)</f>
        <v>1</v>
      </c>
      <c r="Q146" s="188">
        <f>_xll.qlIndexFixing(Currency&amp;IborType&amp;"3M",_xll.qlInterestRateIndexFixingDate(Currency&amp;IborType&amp;"3M",M146),TRUE,AllTriggers)</f>
        <v>5.0519649787162987E-2</v>
      </c>
      <c r="R146" s="188">
        <f>_xll.qlOvernightIndexedSwapFairRate(O146,AllTriggers)</f>
        <v>4.6712863378976621E-2</v>
      </c>
      <c r="S146" s="190">
        <f t="shared" si="4"/>
        <v>3.8067864081863662E-3</v>
      </c>
    </row>
    <row r="147" spans="5:19" ht="11.25" customHeight="1" x14ac:dyDescent="0.2">
      <c r="E147" s="182"/>
      <c r="F147" s="182"/>
      <c r="G147" s="181"/>
      <c r="J147" s="181"/>
      <c r="K147" s="181"/>
      <c r="M147" s="196">
        <f>_xll.qlCalendarAdvance(Calendar,M146,"1M","f",,Trigger)</f>
        <v>46419</v>
      </c>
      <c r="N147" s="187">
        <f>_xll.qlInterestRateIndexMaturity("AUDBBSW3M",M147)</f>
        <v>46510</v>
      </c>
      <c r="O147" s="189" t="str">
        <f>_xll.qlMakeDatedOIS(,M147,N147,OvernightIndex,0,,,,EvaluationDate)</f>
        <v>obj_0030f#0000</v>
      </c>
      <c r="P147" s="189" t="b">
        <f>_xll.qlInstrumentSetPricingEngine(O147,OisEngine)</f>
        <v>1</v>
      </c>
      <c r="Q147" s="188">
        <f>_xll.qlIndexFixing(Currency&amp;IborType&amp;"3M",_xll.qlInterestRateIndexFixingDate(Currency&amp;IborType&amp;"3M",M147),TRUE,AllTriggers)</f>
        <v>5.0530283024460401E-2</v>
      </c>
      <c r="R147" s="188">
        <f>_xll.qlOvernightIndexedSwapFairRate(O147,AllTriggers)</f>
        <v>4.6747868806168838E-2</v>
      </c>
      <c r="S147" s="190">
        <f t="shared" si="4"/>
        <v>3.7824142182915632E-3</v>
      </c>
    </row>
    <row r="148" spans="5:19" ht="11.25" customHeight="1" x14ac:dyDescent="0.2">
      <c r="E148" s="182"/>
      <c r="F148" s="182"/>
      <c r="G148" s="181"/>
      <c r="J148" s="181"/>
      <c r="K148" s="181"/>
      <c r="M148" s="196">
        <f>_xll.qlCalendarAdvance(Calendar,M147,"1M","f",,Trigger)</f>
        <v>46447</v>
      </c>
      <c r="N148" s="187">
        <f>_xll.qlInterestRateIndexMaturity("AUDBBSW3M",M148)</f>
        <v>46539</v>
      </c>
      <c r="O148" s="189" t="str">
        <f>_xll.qlMakeDatedOIS(,M148,N148,OvernightIndex,0,,,,EvaluationDate)</f>
        <v>obj_002a1#0000</v>
      </c>
      <c r="P148" s="189" t="b">
        <f>_xll.qlInstrumentSetPricingEngine(O148,OisEngine)</f>
        <v>1</v>
      </c>
      <c r="Q148" s="188">
        <f>_xll.qlIndexFixing(Currency&amp;IborType&amp;"3M",_xll.qlInterestRateIndexFixingDate(Currency&amp;IborType&amp;"3M",M148),TRUE,AllTriggers)</f>
        <v>5.0541227274949939E-2</v>
      </c>
      <c r="R148" s="188">
        <f>_xll.qlOvernightIndexedSwapFairRate(O148,AllTriggers)</f>
        <v>4.67787012396862E-2</v>
      </c>
      <c r="S148" s="190">
        <f t="shared" si="4"/>
        <v>3.7625260352637385E-3</v>
      </c>
    </row>
    <row r="149" spans="5:19" ht="11.25" customHeight="1" x14ac:dyDescent="0.2">
      <c r="E149" s="182"/>
      <c r="F149" s="182"/>
      <c r="G149" s="181"/>
      <c r="J149" s="181"/>
      <c r="K149" s="181"/>
      <c r="M149" s="196">
        <f>_xll.qlCalendarAdvance(Calendar,M148,"1M","f",,Trigger)</f>
        <v>46478</v>
      </c>
      <c r="N149" s="187">
        <f>_xll.qlInterestRateIndexMaturity("AUDBBSW3M",M149)</f>
        <v>46569</v>
      </c>
      <c r="O149" s="189" t="str">
        <f>_xll.qlMakeDatedOIS(,M149,N149,OvernightIndex,0,,,,EvaluationDate)</f>
        <v>obj_00374#0000</v>
      </c>
      <c r="P149" s="189" t="b">
        <f>_xll.qlInstrumentSetPricingEngine(O149,OisEngine)</f>
        <v>1</v>
      </c>
      <c r="Q149" s="188">
        <f>_xll.qlIndexFixing(Currency&amp;IborType&amp;"3M",_xll.qlInterestRateIndexFixingDate(Currency&amp;IborType&amp;"3M",M149),TRUE,AllTriggers)</f>
        <v>5.0547101375037963E-2</v>
      </c>
      <c r="R149" s="188">
        <f>_xll.qlOvernightIndexedSwapFairRate(O149,AllTriggers)</f>
        <v>4.6806023429940335E-2</v>
      </c>
      <c r="S149" s="190">
        <f t="shared" si="4"/>
        <v>3.7410779450976275E-3</v>
      </c>
    </row>
    <row r="150" spans="5:19" ht="11.25" customHeight="1" x14ac:dyDescent="0.2">
      <c r="E150" s="182"/>
      <c r="F150" s="182"/>
      <c r="G150" s="181"/>
      <c r="J150" s="181"/>
      <c r="K150" s="181"/>
      <c r="M150" s="196">
        <f>_xll.qlCalendarAdvance(Calendar,M149,"1M","f",,Trigger)</f>
        <v>46510</v>
      </c>
      <c r="N150" s="187">
        <f>_xll.qlInterestRateIndexMaturity("AUDBBSW3M",M150)</f>
        <v>46602</v>
      </c>
      <c r="O150" s="189" t="str">
        <f>_xll.qlMakeDatedOIS(,M150,N150,OvernightIndex,0,,,,EvaluationDate)</f>
        <v>obj_002e5#0000</v>
      </c>
      <c r="P150" s="189" t="b">
        <f>_xll.qlInstrumentSetPricingEngine(O150,OisEngine)</f>
        <v>1</v>
      </c>
      <c r="Q150" s="188">
        <f>_xll.qlIndexFixing(Currency&amp;IborType&amp;"3M",_xll.qlInterestRateIndexFixingDate(Currency&amp;IborType&amp;"3M",M150),TRUE,AllTriggers)</f>
        <v>5.0562177387562565E-2</v>
      </c>
      <c r="R150" s="188">
        <f>_xll.qlOvernightIndexedSwapFairRate(O150,AllTriggers)</f>
        <v>4.6842094961662389E-2</v>
      </c>
      <c r="S150" s="190">
        <f t="shared" si="4"/>
        <v>3.7200824259001758E-3</v>
      </c>
    </row>
    <row r="151" spans="5:19" ht="11.25" customHeight="1" x14ac:dyDescent="0.2">
      <c r="E151" s="182"/>
      <c r="F151" s="182"/>
      <c r="G151" s="181"/>
      <c r="J151" s="181"/>
      <c r="K151" s="181"/>
      <c r="M151" s="196">
        <f>_xll.qlCalendarAdvance(Calendar,M150,"1M","f",,Trigger)</f>
        <v>46541</v>
      </c>
      <c r="N151" s="187">
        <f>_xll.qlInterestRateIndexMaturity("AUDBBSW3M",M151)</f>
        <v>46633</v>
      </c>
      <c r="O151" s="189" t="str">
        <f>_xll.qlMakeDatedOIS(,M151,N151,OvernightIndex,0,,,,EvaluationDate)</f>
        <v>obj_00358#0000</v>
      </c>
      <c r="P151" s="189" t="b">
        <f>_xll.qlInstrumentSetPricingEngine(O151,OisEngine)</f>
        <v>1</v>
      </c>
      <c r="Q151" s="188">
        <f>_xll.qlIndexFixing(Currency&amp;IborType&amp;"3M",_xll.qlInterestRateIndexFixingDate(Currency&amp;IborType&amp;"3M",M151),TRUE,AllTriggers)</f>
        <v>5.0574752686023072E-2</v>
      </c>
      <c r="R151" s="188">
        <f>_xll.qlOvernightIndexedSwapFairRate(O151,AllTriggers)</f>
        <v>4.6874265661110241E-2</v>
      </c>
      <c r="S151" s="190">
        <f t="shared" si="4"/>
        <v>3.700487024912831E-3</v>
      </c>
    </row>
    <row r="152" spans="5:19" ht="11.25" customHeight="1" x14ac:dyDescent="0.2">
      <c r="E152" s="182"/>
      <c r="F152" s="182"/>
      <c r="G152" s="181"/>
      <c r="J152" s="181"/>
      <c r="K152" s="181"/>
      <c r="M152" s="196">
        <f>_xll.qlCalendarAdvance(Calendar,M151,"1M","f",,Trigger)</f>
        <v>46573</v>
      </c>
      <c r="N152" s="187">
        <f>_xll.qlInterestRateIndexMaturity("AUDBBSW3M",M152)</f>
        <v>46665</v>
      </c>
      <c r="O152" s="189" t="str">
        <f>_xll.qlMakeDatedOIS(,M152,N152,OvernightIndex,0,,,,EvaluationDate)</f>
        <v>obj_003a5#0000</v>
      </c>
      <c r="P152" s="189" t="b">
        <f>_xll.qlInstrumentSetPricingEngine(O152,OisEngine)</f>
        <v>1</v>
      </c>
      <c r="Q152" s="188">
        <f>_xll.qlIndexFixing(Currency&amp;IborType&amp;"3M",_xll.qlInterestRateIndexFixingDate(Currency&amp;IborType&amp;"3M",M152),TRUE,AllTriggers)</f>
        <v>5.0589301705979917E-2</v>
      </c>
      <c r="R152" s="188">
        <f>_xll.qlOvernightIndexedSwapFairRate(O152,AllTriggers)</f>
        <v>4.6908150042211216E-2</v>
      </c>
      <c r="S152" s="190">
        <f t="shared" si="4"/>
        <v>3.6811516637687003E-3</v>
      </c>
    </row>
    <row r="153" spans="5:19" ht="11.25" customHeight="1" x14ac:dyDescent="0.2">
      <c r="E153" s="182"/>
      <c r="F153" s="182"/>
      <c r="G153" s="181"/>
      <c r="J153" s="181"/>
      <c r="K153" s="181"/>
      <c r="M153" s="196">
        <f>_xll.qlCalendarAdvance(Calendar,M152,"1M","f",,Trigger)</f>
        <v>46604</v>
      </c>
      <c r="N153" s="187">
        <f>_xll.qlInterestRateIndexMaturity("AUDBBSW3M",M153)</f>
        <v>46696</v>
      </c>
      <c r="O153" s="189" t="str">
        <f>_xll.qlMakeDatedOIS(,M153,N153,OvernightIndex,0,,,,EvaluationDate)</f>
        <v>obj_00395#0000</v>
      </c>
      <c r="P153" s="189" t="b">
        <f>_xll.qlInstrumentSetPricingEngine(O153,OisEngine)</f>
        <v>1</v>
      </c>
      <c r="Q153" s="188">
        <f>_xll.qlIndexFixing(Currency&amp;IborType&amp;"3M",_xll.qlInterestRateIndexFixingDate(Currency&amp;IborType&amp;"3M",M153),TRUE,AllTriggers)</f>
        <v>5.060491514984148E-2</v>
      </c>
      <c r="R153" s="188">
        <f>_xll.qlOvernightIndexedSwapFairRate(O153,AllTriggers)</f>
        <v>4.6941630347599295E-2</v>
      </c>
      <c r="S153" s="190">
        <f t="shared" si="4"/>
        <v>3.6632848022421852E-3</v>
      </c>
    </row>
    <row r="154" spans="5:19" ht="11.25" customHeight="1" x14ac:dyDescent="0.2">
      <c r="E154" s="182"/>
      <c r="F154" s="182"/>
      <c r="G154" s="181"/>
      <c r="J154" s="181"/>
      <c r="K154" s="181"/>
      <c r="M154" s="196">
        <f>_xll.qlCalendarAdvance(Calendar,M153,"1M","f",,Trigger)</f>
        <v>46636</v>
      </c>
      <c r="N154" s="187">
        <f>_xll.qlInterestRateIndexMaturity("AUDBBSW3M",M154)</f>
        <v>46727</v>
      </c>
      <c r="O154" s="189" t="str">
        <f>_xll.qlMakeDatedOIS(,M154,N154,OvernightIndex,0,,,,EvaluationDate)</f>
        <v>obj_00328#0000</v>
      </c>
      <c r="P154" s="189" t="b">
        <f>_xll.qlInstrumentSetPricingEngine(O154,OisEngine)</f>
        <v>1</v>
      </c>
      <c r="Q154" s="188">
        <f>_xll.qlIndexFixing(Currency&amp;IborType&amp;"3M",_xll.qlInterestRateIndexFixingDate(Currency&amp;IborType&amp;"3M",M154),TRUE,AllTriggers)</f>
        <v>5.0618804473802695E-2</v>
      </c>
      <c r="R154" s="188">
        <f>_xll.qlOvernightIndexedSwapFairRate(O154,AllTriggers)</f>
        <v>4.6973253017007194E-2</v>
      </c>
      <c r="S154" s="190">
        <f t="shared" si="4"/>
        <v>3.6455514567955011E-3</v>
      </c>
    </row>
    <row r="155" spans="5:19" ht="11.25" customHeight="1" x14ac:dyDescent="0.2">
      <c r="E155" s="182"/>
      <c r="F155" s="182"/>
      <c r="G155" s="181"/>
      <c r="J155" s="181"/>
      <c r="K155" s="181"/>
      <c r="M155" s="196">
        <f>_xll.qlCalendarAdvance(Calendar,M154,"1M","f",,Trigger)</f>
        <v>46666</v>
      </c>
      <c r="N155" s="187">
        <f>_xll.qlInterestRateIndexMaturity("AUDBBSW3M",M155)</f>
        <v>46758</v>
      </c>
      <c r="O155" s="189" t="str">
        <f>_xll.qlMakeDatedOIS(,M155,N155,OvernightIndex,0,,,,EvaluationDate)</f>
        <v>obj_0030e#0000</v>
      </c>
      <c r="P155" s="189" t="b">
        <f>_xll.qlInstrumentSetPricingEngine(O155,OisEngine)</f>
        <v>1</v>
      </c>
      <c r="Q155" s="188">
        <f>_xll.qlIndexFixing(Currency&amp;IborType&amp;"3M",_xll.qlInterestRateIndexFixingDate(Currency&amp;IborType&amp;"3M",M155),TRUE,AllTriggers)</f>
        <v>5.0640627014623331E-2</v>
      </c>
      <c r="R155" s="188">
        <f>_xll.qlOvernightIndexedSwapFairRate(O155,AllTriggers)</f>
        <v>4.7010524276673946E-2</v>
      </c>
      <c r="S155" s="190">
        <f t="shared" si="4"/>
        <v>3.6301027379493853E-3</v>
      </c>
    </row>
    <row r="156" spans="5:19" ht="11.25" customHeight="1" x14ac:dyDescent="0.2">
      <c r="E156" s="182"/>
      <c r="F156" s="182"/>
      <c r="G156" s="181"/>
      <c r="J156" s="181"/>
      <c r="K156" s="181"/>
      <c r="M156" s="196">
        <f>_xll.qlCalendarAdvance(Calendar,M155,"1M","f",,Trigger)</f>
        <v>46699</v>
      </c>
      <c r="N156" s="187">
        <f>_xll.qlInterestRateIndexMaturity("AUDBBSW3M",M156)</f>
        <v>46791</v>
      </c>
      <c r="O156" s="189" t="str">
        <f>_xll.qlMakeDatedOIS(,M156,N156,OvernightIndex,0,,,,EvaluationDate)</f>
        <v>obj_002a0#0000</v>
      </c>
      <c r="P156" s="189" t="b">
        <f>_xll.qlInstrumentSetPricingEngine(O156,OisEngine)</f>
        <v>1</v>
      </c>
      <c r="Q156" s="188">
        <f>_xll.qlIndexFixing(Currency&amp;IborType&amp;"3M",_xll.qlInterestRateIndexFixingDate(Currency&amp;IborType&amp;"3M",M156),TRUE,AllTriggers)</f>
        <v>5.0662073488850524E-2</v>
      </c>
      <c r="R156" s="188">
        <f>_xll.qlOvernightIndexedSwapFairRate(O156,AllTriggers)</f>
        <v>4.7048244816994766E-2</v>
      </c>
      <c r="S156" s="190">
        <f t="shared" si="4"/>
        <v>3.613828671855758E-3</v>
      </c>
    </row>
    <row r="157" spans="5:19" ht="11.25" customHeight="1" x14ac:dyDescent="0.2">
      <c r="E157" s="182"/>
      <c r="F157" s="182"/>
      <c r="G157" s="181"/>
      <c r="J157" s="181"/>
      <c r="K157" s="181"/>
      <c r="M157" s="196">
        <f>_xll.qlCalendarAdvance(Calendar,M156,"1M","f",,Trigger)</f>
        <v>46729</v>
      </c>
      <c r="N157" s="187">
        <f>_xll.qlInterestRateIndexMaturity("AUDBBSW3M",M157)</f>
        <v>46820</v>
      </c>
      <c r="O157" s="189" t="str">
        <f>_xll.qlMakeDatedOIS(,M157,N157,OvernightIndex,0,,,,EvaluationDate)</f>
        <v>obj_002f0#0000</v>
      </c>
      <c r="P157" s="189" t="b">
        <f>_xll.qlInstrumentSetPricingEngine(O157,OisEngine)</f>
        <v>1</v>
      </c>
      <c r="Q157" s="188">
        <f>_xll.qlIndexFixing(Currency&amp;IborType&amp;"3M",_xll.qlInterestRateIndexFixingDate(Currency&amp;IborType&amp;"3M",M157),TRUE,AllTriggers)</f>
        <v>5.0679163895058631E-2</v>
      </c>
      <c r="R157" s="188">
        <f>_xll.qlOvernightIndexedSwapFairRate(O157,AllTriggers)</f>
        <v>4.7079511390976804E-2</v>
      </c>
      <c r="S157" s="190">
        <f t="shared" si="4"/>
        <v>3.5996525040818267E-3</v>
      </c>
    </row>
    <row r="158" spans="5:19" ht="11.25" customHeight="1" x14ac:dyDescent="0.2">
      <c r="E158" s="182"/>
      <c r="F158" s="182"/>
      <c r="G158" s="181"/>
      <c r="J158" s="181"/>
      <c r="K158" s="181"/>
      <c r="M158" s="196">
        <f>_xll.qlCalendarAdvance(Calendar,M157,"1M","f",,Trigger)</f>
        <v>46762</v>
      </c>
      <c r="N158" s="187">
        <f>_xll.qlInterestRateIndexMaturity("AUDBBSW3M",M158)</f>
        <v>46853</v>
      </c>
      <c r="O158" s="189" t="str">
        <f>_xll.qlMakeDatedOIS(,M158,N158,OvernightIndex,0,,,,EvaluationDate)</f>
        <v>obj_003c2#0000</v>
      </c>
      <c r="P158" s="189" t="b">
        <f>_xll.qlInstrumentSetPricingEngine(O158,OisEngine)</f>
        <v>1</v>
      </c>
      <c r="Q158" s="188">
        <f>_xll.qlIndexFixing(Currency&amp;IborType&amp;"3M",_xll.qlInterestRateIndexFixingDate(Currency&amp;IborType&amp;"3M",M158),TRUE,AllTriggers)</f>
        <v>5.0703815670179925E-2</v>
      </c>
      <c r="R158" s="188">
        <f>_xll.qlOvernightIndexedSwapFairRate(O158,AllTriggers)</f>
        <v>4.7118610060700193E-2</v>
      </c>
      <c r="S158" s="190">
        <f t="shared" si="4"/>
        <v>3.5852056094797316E-3</v>
      </c>
    </row>
    <row r="159" spans="5:19" ht="11.25" customHeight="1" x14ac:dyDescent="0.2">
      <c r="E159" s="182"/>
      <c r="F159" s="182"/>
      <c r="G159" s="181"/>
      <c r="J159" s="181"/>
      <c r="K159" s="181"/>
      <c r="M159" s="196">
        <f>_xll.qlCalendarAdvance(Calendar,M158,"1M","f",,Trigger)</f>
        <v>46793</v>
      </c>
      <c r="N159" s="187">
        <f>_xll.qlInterestRateIndexMaturity("AUDBBSW3M",M159)</f>
        <v>46883</v>
      </c>
      <c r="O159" s="189" t="str">
        <f>_xll.qlMakeDatedOIS(,M159,N159,OvernightIndex,0,,,,EvaluationDate)</f>
        <v>obj_003b4#0000</v>
      </c>
      <c r="P159" s="189" t="b">
        <f>_xll.qlInstrumentSetPricingEngine(O159,OisEngine)</f>
        <v>1</v>
      </c>
      <c r="Q159" s="188">
        <f>_xll.qlIndexFixing(Currency&amp;IborType&amp;"3M",_xll.qlInterestRateIndexFixingDate(Currency&amp;IborType&amp;"3M",M159),TRUE,AllTriggers)</f>
        <v>5.0724584326889977E-2</v>
      </c>
      <c r="R159" s="188">
        <f>_xll.qlOvernightIndexedSwapFairRate(O159,AllTriggers)</f>
        <v>4.7152314990277944E-2</v>
      </c>
      <c r="S159" s="190">
        <f t="shared" si="4"/>
        <v>3.5722693366120328E-3</v>
      </c>
    </row>
    <row r="160" spans="5:19" ht="11.25" customHeight="1" x14ac:dyDescent="0.2">
      <c r="E160" s="182"/>
      <c r="F160" s="182"/>
      <c r="G160" s="181"/>
      <c r="J160" s="181"/>
      <c r="K160" s="181"/>
      <c r="M160" s="196">
        <f>_xll.qlCalendarAdvance(Calendar,M159,"1M","f",,Trigger)</f>
        <v>46822</v>
      </c>
      <c r="N160" s="187">
        <f>_xll.qlInterestRateIndexMaturity("AUDBBSW3M",M160)</f>
        <v>46917</v>
      </c>
      <c r="O160" s="189" t="str">
        <f>_xll.qlMakeDatedOIS(,M160,N160,OvernightIndex,0,,,,EvaluationDate)</f>
        <v>obj_002ca#0000</v>
      </c>
      <c r="P160" s="189" t="b">
        <f>_xll.qlInstrumentSetPricingEngine(O160,OisEngine)</f>
        <v>1</v>
      </c>
      <c r="Q160" s="188">
        <f>_xll.qlIndexFixing(Currency&amp;IborType&amp;"3M",_xll.qlInterestRateIndexFixingDate(Currency&amp;IborType&amp;"3M",M160),TRUE,AllTriggers)</f>
        <v>5.0768819240325516E-2</v>
      </c>
      <c r="R160" s="188">
        <f>_xll.qlOvernightIndexedSwapFairRate(O160,AllTriggers)</f>
        <v>4.7206390847502971E-2</v>
      </c>
      <c r="S160" s="190">
        <f t="shared" si="4"/>
        <v>3.5624283928225448E-3</v>
      </c>
    </row>
    <row r="161" spans="5:19" ht="11.25" customHeight="1" x14ac:dyDescent="0.2">
      <c r="E161" s="182"/>
      <c r="F161" s="182"/>
      <c r="G161" s="181"/>
      <c r="J161" s="181"/>
      <c r="K161" s="181"/>
      <c r="M161" s="196">
        <f>_xll.qlCalendarAdvance(Calendar,M160,"1M","f",,Trigger)</f>
        <v>46853</v>
      </c>
      <c r="N161" s="187">
        <f>_xll.qlInterestRateIndexMaturity("AUDBBSW3M",M161)</f>
        <v>46944</v>
      </c>
      <c r="O161" s="189" t="str">
        <f>_xll.qlMakeDatedOIS(,M161,N161,OvernightIndex,0,,,,EvaluationDate)</f>
        <v>obj_002c1#0000</v>
      </c>
      <c r="P161" s="189" t="b">
        <f>_xll.qlInstrumentSetPricingEngine(O161,OisEngine)</f>
        <v>1</v>
      </c>
      <c r="Q161" s="188">
        <f>_xll.qlIndexFixing(Currency&amp;IborType&amp;"3M",_xll.qlInterestRateIndexFixingDate(Currency&amp;IborType&amp;"3M",M161),TRUE,AllTriggers)</f>
        <v>5.0780571373917914E-2</v>
      </c>
      <c r="R161" s="188">
        <f>_xll.qlOvernightIndexedSwapFairRate(O161,AllTriggers)</f>
        <v>4.7230211122878119E-2</v>
      </c>
      <c r="S161" s="190">
        <f t="shared" si="4"/>
        <v>3.5503602510397955E-3</v>
      </c>
    </row>
    <row r="162" spans="5:19" ht="11.25" customHeight="1" x14ac:dyDescent="0.2">
      <c r="E162" s="182"/>
      <c r="F162" s="182"/>
      <c r="G162" s="181"/>
      <c r="J162" s="181"/>
      <c r="K162" s="181"/>
      <c r="M162" s="196">
        <f>_xll.qlCalendarAdvance(Calendar,M161,"1M","f",,Trigger)</f>
        <v>46883</v>
      </c>
      <c r="N162" s="187">
        <f>_xll.qlInterestRateIndexMaturity("AUDBBSW3M",M162)</f>
        <v>46975</v>
      </c>
      <c r="O162" s="189" t="str">
        <f>_xll.qlMakeDatedOIS(,M162,N162,OvernightIndex,0,,,,EvaluationDate)</f>
        <v>obj_00388#0000</v>
      </c>
      <c r="P162" s="189" t="b">
        <f>_xll.qlInstrumentSetPricingEngine(O162,OisEngine)</f>
        <v>1</v>
      </c>
      <c r="Q162" s="188">
        <f>_xll.qlIndexFixing(Currency&amp;IborType&amp;"3M",_xll.qlInterestRateIndexFixingDate(Currency&amp;IborType&amp;"3M",M162),TRUE,AllTriggers)</f>
        <v>5.081271315601784E-2</v>
      </c>
      <c r="R162" s="188">
        <f>_xll.qlOvernightIndexedSwapFairRate(O162,AllTriggers)</f>
        <v>4.7271954685439439E-2</v>
      </c>
      <c r="S162" s="190">
        <f t="shared" si="4"/>
        <v>3.5407584705784007E-3</v>
      </c>
    </row>
    <row r="163" spans="5:19" ht="11.25" customHeight="1" x14ac:dyDescent="0.2">
      <c r="E163" s="182"/>
      <c r="F163" s="182"/>
      <c r="G163" s="181"/>
      <c r="J163" s="181"/>
      <c r="K163" s="181"/>
      <c r="M163" s="196">
        <f>_xll.qlCalendarAdvance(Calendar,M162,"1M","f",,Trigger)</f>
        <v>46917</v>
      </c>
      <c r="N163" s="187">
        <f>_xll.qlInterestRateIndexMaturity("AUDBBSW3M",M163)</f>
        <v>47009</v>
      </c>
      <c r="O163" s="189" t="str">
        <f>_xll.qlMakeDatedOIS(,M163,N163,OvernightIndex,0,,,,EvaluationDate)</f>
        <v>obj_0030d#0000</v>
      </c>
      <c r="P163" s="189" t="b">
        <f>_xll.qlInstrumentSetPricingEngine(O163,OisEngine)</f>
        <v>1</v>
      </c>
      <c r="Q163" s="188">
        <f>_xll.qlIndexFixing(Currency&amp;IborType&amp;"3M",_xll.qlInterestRateIndexFixingDate(Currency&amp;IborType&amp;"3M",M163),TRUE,AllTriggers)</f>
        <v>5.0846314713000024E-2</v>
      </c>
      <c r="R163" s="188">
        <f>_xll.qlOvernightIndexedSwapFairRate(O163,AllTriggers)</f>
        <v>4.7315778077509425E-2</v>
      </c>
      <c r="S163" s="190">
        <f t="shared" si="4"/>
        <v>3.5305366354905984E-3</v>
      </c>
    </row>
    <row r="164" spans="5:19" ht="11.25" customHeight="1" x14ac:dyDescent="0.2">
      <c r="E164" s="182"/>
      <c r="F164" s="182"/>
      <c r="G164" s="181"/>
      <c r="J164" s="181"/>
      <c r="K164" s="181"/>
      <c r="M164" s="196">
        <f>_xll.qlCalendarAdvance(Calendar,M163,"1M","f",,Trigger)</f>
        <v>46947</v>
      </c>
      <c r="N164" s="187">
        <f>_xll.qlInterestRateIndexMaturity("AUDBBSW3M",M164)</f>
        <v>47039</v>
      </c>
      <c r="O164" s="189" t="str">
        <f>_xll.qlMakeDatedOIS(,M164,N164,OvernightIndex,0,,,,EvaluationDate)</f>
        <v>obj_0029f#0000</v>
      </c>
      <c r="P164" s="189" t="b">
        <f>_xll.qlInstrumentSetPricingEngine(O164,OisEngine)</f>
        <v>1</v>
      </c>
      <c r="Q164" s="188">
        <f>_xll.qlIndexFixing(Currency&amp;IborType&amp;"3M",_xll.qlInterestRateIndexFixingDate(Currency&amp;IborType&amp;"3M",M164),TRUE,AllTriggers)</f>
        <v>5.0877456843637078E-2</v>
      </c>
      <c r="R164" s="188">
        <f>_xll.qlOvernightIndexedSwapFairRate(O164,AllTriggers)</f>
        <v>4.7355089721270546E-2</v>
      </c>
      <c r="S164" s="190">
        <f t="shared" si="4"/>
        <v>3.522367122366532E-3</v>
      </c>
    </row>
    <row r="165" spans="5:19" ht="11.25" customHeight="1" x14ac:dyDescent="0.2">
      <c r="E165" s="182"/>
      <c r="F165" s="182"/>
      <c r="G165" s="181"/>
      <c r="J165" s="181"/>
      <c r="K165" s="181"/>
      <c r="M165" s="196">
        <f>_xll.qlCalendarAdvance(Calendar,M164,"1M","f",,Trigger)</f>
        <v>46979</v>
      </c>
      <c r="N165" s="187">
        <f>_xll.qlInterestRateIndexMaturity("AUDBBSW3M",M165)</f>
        <v>47071</v>
      </c>
      <c r="O165" s="189" t="str">
        <f>_xll.qlMakeDatedOIS(,M165,N165,OvernightIndex,0,,,,EvaluationDate)</f>
        <v>obj_00373#0000</v>
      </c>
      <c r="P165" s="189" t="b">
        <f>_xll.qlInstrumentSetPricingEngine(O165,OisEngine)</f>
        <v>1</v>
      </c>
      <c r="Q165" s="188">
        <f>_xll.qlIndexFixing(Currency&amp;IborType&amp;"3M",_xll.qlInterestRateIndexFixingDate(Currency&amp;IborType&amp;"3M",M165),TRUE,AllTriggers)</f>
        <v>5.0912218642499882E-2</v>
      </c>
      <c r="R165" s="188">
        <f>_xll.qlOvernightIndexedSwapFairRate(O165,AllTriggers)</f>
        <v>4.7397687572107695E-2</v>
      </c>
      <c r="S165" s="190">
        <f t="shared" si="4"/>
        <v>3.5145310703921864E-3</v>
      </c>
    </row>
    <row r="166" spans="5:19" ht="11.25" customHeight="1" x14ac:dyDescent="0.2">
      <c r="E166" s="182"/>
      <c r="F166" s="182"/>
      <c r="G166" s="181"/>
      <c r="J166" s="181"/>
      <c r="K166" s="181"/>
      <c r="M166" s="196">
        <f>_xll.qlCalendarAdvance(Calendar,M165,"1M","f",,Trigger)</f>
        <v>47010</v>
      </c>
      <c r="N166" s="187">
        <f>_xll.qlInterestRateIndexMaturity("AUDBBSW3M",M166)</f>
        <v>47101</v>
      </c>
      <c r="O166" s="189" t="str">
        <f>_xll.qlMakeDatedOIS(,M166,N166,OvernightIndex,0,,,,EvaluationDate)</f>
        <v>obj_00365#0000</v>
      </c>
      <c r="P166" s="189" t="b">
        <f>_xll.qlInstrumentSetPricingEngine(O166,OisEngine)</f>
        <v>1</v>
      </c>
      <c r="Q166" s="188">
        <f>_xll.qlIndexFixing(Currency&amp;IborType&amp;"3M",_xll.qlInterestRateIndexFixingDate(Currency&amp;IborType&amp;"3M",M166),TRUE,AllTriggers)</f>
        <v>5.0943281893648565E-2</v>
      </c>
      <c r="R166" s="188">
        <f>_xll.qlOvernightIndexedSwapFairRate(O166,AllTriggers)</f>
        <v>4.7435809974603657E-2</v>
      </c>
      <c r="S166" s="190">
        <f t="shared" si="4"/>
        <v>3.5074719190449077E-3</v>
      </c>
    </row>
    <row r="167" spans="5:19" ht="11.25" customHeight="1" x14ac:dyDescent="0.2">
      <c r="E167" s="182"/>
      <c r="F167" s="182"/>
      <c r="G167" s="181"/>
      <c r="J167" s="181"/>
      <c r="K167" s="181"/>
      <c r="M167" s="196">
        <f>_xll.qlCalendarAdvance(Calendar,M166,"1M","f",,Trigger)</f>
        <v>47042</v>
      </c>
      <c r="N167" s="187">
        <f>_xll.qlInterestRateIndexMaturity("AUDBBSW3M",M167)</f>
        <v>47134</v>
      </c>
      <c r="O167" s="189" t="str">
        <f>_xll.qlMakeDatedOIS(,M167,N167,OvernightIndex,0,,,,EvaluationDate)</f>
        <v>obj_002d7#0000</v>
      </c>
      <c r="P167" s="189" t="b">
        <f>_xll.qlInstrumentSetPricingEngine(O167,OisEngine)</f>
        <v>1</v>
      </c>
      <c r="Q167" s="188">
        <f>_xll.qlIndexFixing(Currency&amp;IborType&amp;"3M",_xll.qlInterestRateIndexFixingDate(Currency&amp;IborType&amp;"3M",M167),TRUE,AllTriggers)</f>
        <v>5.0985312345323247E-2</v>
      </c>
      <c r="R167" s="188">
        <f>_xll.qlOvernightIndexedSwapFairRate(O167,AllTriggers)</f>
        <v>4.7483559536230631E-2</v>
      </c>
      <c r="S167" s="190">
        <f t="shared" si="4"/>
        <v>3.5017528090926162E-3</v>
      </c>
    </row>
    <row r="168" spans="5:19" ht="11.25" customHeight="1" x14ac:dyDescent="0.2">
      <c r="E168" s="182"/>
      <c r="F168" s="182"/>
      <c r="G168" s="181"/>
      <c r="J168" s="181"/>
      <c r="K168" s="181"/>
      <c r="M168" s="196">
        <f>_xll.qlCalendarAdvance(Calendar,M167,"1M","f",,Trigger)</f>
        <v>47073</v>
      </c>
      <c r="N168" s="187">
        <f>_xll.qlInterestRateIndexMaturity("AUDBBSW3M",M168)</f>
        <v>47165</v>
      </c>
      <c r="O168" s="189" t="str">
        <f>_xll.qlMakeDatedOIS(,M168,N168,OvernightIndex,0,,,,EvaluationDate)</f>
        <v>obj_0034a#0000</v>
      </c>
      <c r="P168" s="189" t="b">
        <f>_xll.qlInstrumentSetPricingEngine(O168,OisEngine)</f>
        <v>1</v>
      </c>
      <c r="Q168" s="188">
        <f>_xll.qlIndexFixing(Currency&amp;IborType&amp;"3M",_xll.qlInterestRateIndexFixingDate(Currency&amp;IborType&amp;"3M",M168),TRUE,AllTriggers)</f>
        <v>5.1023546302012432E-2</v>
      </c>
      <c r="R168" s="188">
        <f>_xll.qlOvernightIndexedSwapFairRate(O168,AllTriggers)</f>
        <v>4.7526791429869521E-2</v>
      </c>
      <c r="S168" s="190">
        <f t="shared" si="4"/>
        <v>3.4967548721429112E-3</v>
      </c>
    </row>
    <row r="169" spans="5:19" ht="11.25" customHeight="1" x14ac:dyDescent="0.2">
      <c r="E169" s="182"/>
      <c r="F169" s="182"/>
      <c r="G169" s="181"/>
      <c r="J169" s="181"/>
      <c r="K169" s="181"/>
      <c r="M169" s="196">
        <f>_xll.qlCalendarAdvance(Calendar,M168,"1M","f",,Trigger)</f>
        <v>47105</v>
      </c>
      <c r="N169" s="187">
        <f>_xll.qlInterestRateIndexMaturity("AUDBBSW3M",M169)</f>
        <v>47196</v>
      </c>
      <c r="O169" s="189" t="str">
        <f>_xll.qlMakeDatedOIS(,M169,N169,OvernightIndex,0,,,,EvaluationDate)</f>
        <v>obj_00338#0000</v>
      </c>
      <c r="P169" s="189" t="b">
        <f>_xll.qlInstrumentSetPricingEngine(O169,OisEngine)</f>
        <v>1</v>
      </c>
      <c r="Q169" s="188">
        <f>_xll.qlIndexFixing(Currency&amp;IborType&amp;"3M",_xll.qlInterestRateIndexFixingDate(Currency&amp;IborType&amp;"3M",M169),TRUE,AllTriggers)</f>
        <v>5.1060360342772851E-2</v>
      </c>
      <c r="R169" s="188">
        <f>_xll.qlOvernightIndexedSwapFairRate(O169,AllTriggers)</f>
        <v>4.7568245593979298E-2</v>
      </c>
      <c r="S169" s="190">
        <f t="shared" si="4"/>
        <v>3.4921147487935525E-3</v>
      </c>
    </row>
    <row r="170" spans="5:19" ht="11.25" customHeight="1" x14ac:dyDescent="0.2">
      <c r="E170" s="182"/>
      <c r="F170" s="182"/>
      <c r="G170" s="181"/>
      <c r="J170" s="181"/>
      <c r="K170" s="181"/>
      <c r="M170" s="196">
        <f>_xll.qlCalendarAdvance(Calendar,M169,"1M","f",,Trigger)</f>
        <v>47136</v>
      </c>
      <c r="N170" s="187">
        <f>_xll.qlInterestRateIndexMaturity("AUDBBSW3M",M170)</f>
        <v>47226</v>
      </c>
      <c r="O170" s="189" t="str">
        <f>_xll.qlMakeDatedOIS(,M170,N170,OvernightIndex,0,,,,EvaluationDate)</f>
        <v>obj_00327#0000</v>
      </c>
      <c r="P170" s="189" t="b">
        <f>_xll.qlInstrumentSetPricingEngine(O170,OisEngine)</f>
        <v>1</v>
      </c>
      <c r="Q170" s="188">
        <f>_xll.qlIndexFixing(Currency&amp;IborType&amp;"3M",_xll.qlInterestRateIndexFixingDate(Currency&amp;IborType&amp;"3M",M170),TRUE,AllTriggers)</f>
        <v>5.1097352957602059E-2</v>
      </c>
      <c r="R170" s="188">
        <f>_xll.qlOvernightIndexedSwapFairRate(O170,AllTriggers)</f>
        <v>4.7608907377306942E-2</v>
      </c>
      <c r="S170" s="190">
        <f t="shared" si="4"/>
        <v>3.4884455802951173E-3</v>
      </c>
    </row>
    <row r="171" spans="5:19" ht="11.25" customHeight="1" x14ac:dyDescent="0.2">
      <c r="E171" s="182"/>
      <c r="F171" s="182"/>
      <c r="G171" s="181"/>
      <c r="J171" s="181"/>
      <c r="K171" s="181"/>
      <c r="M171" s="196">
        <f>_xll.qlCalendarAdvance(Calendar,M170,"1M","f",,Trigger)</f>
        <v>47168</v>
      </c>
      <c r="N171" s="187">
        <f>_xll.qlInterestRateIndexMaturity("AUDBBSW3M",M171)</f>
        <v>47259</v>
      </c>
      <c r="O171" s="189" t="str">
        <f>_xll.qlMakeDatedOIS(,M171,N171,OvernightIndex,0,,,,EvaluationDate)</f>
        <v>obj_0030c#0000</v>
      </c>
      <c r="P171" s="189" t="b">
        <f>_xll.qlInstrumentSetPricingEngine(O171,OisEngine)</f>
        <v>1</v>
      </c>
      <c r="Q171" s="188">
        <f>_xll.qlIndexFixing(Currency&amp;IborType&amp;"3M",_xll.qlInterestRateIndexFixingDate(Currency&amp;IborType&amp;"3M",M171),TRUE,AllTriggers)</f>
        <v>5.1145745822234641E-2</v>
      </c>
      <c r="R171" s="188">
        <f>_xll.qlOvernightIndexedSwapFairRate(O171,AllTriggers)</f>
        <v>4.7659409919213615E-2</v>
      </c>
      <c r="S171" s="190">
        <f t="shared" si="4"/>
        <v>3.4863359030210261E-3</v>
      </c>
    </row>
    <row r="172" spans="5:19" ht="11.25" customHeight="1" x14ac:dyDescent="0.2">
      <c r="E172" s="182"/>
      <c r="F172" s="182"/>
      <c r="G172" s="181"/>
      <c r="J172" s="181"/>
      <c r="K172" s="181"/>
      <c r="M172" s="196">
        <f>_xll.qlCalendarAdvance(Calendar,M171,"1M","f",,Trigger)</f>
        <v>47196</v>
      </c>
      <c r="N172" s="187">
        <f>_xll.qlInterestRateIndexMaturity("AUDBBSW3M",M172)</f>
        <v>47288</v>
      </c>
      <c r="O172" s="189" t="str">
        <f>_xll.qlMakeDatedOIS(,M172,N172,OvernightIndex,0,,,,EvaluationDate)</f>
        <v>obj_0029e#0000</v>
      </c>
      <c r="P172" s="189" t="b">
        <f>_xll.qlInstrumentSetPricingEngine(O172,OisEngine)</f>
        <v>1</v>
      </c>
      <c r="Q172" s="188">
        <f>_xll.qlIndexFixing(Currency&amp;IborType&amp;"3M",_xll.qlInterestRateIndexFixingDate(Currency&amp;IborType&amp;"3M",M172),TRUE,AllTriggers)</f>
        <v>5.1189987444582245E-2</v>
      </c>
      <c r="R172" s="188">
        <f>_xll.qlOvernightIndexedSwapFairRate(O172,AllTriggers)</f>
        <v>4.7704678579563474E-2</v>
      </c>
      <c r="S172" s="190">
        <f t="shared" si="4"/>
        <v>3.4853088650187714E-3</v>
      </c>
    </row>
    <row r="173" spans="5:19" ht="11.25" customHeight="1" x14ac:dyDescent="0.2">
      <c r="E173" s="182"/>
      <c r="F173" s="182"/>
      <c r="G173" s="181"/>
      <c r="J173" s="181"/>
      <c r="K173" s="181"/>
      <c r="M173" s="196">
        <f>_xll.qlCalendarAdvance(Calendar,M172,"1M","f",,Trigger)</f>
        <v>47227</v>
      </c>
      <c r="N173" s="187">
        <f>_xll.qlInterestRateIndexMaturity("AUDBBSW3M",M173)</f>
        <v>47318</v>
      </c>
      <c r="O173" s="189" t="str">
        <f>_xll.qlMakeDatedOIS(,M173,N173,OvernightIndex,0,,,,EvaluationDate)</f>
        <v>obj_003ce#0000</v>
      </c>
      <c r="P173" s="189" t="b">
        <f>_xll.qlInstrumentSetPricingEngine(O173,OisEngine)</f>
        <v>1</v>
      </c>
      <c r="Q173" s="188">
        <f>_xll.qlIndexFixing(Currency&amp;IborType&amp;"3M",_xll.qlInterestRateIndexFixingDate(Currency&amp;IborType&amp;"3M",M173),TRUE,AllTriggers)</f>
        <v>5.1231310280015506E-2</v>
      </c>
      <c r="R173" s="188">
        <f>_xll.qlOvernightIndexedSwapFairRate(O173,AllTriggers)</f>
        <v>4.7747200450591769E-2</v>
      </c>
      <c r="S173" s="190">
        <f t="shared" si="4"/>
        <v>3.4841098294237371E-3</v>
      </c>
    </row>
    <row r="174" spans="5:19" ht="11.25" customHeight="1" x14ac:dyDescent="0.2">
      <c r="E174" s="182"/>
      <c r="F174" s="182"/>
      <c r="G174" s="181"/>
      <c r="J174" s="181"/>
      <c r="K174" s="181"/>
      <c r="M174" s="196">
        <f>_xll.qlCalendarAdvance(Calendar,M173,"1M","f",,Trigger)</f>
        <v>47259</v>
      </c>
      <c r="N174" s="187">
        <f>_xll.qlInterestRateIndexMaturity("AUDBBSW3M",M174)</f>
        <v>47351</v>
      </c>
      <c r="O174" s="189" t="str">
        <f>_xll.qlMakeDatedOIS(,M174,N174,OvernightIndex,0,,,,EvaluationDate)</f>
        <v>obj_002e4#0000</v>
      </c>
      <c r="P174" s="189" t="b">
        <f>_xll.qlInstrumentSetPricingEngine(O174,OisEngine)</f>
        <v>1</v>
      </c>
      <c r="Q174" s="188">
        <f>_xll.qlIndexFixing(Currency&amp;IborType&amp;"3M",_xll.qlInterestRateIndexFixingDate(Currency&amp;IborType&amp;"3M",M174),TRUE,AllTriggers)</f>
        <v>5.1284356171524E-2</v>
      </c>
      <c r="R174" s="188">
        <f>_xll.qlOvernightIndexedSwapFairRate(O174,AllTriggers)</f>
        <v>4.7799722661628956E-2</v>
      </c>
      <c r="S174" s="190">
        <f t="shared" si="4"/>
        <v>3.4846335098950437E-3</v>
      </c>
    </row>
    <row r="175" spans="5:19" ht="11.25" customHeight="1" x14ac:dyDescent="0.2">
      <c r="E175" s="182"/>
      <c r="F175" s="182"/>
      <c r="G175" s="181"/>
      <c r="J175" s="181"/>
      <c r="K175" s="181"/>
      <c r="M175" s="196">
        <f>_xll.qlCalendarAdvance(Calendar,M174,"1M","f",,Trigger)</f>
        <v>47290</v>
      </c>
      <c r="N175" s="187">
        <f>_xll.qlInterestRateIndexMaturity("AUDBBSW3M",M175)</f>
        <v>47382</v>
      </c>
      <c r="O175" s="189" t="str">
        <f>_xll.qlMakeDatedOIS(,M175,N175,OvernightIndex,0,,,,EvaluationDate)</f>
        <v>obj_00357#0000</v>
      </c>
      <c r="P175" s="189" t="b">
        <f>_xll.qlInstrumentSetPricingEngine(O175,OisEngine)</f>
        <v>1</v>
      </c>
      <c r="Q175" s="188">
        <f>_xll.qlIndexFixing(Currency&amp;IborType&amp;"3M",_xll.qlInterestRateIndexFixingDate(Currency&amp;IborType&amp;"3M",M175),TRUE,AllTriggers)</f>
        <v>5.1333054072774442E-2</v>
      </c>
      <c r="R175" s="188">
        <f>_xll.qlOvernightIndexedSwapFairRate(O175,AllTriggers)</f>
        <v>4.7847464032299634E-2</v>
      </c>
      <c r="S175" s="190">
        <f t="shared" si="4"/>
        <v>3.4855900404748077E-3</v>
      </c>
    </row>
    <row r="176" spans="5:19" ht="11.25" customHeight="1" x14ac:dyDescent="0.2">
      <c r="E176" s="182"/>
      <c r="F176" s="182"/>
      <c r="G176" s="181"/>
      <c r="J176" s="181"/>
      <c r="K176" s="181"/>
      <c r="M176" s="196">
        <f>_xll.qlCalendarAdvance(Calendar,M175,"1M","f",,Trigger)</f>
        <v>47322</v>
      </c>
      <c r="N176" s="187">
        <f>_xll.qlInterestRateIndexMaturity("AUDBBSW3M",M176)</f>
        <v>47414</v>
      </c>
      <c r="O176" s="189" t="str">
        <f>_xll.qlMakeDatedOIS(,M176,N176,OvernightIndex,0,,,,EvaluationDate)</f>
        <v>obj_003a4#0000</v>
      </c>
      <c r="P176" s="189" t="b">
        <f>_xll.qlInstrumentSetPricingEngine(O176,OisEngine)</f>
        <v>1</v>
      </c>
      <c r="Q176" s="188">
        <f>_xll.qlIndexFixing(Currency&amp;IborType&amp;"3M",_xll.qlInterestRateIndexFixingDate(Currency&amp;IborType&amp;"3M",M176),TRUE,AllTriggers)</f>
        <v>5.13844090972728E-2</v>
      </c>
      <c r="R176" s="188">
        <f>_xll.qlOvernightIndexedSwapFairRate(O176,AllTriggers)</f>
        <v>4.7897049952774509E-2</v>
      </c>
      <c r="S176" s="190">
        <f t="shared" si="4"/>
        <v>3.4873591444982907E-3</v>
      </c>
    </row>
    <row r="177" spans="5:19" ht="11.25" customHeight="1" x14ac:dyDescent="0.2">
      <c r="E177" s="182"/>
      <c r="F177" s="182"/>
      <c r="G177" s="181"/>
      <c r="J177" s="181"/>
      <c r="K177" s="181"/>
      <c r="M177" s="196">
        <f>_xll.qlCalendarAdvance(Calendar,M176,"1M","f",,Trigger)</f>
        <v>47353</v>
      </c>
      <c r="N177" s="187">
        <f>_xll.qlInterestRateIndexMaturity("AUDBBSW3M",M177)</f>
        <v>47445</v>
      </c>
      <c r="O177" s="189" t="str">
        <f>_xll.qlMakeDatedOIS(,M177,N177,OvernightIndex,0,,,,EvaluationDate)</f>
        <v>obj_00394#0000</v>
      </c>
      <c r="P177" s="189" t="b">
        <f>_xll.qlInstrumentSetPricingEngine(O177,OisEngine)</f>
        <v>1</v>
      </c>
      <c r="Q177" s="188">
        <f>_xll.qlIndexFixing(Currency&amp;IborType&amp;"3M",_xll.qlInterestRateIndexFixingDate(Currency&amp;IborType&amp;"3M",M177),TRUE,AllTriggers)</f>
        <v>5.1433973718912854E-2</v>
      </c>
      <c r="R177" s="188">
        <f>_xll.qlOvernightIndexedSwapFairRate(O177,AllTriggers)</f>
        <v>4.7944427619976977E-2</v>
      </c>
      <c r="S177" s="190">
        <f t="shared" si="4"/>
        <v>3.4895460989358765E-3</v>
      </c>
    </row>
    <row r="178" spans="5:19" ht="11.25" customHeight="1" x14ac:dyDescent="0.2">
      <c r="E178" s="182"/>
      <c r="F178" s="182"/>
      <c r="G178" s="181"/>
      <c r="J178" s="181"/>
      <c r="K178" s="181"/>
      <c r="M178" s="196">
        <f>_xll.qlCalendarAdvance(Calendar,M177,"1M","f",,Trigger)</f>
        <v>47385</v>
      </c>
      <c r="N178" s="187">
        <f>_xll.qlInterestRateIndexMaturity("AUDBBSW3M",M178)</f>
        <v>47476</v>
      </c>
      <c r="O178" s="189" t="str">
        <f>_xll.qlMakeDatedOIS(,M178,N178,OvernightIndex,0,,,,EvaluationDate)</f>
        <v>obj_002b3#0000</v>
      </c>
      <c r="P178" s="189" t="b">
        <f>_xll.qlInstrumentSetPricingEngine(O178,OisEngine)</f>
        <v>1</v>
      </c>
      <c r="Q178" s="188">
        <f>_xll.qlIndexFixing(Currency&amp;IborType&amp;"3M",_xll.qlInterestRateIndexFixingDate(Currency&amp;IborType&amp;"3M",M178),TRUE,AllTriggers)</f>
        <v>5.147923307718022E-2</v>
      </c>
      <c r="R178" s="188">
        <f>_xll.qlOvernightIndexedSwapFairRate(O178,AllTriggers)</f>
        <v>4.7987720230750194E-2</v>
      </c>
      <c r="S178" s="190">
        <f t="shared" si="4"/>
        <v>3.4915128464300255E-3</v>
      </c>
    </row>
    <row r="179" spans="5:19" ht="11.25" customHeight="1" x14ac:dyDescent="0.2">
      <c r="E179" s="182"/>
      <c r="F179" s="182"/>
      <c r="G179" s="181"/>
      <c r="J179" s="181"/>
      <c r="K179" s="181"/>
      <c r="M179" s="196">
        <f>_xll.qlCalendarAdvance(Calendar,M178,"1M","f",,Trigger)</f>
        <v>47415</v>
      </c>
      <c r="N179" s="187">
        <f>_xll.qlInterestRateIndexMaturity("AUDBBSW3M",M179)</f>
        <v>47507</v>
      </c>
      <c r="O179" s="189" t="str">
        <f>_xll.qlMakeDatedOIS(,M179,N179,OvernightIndex,0,,,,EvaluationDate)</f>
        <v>obj_0030b#0000</v>
      </c>
      <c r="P179" s="189" t="b">
        <f>_xll.qlInstrumentSetPricingEngine(O179,OisEngine)</f>
        <v>1</v>
      </c>
      <c r="Q179" s="188">
        <f>_xll.qlIndexFixing(Currency&amp;IborType&amp;"3M",_xll.qlInterestRateIndexFixingDate(Currency&amp;IborType&amp;"3M",M179),TRUE,AllTriggers)</f>
        <v>5.1527926123175478E-2</v>
      </c>
      <c r="R179" s="188">
        <f>_xll.qlOvernightIndexedSwapFairRate(O179,AllTriggers)</f>
        <v>4.8033671863799754E-2</v>
      </c>
      <c r="S179" s="190">
        <f t="shared" si="4"/>
        <v>3.4942542593757245E-3</v>
      </c>
    </row>
    <row r="180" spans="5:19" ht="11.25" customHeight="1" x14ac:dyDescent="0.2">
      <c r="E180" s="182"/>
      <c r="F180" s="182"/>
      <c r="G180" s="181"/>
      <c r="J180" s="181"/>
      <c r="K180" s="181"/>
      <c r="M180" s="196">
        <f>_xll.qlCalendarAdvance(Calendar,M179,"1M","f",,Trigger)</f>
        <v>47448</v>
      </c>
      <c r="N180" s="187">
        <f>_xll.qlInterestRateIndexMaturity("AUDBBSW3M",M180)</f>
        <v>47540</v>
      </c>
      <c r="O180" s="189" t="str">
        <f>_xll.qlMakeDatedOIS(,M180,N180,OvernightIndex,0,,,,EvaluationDate)</f>
        <v>obj_0029d#0000</v>
      </c>
      <c r="P180" s="189" t="b">
        <f>_xll.qlInstrumentSetPricingEngine(O180,OisEngine)</f>
        <v>1</v>
      </c>
      <c r="Q180" s="188">
        <f>_xll.qlIndexFixing(Currency&amp;IborType&amp;"3M",_xll.qlInterestRateIndexFixingDate(Currency&amp;IborType&amp;"3M",M180),TRUE,AllTriggers)</f>
        <v>5.1574209572400095E-2</v>
      </c>
      <c r="R180" s="188">
        <f>_xll.qlOvernightIndexedSwapFairRate(O180,AllTriggers)</f>
        <v>4.8077476226203203E-2</v>
      </c>
      <c r="S180" s="190">
        <f t="shared" si="4"/>
        <v>3.4967333461968925E-3</v>
      </c>
    </row>
    <row r="181" spans="5:19" ht="11.25" customHeight="1" x14ac:dyDescent="0.2">
      <c r="E181" s="182"/>
      <c r="F181" s="182"/>
      <c r="G181" s="181"/>
      <c r="J181" s="181"/>
      <c r="K181" s="181"/>
      <c r="M181" s="196">
        <f>_xll.qlCalendarAdvance(Calendar,M180,"1M","f",,Trigger)</f>
        <v>47479</v>
      </c>
      <c r="N181" s="187">
        <f>_xll.qlInterestRateIndexMaturity("AUDBBSW3M",M181)</f>
        <v>47569</v>
      </c>
      <c r="O181" s="189" t="str">
        <f>_xll.qlMakeDatedOIS(,M181,N181,OvernightIndex,0,,,,EvaluationDate)</f>
        <v>obj_00372#0000</v>
      </c>
      <c r="P181" s="189" t="b">
        <f>_xll.qlInstrumentSetPricingEngine(O181,OisEngine)</f>
        <v>1</v>
      </c>
      <c r="Q181" s="188">
        <f>_xll.qlIndexFixing(Currency&amp;IborType&amp;"3M",_xll.qlInterestRateIndexFixingDate(Currency&amp;IborType&amp;"3M",M181),TRUE,AllTriggers)</f>
        <v>5.1606791983905033E-2</v>
      </c>
      <c r="R181" s="188">
        <f>_xll.qlOvernightIndexedSwapFairRate(O181,AllTriggers)</f>
        <v>4.8108687585124876E-2</v>
      </c>
      <c r="S181" s="190">
        <f t="shared" si="4"/>
        <v>3.4981043987801566E-3</v>
      </c>
    </row>
    <row r="182" spans="5:19" ht="11.25" customHeight="1" x14ac:dyDescent="0.2">
      <c r="E182" s="182"/>
      <c r="F182" s="182"/>
      <c r="G182" s="181"/>
      <c r="J182" s="181"/>
      <c r="K182" s="181"/>
      <c r="M182" s="196">
        <f>_xll.qlCalendarAdvance(Calendar,M181,"1M","f",,Trigger)</f>
        <v>47512</v>
      </c>
      <c r="N182" s="187">
        <f>_xll.qlInterestRateIndexMaturity("AUDBBSW3M",M182)</f>
        <v>47602</v>
      </c>
      <c r="O182" s="189" t="str">
        <f>_xll.qlMakeDatedOIS(,M182,N182,OvernightIndex,0,,,,EvaluationDate)</f>
        <v>obj_003c1#0000</v>
      </c>
      <c r="P182" s="189" t="b">
        <f>_xll.qlInstrumentSetPricingEngine(O182,OisEngine)</f>
        <v>1</v>
      </c>
      <c r="Q182" s="188">
        <f>_xll.qlIndexFixing(Currency&amp;IborType&amp;"3M",_xll.qlInterestRateIndexFixingDate(Currency&amp;IborType&amp;"3M",M182),TRUE,AllTriggers)</f>
        <v>5.16480845951304E-2</v>
      </c>
      <c r="R182" s="188">
        <f>_xll.qlOvernightIndexedSwapFairRate(O182,AllTriggers)</f>
        <v>4.8147547321716111E-2</v>
      </c>
      <c r="S182" s="190">
        <f t="shared" si="4"/>
        <v>3.5005372734142892E-3</v>
      </c>
    </row>
    <row r="183" spans="5:19" ht="11.25" customHeight="1" x14ac:dyDescent="0.2">
      <c r="E183" s="182"/>
      <c r="F183" s="182"/>
      <c r="G183" s="181"/>
      <c r="J183" s="181"/>
      <c r="K183" s="181"/>
      <c r="M183" s="196">
        <f>_xll.qlCalendarAdvance(Calendar,M182,"1M","f",,Trigger)</f>
        <v>47542</v>
      </c>
      <c r="N183" s="187">
        <f>_xll.qlInterestRateIndexMaturity("AUDBBSW3M",M183)</f>
        <v>47634</v>
      </c>
      <c r="O183" s="189" t="str">
        <f>_xll.qlMakeDatedOIS(,M183,N183,OvernightIndex,0,,,,EvaluationDate)</f>
        <v>obj_003b3#0000</v>
      </c>
      <c r="P183" s="189" t="b">
        <f>_xll.qlInstrumentSetPricingEngine(O183,OisEngine)</f>
        <v>1</v>
      </c>
      <c r="Q183" s="188">
        <f>_xll.qlIndexFixing(Currency&amp;IborType&amp;"3M",_xll.qlInterestRateIndexFixingDate(Currency&amp;IborType&amp;"3M",M183),TRUE,AllTriggers)</f>
        <v>5.1691751380465972E-2</v>
      </c>
      <c r="R183" s="188">
        <f>_xll.qlOvernightIndexedSwapFairRate(O183,AllTriggers)</f>
        <v>4.8188085402618624E-2</v>
      </c>
      <c r="S183" s="190">
        <f t="shared" si="4"/>
        <v>3.5036659778473478E-3</v>
      </c>
    </row>
    <row r="184" spans="5:19" ht="11.25" customHeight="1" x14ac:dyDescent="0.2">
      <c r="E184" s="182"/>
      <c r="F184" s="182"/>
      <c r="G184" s="181"/>
      <c r="J184" s="181"/>
      <c r="K184" s="181"/>
      <c r="M184" s="196">
        <f>_xll.qlCalendarAdvance(Calendar,M183,"1M","f",,Trigger)</f>
        <v>47570</v>
      </c>
      <c r="N184" s="187">
        <f>_xll.qlInterestRateIndexMaturity("AUDBBSW3M",M184)</f>
        <v>47662</v>
      </c>
      <c r="O184" s="189" t="str">
        <f>_xll.qlMakeDatedOIS(,M184,N184,OvernightIndex,0,,,,EvaluationDate)</f>
        <v>obj_002c9#0000</v>
      </c>
      <c r="P184" s="189" t="b">
        <f>_xll.qlInstrumentSetPricingEngine(O184,OisEngine)</f>
        <v>1</v>
      </c>
      <c r="Q184" s="188">
        <f>_xll.qlIndexFixing(Currency&amp;IborType&amp;"3M",_xll.qlInterestRateIndexFixingDate(Currency&amp;IborType&amp;"3M",M184),TRUE,AllTriggers)</f>
        <v>5.1722672935872918E-2</v>
      </c>
      <c r="R184" s="188">
        <f>_xll.qlOvernightIndexedSwapFairRate(O184,AllTriggers)</f>
        <v>4.8216978844902586E-2</v>
      </c>
      <c r="S184" s="190">
        <f t="shared" si="4"/>
        <v>3.5056940909703321E-3</v>
      </c>
    </row>
    <row r="185" spans="5:19" ht="11.25" customHeight="1" x14ac:dyDescent="0.2">
      <c r="E185" s="182"/>
      <c r="F185" s="182"/>
      <c r="G185" s="181"/>
      <c r="J185" s="181"/>
      <c r="K185" s="181"/>
      <c r="M185" s="196">
        <f>_xll.qlCalendarAdvance(Calendar,M184,"1M","f",,Trigger)</f>
        <v>47602</v>
      </c>
      <c r="N185" s="187">
        <f>_xll.qlInterestRateIndexMaturity("AUDBBSW3M",M185)</f>
        <v>47693</v>
      </c>
      <c r="O185" s="189" t="str">
        <f>_xll.qlMakeDatedOIS(,M185,N185,OvernightIndex,0,,,,EvaluationDate)</f>
        <v>obj_002c0#0000</v>
      </c>
      <c r="P185" s="189" t="b">
        <f>_xll.qlInstrumentSetPricingEngine(O185,OisEngine)</f>
        <v>1</v>
      </c>
      <c r="Q185" s="188">
        <f>_xll.qlIndexFixing(Currency&amp;IborType&amp;"3M",_xll.qlInterestRateIndexFixingDate(Currency&amp;IborType&amp;"3M",M185),TRUE,AllTriggers)</f>
        <v>5.1751580012179409E-2</v>
      </c>
      <c r="R185" s="188">
        <f>_xll.qlOvernightIndexedSwapFairRate(O185,AllTriggers)</f>
        <v>4.8244057985590783E-2</v>
      </c>
      <c r="S185" s="190">
        <f t="shared" si="4"/>
        <v>3.5075220265886262E-3</v>
      </c>
    </row>
    <row r="186" spans="5:19" ht="11.25" customHeight="1" x14ac:dyDescent="0.2">
      <c r="E186" s="182"/>
      <c r="F186" s="182"/>
      <c r="G186" s="181"/>
      <c r="J186" s="181"/>
      <c r="K186" s="181"/>
      <c r="M186" s="196">
        <f>_xll.qlCalendarAdvance(Calendar,M185,"1M","f",,Trigger)</f>
        <v>47632</v>
      </c>
      <c r="N186" s="187">
        <f>_xll.qlInterestRateIndexMaturity("AUDBBSW3M",M186)</f>
        <v>47724</v>
      </c>
      <c r="O186" s="189" t="str">
        <f>_xll.qlMakeDatedOIS(,M186,N186,OvernightIndex,0,,,,EvaluationDate)</f>
        <v>obj_00387#0000</v>
      </c>
      <c r="P186" s="189" t="b">
        <f>_xll.qlInstrumentSetPricingEngine(O186,OisEngine)</f>
        <v>1</v>
      </c>
      <c r="Q186" s="188">
        <f>_xll.qlIndexFixing(Currency&amp;IborType&amp;"3M",_xll.qlInterestRateIndexFixingDate(Currency&amp;IborType&amp;"3M",M186),TRUE,AllTriggers)</f>
        <v>5.1784459311649191E-2</v>
      </c>
      <c r="R186" s="188">
        <f>_xll.qlOvernightIndexedSwapFairRate(O186,AllTriggers)</f>
        <v>4.8274334737616983E-2</v>
      </c>
      <c r="S186" s="190">
        <f t="shared" si="4"/>
        <v>3.5101245740322071E-3</v>
      </c>
    </row>
    <row r="187" spans="5:19" ht="11.25" customHeight="1" x14ac:dyDescent="0.2">
      <c r="E187" s="182"/>
      <c r="F187" s="182"/>
      <c r="G187" s="181"/>
      <c r="J187" s="181"/>
      <c r="K187" s="181"/>
      <c r="M187" s="196">
        <f>_xll.qlCalendarAdvance(Calendar,M186,"1M","f",,Trigger)</f>
        <v>47665</v>
      </c>
      <c r="N187" s="187">
        <f>_xll.qlInterestRateIndexMaturity("AUDBBSW3M",M187)</f>
        <v>47757</v>
      </c>
      <c r="O187" s="189" t="str">
        <f>_xll.qlMakeDatedOIS(,M187,N187,OvernightIndex,0,,,,EvaluationDate)</f>
        <v>obj_0030a#0000</v>
      </c>
      <c r="P187" s="189" t="b">
        <f>_xll.qlInstrumentSetPricingEngine(O187,OisEngine)</f>
        <v>1</v>
      </c>
      <c r="Q187" s="188">
        <f>_xll.qlIndexFixing(Currency&amp;IborType&amp;"3M",_xll.qlInterestRateIndexFixingDate(Currency&amp;IborType&amp;"3M",M187),TRUE,AllTriggers)</f>
        <v>5.1813590920154515E-2</v>
      </c>
      <c r="R187" s="188">
        <f>_xll.qlOvernightIndexedSwapFairRate(O187,AllTriggers)</f>
        <v>4.8301142093464304E-2</v>
      </c>
      <c r="S187" s="190">
        <f t="shared" si="4"/>
        <v>3.5124488266902107E-3</v>
      </c>
    </row>
    <row r="188" spans="5:19" ht="11.25" customHeight="1" x14ac:dyDescent="0.2">
      <c r="E188" s="182"/>
      <c r="F188" s="182"/>
      <c r="G188" s="181"/>
      <c r="J188" s="181"/>
      <c r="K188" s="181"/>
      <c r="M188" s="196">
        <f>_xll.qlCalendarAdvance(Calendar,M187,"1M","f",,Trigger)</f>
        <v>47696</v>
      </c>
      <c r="N188" s="187">
        <f>_xll.qlInterestRateIndexMaturity("AUDBBSW3M",M188)</f>
        <v>47788</v>
      </c>
      <c r="O188" s="189" t="str">
        <f>_xll.qlMakeDatedOIS(,M188,N188,OvernightIndex,0,,,,EvaluationDate)</f>
        <v>obj_0029c#0000</v>
      </c>
      <c r="P188" s="189" t="b">
        <f>_xll.qlInstrumentSetPricingEngine(O188,OisEngine)</f>
        <v>1</v>
      </c>
      <c r="Q188" s="188">
        <f>_xll.qlIndexFixing(Currency&amp;IborType&amp;"3M",_xll.qlInterestRateIndexFixingDate(Currency&amp;IborType&amp;"3M",M188),TRUE,AllTriggers)</f>
        <v>5.1838580736737791E-2</v>
      </c>
      <c r="R188" s="188">
        <f>_xll.qlOvernightIndexedSwapFairRate(O188,AllTriggers)</f>
        <v>4.8323969984756361E-2</v>
      </c>
      <c r="S188" s="190">
        <f t="shared" si="4"/>
        <v>3.5146107519814299E-3</v>
      </c>
    </row>
    <row r="189" spans="5:19" ht="11.25" customHeight="1" x14ac:dyDescent="0.2">
      <c r="E189" s="182"/>
      <c r="F189" s="182"/>
      <c r="G189" s="181"/>
      <c r="J189" s="181"/>
      <c r="K189" s="181"/>
      <c r="M189" s="196">
        <f>_xll.qlCalendarAdvance(Calendar,M188,"1M","f",,Trigger)</f>
        <v>47728</v>
      </c>
      <c r="N189" s="187">
        <f>_xll.qlInterestRateIndexMaturity("AUDBBSW3M",M189)</f>
        <v>47819</v>
      </c>
      <c r="O189" s="189" t="str">
        <f>_xll.qlMakeDatedOIS(,M189,N189,OvernightIndex,0,,,,EvaluationDate)</f>
        <v>obj_002ef#0000</v>
      </c>
      <c r="P189" s="189" t="b">
        <f>_xll.qlInstrumentSetPricingEngine(O189,OisEngine)</f>
        <v>1</v>
      </c>
      <c r="Q189" s="188">
        <f>_xll.qlIndexFixing(Currency&amp;IborType&amp;"3M",_xll.qlInterestRateIndexFixingDate(Currency&amp;IborType&amp;"3M",M189),TRUE,AllTriggers)</f>
        <v>5.1857965560784515E-2</v>
      </c>
      <c r="R189" s="188">
        <f>_xll.qlOvernightIndexedSwapFairRate(O189,AllTriggers)</f>
        <v>4.8341614736937939E-2</v>
      </c>
      <c r="S189" s="190">
        <f t="shared" si="4"/>
        <v>3.5163508238465757E-3</v>
      </c>
    </row>
    <row r="190" spans="5:19" ht="11.25" customHeight="1" x14ac:dyDescent="0.2">
      <c r="E190" s="182"/>
      <c r="F190" s="182"/>
      <c r="G190" s="181"/>
      <c r="J190" s="181"/>
      <c r="K190" s="181"/>
      <c r="M190" s="196">
        <f>_xll.qlCalendarAdvance(Calendar,M189,"1M","f",,Trigger)</f>
        <v>47758</v>
      </c>
      <c r="N190" s="187">
        <f>_xll.qlInterestRateIndexMaturity("AUDBBSW3M",M190)</f>
        <v>47850</v>
      </c>
      <c r="O190" s="189" t="str">
        <f>_xll.qlMakeDatedOIS(,M190,N190,OvernightIndex,0,,,,EvaluationDate)</f>
        <v>obj_00364#0000</v>
      </c>
      <c r="P190" s="189" t="b">
        <f>_xll.qlInstrumentSetPricingEngine(O190,OisEngine)</f>
        <v>1</v>
      </c>
      <c r="Q190" s="188">
        <f>_xll.qlIndexFixing(Currency&amp;IborType&amp;"3M",_xll.qlInterestRateIndexFixingDate(Currency&amp;IborType&amp;"3M",M190),TRUE,AllTriggers)</f>
        <v>5.188165425195132E-2</v>
      </c>
      <c r="R190" s="188">
        <f>_xll.qlOvernightIndexedSwapFairRate(O190,AllTriggers)</f>
        <v>4.836278204209829E-2</v>
      </c>
      <c r="S190" s="190">
        <f t="shared" si="4"/>
        <v>3.5188722098530301E-3</v>
      </c>
    </row>
    <row r="191" spans="5:19" ht="11.25" customHeight="1" x14ac:dyDescent="0.2">
      <c r="E191" s="182"/>
      <c r="F191" s="182"/>
      <c r="G191" s="181"/>
      <c r="J191" s="181"/>
      <c r="K191" s="181"/>
      <c r="M191" s="196">
        <f>_xll.qlCalendarAdvance(Calendar,M190,"1M","f",,Trigger)</f>
        <v>47791</v>
      </c>
      <c r="N191" s="187">
        <f>_xll.qlInterestRateIndexMaturity("AUDBBSW3M",M191)</f>
        <v>47883</v>
      </c>
      <c r="O191" s="189" t="str">
        <f>_xll.qlMakeDatedOIS(,M191,N191,OvernightIndex,0,,,,EvaluationDate)</f>
        <v>obj_002d6#0000</v>
      </c>
      <c r="P191" s="189" t="b">
        <f>_xll.qlInstrumentSetPricingEngine(O191,OisEngine)</f>
        <v>1</v>
      </c>
      <c r="Q191" s="188">
        <f>_xll.qlIndexFixing(Currency&amp;IborType&amp;"3M",_xll.qlInterestRateIndexFixingDate(Currency&amp;IborType&amp;"3M",M191),TRUE,AllTriggers)</f>
        <v>5.1900825508917212E-2</v>
      </c>
      <c r="R191" s="188">
        <f>_xll.qlOvernightIndexedSwapFairRate(O191,AllTriggers)</f>
        <v>4.837971903462937E-2</v>
      </c>
      <c r="S191" s="190">
        <f t="shared" si="4"/>
        <v>3.5211064742878412E-3</v>
      </c>
    </row>
    <row r="192" spans="5:19" ht="11.25" customHeight="1" x14ac:dyDescent="0.2">
      <c r="E192" s="182"/>
      <c r="F192" s="182"/>
      <c r="G192" s="181"/>
      <c r="J192" s="181"/>
      <c r="K192" s="181"/>
      <c r="M192" s="196">
        <f>_xll.qlCalendarAdvance(Calendar,M191,"1M","f",,Trigger)</f>
        <v>47821</v>
      </c>
      <c r="N192" s="187">
        <f>_xll.qlInterestRateIndexMaturity("AUDBBSW3M",M192)</f>
        <v>47911</v>
      </c>
      <c r="O192" s="189" t="str">
        <f>_xll.qlMakeDatedOIS(,M192,N192,OvernightIndex,0,,,,EvaluationDate)</f>
        <v>obj_00349#0000</v>
      </c>
      <c r="P192" s="189" t="b">
        <f>_xll.qlInstrumentSetPricingEngine(O192,OisEngine)</f>
        <v>1</v>
      </c>
      <c r="Q192" s="188">
        <f>_xll.qlIndexFixing(Currency&amp;IborType&amp;"3M",_xll.qlInterestRateIndexFixingDate(Currency&amp;IborType&amp;"3M",M192),TRUE,AllTriggers)</f>
        <v>5.1908204218756145E-2</v>
      </c>
      <c r="R192" s="188">
        <f>_xll.qlOvernightIndexedSwapFairRate(O192,AllTriggers)</f>
        <v>4.8386027053920699E-2</v>
      </c>
      <c r="S192" s="190">
        <f t="shared" si="4"/>
        <v>3.5221771648354452E-3</v>
      </c>
    </row>
    <row r="193" spans="5:19" ht="11.25" customHeight="1" x14ac:dyDescent="0.2">
      <c r="E193" s="182"/>
      <c r="F193" s="182"/>
      <c r="G193" s="181"/>
      <c r="J193" s="181"/>
      <c r="K193" s="181"/>
      <c r="M193" s="196">
        <f>_xll.qlCalendarAdvance(Calendar,M192,"1M","f",,Trigger)</f>
        <v>47854</v>
      </c>
      <c r="N193" s="187">
        <f>_xll.qlInterestRateIndexMaturity("AUDBBSW3M",M193)</f>
        <v>47945</v>
      </c>
      <c r="O193" s="189" t="str">
        <f>_xll.qlMakeDatedOIS(,M193,N193,OvernightIndex,0,,,,EvaluationDate)</f>
        <v>obj_00337#0000</v>
      </c>
      <c r="P193" s="189" t="b">
        <f>_xll.qlInstrumentSetPricingEngine(O193,OisEngine)</f>
        <v>1</v>
      </c>
      <c r="Q193" s="188">
        <f>_xll.qlIndexFixing(Currency&amp;IborType&amp;"3M",_xll.qlInterestRateIndexFixingDate(Currency&amp;IborType&amp;"3M",M193),TRUE,AllTriggers)</f>
        <v>5.192632574089414E-2</v>
      </c>
      <c r="R193" s="188">
        <f>_xll.qlOvernightIndexedSwapFairRate(O193,AllTriggers)</f>
        <v>4.8401489405817996E-2</v>
      </c>
      <c r="S193" s="190">
        <f t="shared" si="4"/>
        <v>3.5248363350761439E-3</v>
      </c>
    </row>
    <row r="194" spans="5:19" ht="11.25" customHeight="1" x14ac:dyDescent="0.2">
      <c r="E194" s="182"/>
      <c r="F194" s="182"/>
      <c r="G194" s="181"/>
      <c r="J194" s="181"/>
      <c r="K194" s="181"/>
      <c r="M194" s="196">
        <f>_xll.qlCalendarAdvance(Calendar,M193,"1M","f",,Trigger)</f>
        <v>47885</v>
      </c>
      <c r="N194" s="187">
        <f>_xll.qlInterestRateIndexMaturity("AUDBBSW3M",M194)</f>
        <v>47974</v>
      </c>
      <c r="O194" s="189" t="str">
        <f>_xll.qlMakeDatedOIS(,M194,N194,OvernightIndex,0,,,,EvaluationDate)</f>
        <v>obj_00326#0000</v>
      </c>
      <c r="P194" s="189" t="b">
        <f>_xll.qlInstrumentSetPricingEngine(O194,OisEngine)</f>
        <v>1</v>
      </c>
      <c r="Q194" s="188">
        <f>_xll.qlIndexFixing(Currency&amp;IborType&amp;"3M",_xll.qlInterestRateIndexFixingDate(Currency&amp;IborType&amp;"3M",M194),TRUE,AllTriggers)</f>
        <v>5.1929675123197371E-2</v>
      </c>
      <c r="R194" s="188">
        <f>_xll.qlOvernightIndexedSwapFairRate(O194,AllTriggers)</f>
        <v>4.840374373732826E-2</v>
      </c>
      <c r="S194" s="190">
        <f t="shared" si="4"/>
        <v>3.5259313858691105E-3</v>
      </c>
    </row>
    <row r="195" spans="5:19" ht="11.25" customHeight="1" x14ac:dyDescent="0.2">
      <c r="E195" s="182"/>
      <c r="F195" s="182"/>
      <c r="G195" s="181"/>
      <c r="J195" s="181"/>
      <c r="K195" s="181"/>
      <c r="M195" s="196">
        <f>_xll.qlCalendarAdvance(Calendar,M194,"1M","f",,Trigger)</f>
        <v>47913</v>
      </c>
      <c r="N195" s="187">
        <f>_xll.qlInterestRateIndexMaturity("AUDBBSW3M",M195)</f>
        <v>48005</v>
      </c>
      <c r="O195" s="189" t="str">
        <f>_xll.qlMakeDatedOIS(,M195,N195,OvernightIndex,0,,,,EvaluationDate)</f>
        <v>obj_00309#0000</v>
      </c>
      <c r="P195" s="189" t="b">
        <f>_xll.qlInstrumentSetPricingEngine(O195,OisEngine)</f>
        <v>1</v>
      </c>
      <c r="Q195" s="188">
        <f>_xll.qlIndexFixing(Currency&amp;IborType&amp;"3M",_xll.qlInterestRateIndexFixingDate(Currency&amp;IborType&amp;"3M",M195),TRUE,AllTriggers)</f>
        <v>5.1949050809512294E-2</v>
      </c>
      <c r="R195" s="188">
        <f>_xll.qlOvernightIndexedSwapFairRate(O195,AllTriggers)</f>
        <v>4.8419889074178858E-2</v>
      </c>
      <c r="S195" s="190">
        <f t="shared" ref="S195:S258" si="5">Q195-R195</f>
        <v>3.5291617353334359E-3</v>
      </c>
    </row>
    <row r="196" spans="5:19" ht="11.25" customHeight="1" x14ac:dyDescent="0.2">
      <c r="E196" s="182"/>
      <c r="F196" s="182"/>
      <c r="G196" s="181"/>
      <c r="J196" s="181"/>
      <c r="K196" s="181"/>
      <c r="M196" s="196">
        <f>_xll.qlCalendarAdvance(Calendar,M195,"1M","f",,Trigger)</f>
        <v>47945</v>
      </c>
      <c r="N196" s="187">
        <f>_xll.qlInterestRateIndexMaturity("AUDBBSW3M",M196)</f>
        <v>48036</v>
      </c>
      <c r="O196" s="189" t="str">
        <f>_xll.qlMakeDatedOIS(,M196,N196,OvernightIndex,0,,,,EvaluationDate)</f>
        <v>obj_0029b#0000</v>
      </c>
      <c r="P196" s="189" t="b">
        <f>_xll.qlInstrumentSetPricingEngine(O196,OisEngine)</f>
        <v>1</v>
      </c>
      <c r="Q196" s="188">
        <f>_xll.qlIndexFixing(Currency&amp;IborType&amp;"3M",_xll.qlInterestRateIndexFixingDate(Currency&amp;IborType&amp;"3M",M196),TRUE,AllTriggers)</f>
        <v>5.1952047363963673E-2</v>
      </c>
      <c r="R196" s="188">
        <f>_xll.qlOvernightIndexedSwapFairRate(O196,AllTriggers)</f>
        <v>4.842129622780713E-2</v>
      </c>
      <c r="S196" s="190">
        <f t="shared" si="5"/>
        <v>3.530751136156543E-3</v>
      </c>
    </row>
    <row r="197" spans="5:19" ht="11.25" customHeight="1" x14ac:dyDescent="0.2">
      <c r="E197" s="182"/>
      <c r="F197" s="182"/>
      <c r="G197" s="181"/>
      <c r="J197" s="181"/>
      <c r="K197" s="181"/>
      <c r="M197" s="196">
        <f>_xll.qlCalendarAdvance(Calendar,M196,"1M","f",,Trigger)</f>
        <v>47975</v>
      </c>
      <c r="N197" s="187">
        <f>_xll.qlInterestRateIndexMaturity("AUDBBSW3M",M197)</f>
        <v>48067</v>
      </c>
      <c r="O197" s="189" t="str">
        <f>_xll.qlMakeDatedOIS(,M197,N197,OvernightIndex,0,,,,EvaluationDate)</f>
        <v>obj_003d9#0000</v>
      </c>
      <c r="P197" s="189" t="b">
        <f>_xll.qlInstrumentSetPricingEngine(O197,OisEngine)</f>
        <v>1</v>
      </c>
      <c r="Q197" s="188">
        <f>_xll.qlIndexFixing(Currency&amp;IborType&amp;"3M",_xll.qlInterestRateIndexFixingDate(Currency&amp;IborType&amp;"3M",M197),TRUE,AllTriggers)</f>
        <v>5.1959894053940366E-2</v>
      </c>
      <c r="R197" s="188">
        <f>_xll.qlOvernightIndexedSwapFairRate(O197,AllTriggers)</f>
        <v>4.8426762228119626E-2</v>
      </c>
      <c r="S197" s="190">
        <f t="shared" si="5"/>
        <v>3.53313182582074E-3</v>
      </c>
    </row>
    <row r="198" spans="5:19" ht="11.25" customHeight="1" x14ac:dyDescent="0.2">
      <c r="E198" s="182"/>
      <c r="F198" s="182"/>
      <c r="G198" s="181"/>
      <c r="J198" s="181"/>
      <c r="K198" s="181"/>
      <c r="M198" s="196">
        <f>_xll.qlCalendarAdvance(Calendar,M197,"1M","f",,Trigger)</f>
        <v>48009</v>
      </c>
      <c r="N198" s="187">
        <f>_xll.qlInterestRateIndexMaturity("AUDBBSW3M",M198)</f>
        <v>48101</v>
      </c>
      <c r="O198" s="189" t="str">
        <f>_xll.qlMakeDatedOIS(,M198,N198,OvernightIndex,0,,,,EvaluationDate)</f>
        <v>obj_002e3#0000</v>
      </c>
      <c r="P198" s="189" t="b">
        <f>_xll.qlInstrumentSetPricingEngine(O198,OisEngine)</f>
        <v>1</v>
      </c>
      <c r="Q198" s="188">
        <f>_xll.qlIndexFixing(Currency&amp;IborType&amp;"3M",_xll.qlInterestRateIndexFixingDate(Currency&amp;IborType&amp;"3M",M198),TRUE,AllTriggers)</f>
        <v>5.1961930626641582E-2</v>
      </c>
      <c r="R198" s="188">
        <f>_xll.qlOvernightIndexedSwapFairRate(O198,AllTriggers)</f>
        <v>4.842665702222259E-2</v>
      </c>
      <c r="S198" s="190">
        <f t="shared" si="5"/>
        <v>3.5352736044189925E-3</v>
      </c>
    </row>
    <row r="199" spans="5:19" ht="11.25" customHeight="1" x14ac:dyDescent="0.2">
      <c r="E199" s="182"/>
      <c r="F199" s="182"/>
      <c r="G199" s="181"/>
      <c r="J199" s="181"/>
      <c r="K199" s="181"/>
      <c r="M199" s="196">
        <f>_xll.qlCalendarAdvance(Calendar,M198,"1M","f",,Trigger)</f>
        <v>48039</v>
      </c>
      <c r="N199" s="187">
        <f>_xll.qlInterestRateIndexMaturity("AUDBBSW3M",M199)</f>
        <v>48131</v>
      </c>
      <c r="O199" s="189" t="str">
        <f>_xll.qlMakeDatedOIS(,M199,N199,OvernightIndex,0,,,,EvaluationDate)</f>
        <v>obj_00356#0000</v>
      </c>
      <c r="P199" s="189" t="b">
        <f>_xll.qlInstrumentSetPricingEngine(O199,OisEngine)</f>
        <v>1</v>
      </c>
      <c r="Q199" s="188">
        <f>_xll.qlIndexFixing(Currency&amp;IborType&amp;"3M",_xll.qlInterestRateIndexFixingDate(Currency&amp;IborType&amp;"3M",M199),TRUE,AllTriggers)</f>
        <v>5.1961427760011149E-2</v>
      </c>
      <c r="R199" s="188">
        <f>_xll.qlOvernightIndexedSwapFairRate(O199,AllTriggers)</f>
        <v>4.8424285160080245E-2</v>
      </c>
      <c r="S199" s="190">
        <f t="shared" si="5"/>
        <v>3.5371425999309036E-3</v>
      </c>
    </row>
    <row r="200" spans="5:19" ht="11.25" customHeight="1" x14ac:dyDescent="0.2">
      <c r="E200" s="182"/>
      <c r="F200" s="182"/>
      <c r="G200" s="181"/>
      <c r="J200" s="181"/>
      <c r="K200" s="181"/>
      <c r="M200" s="196">
        <f>_xll.qlCalendarAdvance(Calendar,M199,"1M","f",,Trigger)</f>
        <v>48071</v>
      </c>
      <c r="N200" s="187">
        <f>_xll.qlInterestRateIndexMaturity("AUDBBSW3M",M200)</f>
        <v>48163</v>
      </c>
      <c r="O200" s="189" t="str">
        <f>_xll.qlMakeDatedOIS(,M200,N200,OvernightIndex,0,,,,EvaluationDate)</f>
        <v>obj_003a3#0000</v>
      </c>
      <c r="P200" s="189" t="b">
        <f>_xll.qlInstrumentSetPricingEngine(O200,OisEngine)</f>
        <v>1</v>
      </c>
      <c r="Q200" s="188">
        <f>_xll.qlIndexFixing(Currency&amp;IborType&amp;"3M",_xll.qlInterestRateIndexFixingDate(Currency&amp;IborType&amp;"3M",M200),TRUE,AllTriggers)</f>
        <v>5.195851486586428E-2</v>
      </c>
      <c r="R200" s="188">
        <f>_xll.qlOvernightIndexedSwapFairRate(O200,AllTriggers)</f>
        <v>4.8419400177052589E-2</v>
      </c>
      <c r="S200" s="190">
        <f t="shared" si="5"/>
        <v>3.5391146888116912E-3</v>
      </c>
    </row>
    <row r="201" spans="5:19" ht="11.25" customHeight="1" x14ac:dyDescent="0.2">
      <c r="E201" s="182"/>
      <c r="F201" s="182"/>
      <c r="G201" s="181"/>
      <c r="J201" s="181"/>
      <c r="K201" s="181"/>
      <c r="M201" s="196">
        <f>_xll.qlCalendarAdvance(Calendar,M200,"1M","f",,Trigger)</f>
        <v>48102</v>
      </c>
      <c r="N201" s="187">
        <f>_xll.qlInterestRateIndexMaturity("AUDBBSW3M",M201)</f>
        <v>48193</v>
      </c>
      <c r="O201" s="189" t="str">
        <f>_xll.qlMakeDatedOIS(,M201,N201,OvernightIndex,0,,,,EvaluationDate)</f>
        <v>obj_00393#0000</v>
      </c>
      <c r="P201" s="189" t="b">
        <f>_xll.qlInstrumentSetPricingEngine(O201,OisEngine)</f>
        <v>1</v>
      </c>
      <c r="Q201" s="188">
        <f>_xll.qlIndexFixing(Currency&amp;IborType&amp;"3M",_xll.qlInterestRateIndexFixingDate(Currency&amp;IborType&amp;"3M",M201),TRUE,AllTriggers)</f>
        <v>5.1949792138332396E-2</v>
      </c>
      <c r="R201" s="188">
        <f>_xll.qlOvernightIndexedSwapFairRate(O201,AllTriggers)</f>
        <v>4.8409257829943507E-2</v>
      </c>
      <c r="S201" s="190">
        <f t="shared" si="5"/>
        <v>3.5405343083888888E-3</v>
      </c>
    </row>
    <row r="202" spans="5:19" ht="11.25" customHeight="1" x14ac:dyDescent="0.2">
      <c r="E202" s="182"/>
      <c r="F202" s="182"/>
      <c r="G202" s="181"/>
      <c r="J202" s="181"/>
      <c r="K202" s="181"/>
      <c r="M202" s="196">
        <f>_xll.qlCalendarAdvance(Calendar,M201,"1M","f",,Trigger)</f>
        <v>48134</v>
      </c>
      <c r="N202" s="187">
        <f>_xll.qlInterestRateIndexMaturity("AUDBBSW3M",M202)</f>
        <v>48226</v>
      </c>
      <c r="O202" s="189" t="str">
        <f>_xll.qlMakeDatedOIS(,M202,N202,OvernightIndex,0,,,,EvaluationDate)</f>
        <v>obj_00386#0000</v>
      </c>
      <c r="P202" s="189" t="b">
        <f>_xll.qlInstrumentSetPricingEngine(O202,OisEngine)</f>
        <v>1</v>
      </c>
      <c r="Q202" s="188">
        <f>_xll.qlIndexFixing(Currency&amp;IborType&amp;"3M",_xll.qlInterestRateIndexFixingDate(Currency&amp;IborType&amp;"3M",M202),TRUE,AllTriggers)</f>
        <v>5.194561109245513E-2</v>
      </c>
      <c r="R202" s="188">
        <f>_xll.qlOvernightIndexedSwapFairRate(O202,AllTriggers)</f>
        <v>4.8402678744286338E-2</v>
      </c>
      <c r="S202" s="190">
        <f t="shared" si="5"/>
        <v>3.542932348168791E-3</v>
      </c>
    </row>
    <row r="203" spans="5:19" ht="11.25" customHeight="1" x14ac:dyDescent="0.2">
      <c r="E203" s="182"/>
      <c r="F203" s="182"/>
      <c r="G203" s="181"/>
      <c r="J203" s="181"/>
      <c r="K203" s="181"/>
      <c r="M203" s="196">
        <f>_xll.qlCalendarAdvance(Calendar,M202,"1M","f",,Trigger)</f>
        <v>48165</v>
      </c>
      <c r="N203" s="187">
        <f>_xll.qlInterestRateIndexMaturity("AUDBBSW3M",M203)</f>
        <v>48257</v>
      </c>
      <c r="O203" s="189" t="str">
        <f>_xll.qlMakeDatedOIS(,M203,N203,OvernightIndex,0,,,,EvaluationDate)</f>
        <v>obj_00308#0000</v>
      </c>
      <c r="P203" s="189" t="b">
        <f>_xll.qlInstrumentSetPricingEngine(O203,OisEngine)</f>
        <v>1</v>
      </c>
      <c r="Q203" s="188">
        <f>_xll.qlIndexFixing(Currency&amp;IborType&amp;"3M",_xll.qlInterestRateIndexFixingDate(Currency&amp;IborType&amp;"3M",M203),TRUE,AllTriggers)</f>
        <v>5.1935771162129565E-2</v>
      </c>
      <c r="R203" s="188">
        <f>_xll.qlOvernightIndexedSwapFairRate(O203,AllTriggers)</f>
        <v>4.8390991884154515E-2</v>
      </c>
      <c r="S203" s="190">
        <f t="shared" si="5"/>
        <v>3.5447792779750506E-3</v>
      </c>
    </row>
    <row r="204" spans="5:19" ht="11.25" customHeight="1" x14ac:dyDescent="0.2">
      <c r="E204" s="182"/>
      <c r="F204" s="182"/>
      <c r="G204" s="181"/>
      <c r="J204" s="181"/>
      <c r="K204" s="181"/>
      <c r="M204" s="196">
        <f>_xll.qlCalendarAdvance(Calendar,M203,"1M","f",,Trigger)</f>
        <v>48197</v>
      </c>
      <c r="N204" s="187">
        <f>_xll.qlInterestRateIndexMaturity("AUDBBSW3M",M204)</f>
        <v>48288</v>
      </c>
      <c r="O204" s="189" t="str">
        <f>_xll.qlMakeDatedOIS(,M204,N204,OvernightIndex,0,,,,EvaluationDate)</f>
        <v>obj_0029a#0000</v>
      </c>
      <c r="P204" s="189" t="b">
        <f>_xll.qlInstrumentSetPricingEngine(O204,OisEngine)</f>
        <v>1</v>
      </c>
      <c r="Q204" s="188">
        <f>_xll.qlIndexFixing(Currency&amp;IborType&amp;"3M",_xll.qlInterestRateIndexFixingDate(Currency&amp;IborType&amp;"3M",M204),TRUE,AllTriggers)</f>
        <v>5.1919755570268233E-2</v>
      </c>
      <c r="R204" s="188">
        <f>_xll.qlOvernightIndexedSwapFairRate(O204,AllTriggers)</f>
        <v>4.8373560811759024E-2</v>
      </c>
      <c r="S204" s="190">
        <f t="shared" si="5"/>
        <v>3.5461947585092093E-3</v>
      </c>
    </row>
    <row r="205" spans="5:19" ht="11.25" customHeight="1" x14ac:dyDescent="0.2">
      <c r="E205" s="182"/>
      <c r="F205" s="182"/>
      <c r="G205" s="181"/>
      <c r="J205" s="181"/>
      <c r="K205" s="181"/>
      <c r="M205" s="196">
        <f>_xll.qlCalendarAdvance(Calendar,M204,"1M","f",,Trigger)</f>
        <v>48228</v>
      </c>
      <c r="N205" s="187">
        <f>_xll.qlInterestRateIndexMaturity("AUDBBSW3M",M205)</f>
        <v>48319</v>
      </c>
      <c r="O205" s="189" t="str">
        <f>_xll.qlMakeDatedOIS(,M205,N205,OvernightIndex,0,,,,EvaluationDate)</f>
        <v>obj_003cd#0000</v>
      </c>
      <c r="P205" s="189" t="b">
        <f>_xll.qlInstrumentSetPricingEngine(O205,OisEngine)</f>
        <v>1</v>
      </c>
      <c r="Q205" s="188">
        <f>_xll.qlIndexFixing(Currency&amp;IborType&amp;"3M",_xll.qlInterestRateIndexFixingDate(Currency&amp;IborType&amp;"3M",M205),TRUE,AllTriggers)</f>
        <v>5.1905276188738352E-2</v>
      </c>
      <c r="R205" s="188">
        <f>_xll.qlOvernightIndexedSwapFairRate(O205,AllTriggers)</f>
        <v>4.8357276663607791E-2</v>
      </c>
      <c r="S205" s="190">
        <f t="shared" si="5"/>
        <v>3.5479995251305602E-3</v>
      </c>
    </row>
    <row r="206" spans="5:19" ht="11.25" customHeight="1" x14ac:dyDescent="0.2">
      <c r="E206" s="182"/>
      <c r="F206" s="182"/>
      <c r="G206" s="181"/>
      <c r="J206" s="181"/>
      <c r="K206" s="181"/>
      <c r="M206" s="196">
        <f>_xll.qlCalendarAdvance(Calendar,M205,"1M","f",,Trigger)</f>
        <v>48260</v>
      </c>
      <c r="N206" s="187">
        <f>_xll.qlInterestRateIndexMaturity("AUDBBSW3M",M206)</f>
        <v>48351</v>
      </c>
      <c r="O206" s="189" t="str">
        <f>_xll.qlMakeDatedOIS(,M206,N206,OvernightIndex,0,,,,EvaluationDate)</f>
        <v>obj_003c0#0000</v>
      </c>
      <c r="P206" s="189" t="b">
        <f>_xll.qlInstrumentSetPricingEngine(O206,OisEngine)</f>
        <v>1</v>
      </c>
      <c r="Q206" s="188">
        <f>_xll.qlIndexFixing(Currency&amp;IborType&amp;"3M",_xll.qlInterestRateIndexFixingDate(Currency&amp;IborType&amp;"3M",M206),TRUE,AllTriggers)</f>
        <v>5.1887915331934369E-2</v>
      </c>
      <c r="R206" s="188">
        <f>_xll.qlOvernightIndexedSwapFairRate(O206,AllTriggers)</f>
        <v>4.8338074674169298E-2</v>
      </c>
      <c r="S206" s="190">
        <f t="shared" si="5"/>
        <v>3.5498406577650701E-3</v>
      </c>
    </row>
    <row r="207" spans="5:19" ht="11.25" customHeight="1" x14ac:dyDescent="0.2">
      <c r="E207" s="182"/>
      <c r="F207" s="182"/>
      <c r="G207" s="181"/>
      <c r="J207" s="181"/>
      <c r="K207" s="181"/>
      <c r="M207" s="196">
        <f>_xll.qlCalendarAdvance(Calendar,M206,"1M","f",,Trigger)</f>
        <v>48289</v>
      </c>
      <c r="N207" s="187">
        <f>_xll.qlInterestRateIndexMaturity("AUDBBSW3M",M207)</f>
        <v>48381</v>
      </c>
      <c r="O207" s="189" t="str">
        <f>_xll.qlMakeDatedOIS(,M207,N207,OvernightIndex,0,,,,EvaluationDate)</f>
        <v>obj_003b2#0000</v>
      </c>
      <c r="P207" s="189" t="b">
        <f>_xll.qlInstrumentSetPricingEngine(O207,OisEngine)</f>
        <v>1</v>
      </c>
      <c r="Q207" s="188">
        <f>_xll.qlIndexFixing(Currency&amp;IborType&amp;"3M",_xll.qlInterestRateIndexFixingDate(Currency&amp;IborType&amp;"3M",M207),TRUE,AllTriggers)</f>
        <v>5.187338973596084E-2</v>
      </c>
      <c r="R207" s="188">
        <f>_xll.qlOvernightIndexedSwapFairRate(O207,AllTriggers)</f>
        <v>4.832143124758196E-2</v>
      </c>
      <c r="S207" s="190">
        <f t="shared" si="5"/>
        <v>3.5519584883788799E-3</v>
      </c>
    </row>
    <row r="208" spans="5:19" ht="11.25" customHeight="1" x14ac:dyDescent="0.2">
      <c r="E208" s="182"/>
      <c r="F208" s="182"/>
      <c r="G208" s="181"/>
      <c r="J208" s="181"/>
      <c r="K208" s="181"/>
      <c r="M208" s="196">
        <f>_xll.qlCalendarAdvance(Calendar,M207,"1M","f",,Trigger)</f>
        <v>48320</v>
      </c>
      <c r="N208" s="187">
        <f>_xll.qlInterestRateIndexMaturity("AUDBBSW3M",M208)</f>
        <v>48411</v>
      </c>
      <c r="O208" s="189" t="str">
        <f>_xll.qlMakeDatedOIS(,M208,N208,OvernightIndex,0,,,,EvaluationDate)</f>
        <v>obj_00348#0000</v>
      </c>
      <c r="P208" s="189" t="b">
        <f>_xll.qlInstrumentSetPricingEngine(O208,OisEngine)</f>
        <v>1</v>
      </c>
      <c r="Q208" s="188">
        <f>_xll.qlIndexFixing(Currency&amp;IborType&amp;"3M",_xll.qlInterestRateIndexFixingDate(Currency&amp;IborType&amp;"3M",M208),TRUE,AllTriggers)</f>
        <v>5.1848752984580172E-2</v>
      </c>
      <c r="R208" s="188">
        <f>_xll.qlOvernightIndexedSwapFairRate(O208,AllTriggers)</f>
        <v>4.8295520048861784E-2</v>
      </c>
      <c r="S208" s="190">
        <f t="shared" si="5"/>
        <v>3.5532329357183881E-3</v>
      </c>
    </row>
    <row r="209" spans="5:19" ht="11.25" customHeight="1" x14ac:dyDescent="0.2">
      <c r="E209" s="182"/>
      <c r="F209" s="182"/>
      <c r="G209" s="181"/>
      <c r="J209" s="181"/>
      <c r="K209" s="181"/>
      <c r="M209" s="196">
        <f>_xll.qlCalendarAdvance(Calendar,M208,"1M","f",,Trigger)</f>
        <v>48351</v>
      </c>
      <c r="N209" s="187">
        <f>_xll.qlInterestRateIndexMaturity("AUDBBSW3M",M209)</f>
        <v>48443</v>
      </c>
      <c r="O209" s="189" t="str">
        <f>_xll.qlMakeDatedOIS(,M209,N209,OvernightIndex,0,,,,EvaluationDate)</f>
        <v>obj_00336#0000</v>
      </c>
      <c r="P209" s="189" t="b">
        <f>_xll.qlInstrumentSetPricingEngine(O209,OisEngine)</f>
        <v>1</v>
      </c>
      <c r="Q209" s="188">
        <f>_xll.qlIndexFixing(Currency&amp;IborType&amp;"3M",_xll.qlInterestRateIndexFixingDate(Currency&amp;IborType&amp;"3M",M209),TRUE,AllTriggers)</f>
        <v>5.18283863889746E-2</v>
      </c>
      <c r="R209" s="188">
        <f>_xll.qlOvernightIndexedSwapFairRate(O209,AllTriggers)</f>
        <v>4.8272963446088821E-2</v>
      </c>
      <c r="S209" s="190">
        <f t="shared" si="5"/>
        <v>3.5554229428857789E-3</v>
      </c>
    </row>
    <row r="210" spans="5:19" ht="11.25" customHeight="1" x14ac:dyDescent="0.2">
      <c r="E210" s="182"/>
      <c r="F210" s="182"/>
      <c r="G210" s="181"/>
      <c r="J210" s="181"/>
      <c r="K210" s="181"/>
      <c r="M210" s="196">
        <f>_xll.qlCalendarAdvance(Calendar,M209,"1M","f",,Trigger)</f>
        <v>48382</v>
      </c>
      <c r="N210" s="187">
        <f>_xll.qlInterestRateIndexMaturity("AUDBBSW3M",M210)</f>
        <v>48474</v>
      </c>
      <c r="O210" s="189" t="str">
        <f>_xll.qlMakeDatedOIS(,M210,N210,OvernightIndex,0,,,,EvaluationDate)</f>
        <v>obj_00325#0000</v>
      </c>
      <c r="P210" s="189" t="b">
        <f>_xll.qlInstrumentSetPricingEngine(O210,OisEngine)</f>
        <v>1</v>
      </c>
      <c r="Q210" s="188">
        <f>_xll.qlIndexFixing(Currency&amp;IborType&amp;"3M",_xll.qlInterestRateIndexFixingDate(Currency&amp;IborType&amp;"3M",M210),TRUE,AllTriggers)</f>
        <v>5.1802431681950853E-2</v>
      </c>
      <c r="R210" s="188">
        <f>_xll.qlOvernightIndexedSwapFairRate(O210,AllTriggers)</f>
        <v>4.8245307810732267E-2</v>
      </c>
      <c r="S210" s="190">
        <f t="shared" si="5"/>
        <v>3.5571238712185857E-3</v>
      </c>
    </row>
    <row r="211" spans="5:19" ht="11.25" customHeight="1" x14ac:dyDescent="0.2">
      <c r="E211" s="182"/>
      <c r="F211" s="182"/>
      <c r="G211" s="181"/>
      <c r="J211" s="181"/>
      <c r="K211" s="181"/>
      <c r="M211" s="196">
        <f>_xll.qlCalendarAdvance(Calendar,M210,"1M","f",,Trigger)</f>
        <v>48414</v>
      </c>
      <c r="N211" s="187">
        <f>_xll.qlInterestRateIndexMaturity("AUDBBSW3M",M211)</f>
        <v>48506</v>
      </c>
      <c r="O211" s="189" t="str">
        <f>_xll.qlMakeDatedOIS(,M211,N211,OvernightIndex,0,,,,EvaluationDate)</f>
        <v>obj_00307#0000</v>
      </c>
      <c r="P211" s="189" t="b">
        <f>_xll.qlInstrumentSetPricingEngine(O211,OisEngine)</f>
        <v>1</v>
      </c>
      <c r="Q211" s="188">
        <f>_xll.qlIndexFixing(Currency&amp;IborType&amp;"3M",_xll.qlInterestRateIndexFixingDate(Currency&amp;IborType&amp;"3M",M211),TRUE,AllTriggers)</f>
        <v>5.1773225179587878E-2</v>
      </c>
      <c r="R211" s="188">
        <f>_xll.qlOvernightIndexedSwapFairRate(O211,AllTriggers)</f>
        <v>4.8214367402315189E-2</v>
      </c>
      <c r="S211" s="190">
        <f t="shared" si="5"/>
        <v>3.5588577772726893E-3</v>
      </c>
    </row>
    <row r="212" spans="5:19" ht="11.25" customHeight="1" x14ac:dyDescent="0.2">
      <c r="E212" s="182"/>
      <c r="F212" s="182"/>
      <c r="G212" s="181"/>
      <c r="J212" s="181"/>
      <c r="K212" s="181"/>
      <c r="M212" s="196">
        <f>_xll.qlCalendarAdvance(Calendar,M211,"1M","f",,Trigger)</f>
        <v>48445</v>
      </c>
      <c r="N212" s="187">
        <f>_xll.qlInterestRateIndexMaturity("AUDBBSW3M",M212)</f>
        <v>48537</v>
      </c>
      <c r="O212" s="189" t="str">
        <f>_xll.qlMakeDatedOIS(,M212,N212,OvernightIndex,0,,,,EvaluationDate)</f>
        <v>obj_00299#0000</v>
      </c>
      <c r="P212" s="189" t="b">
        <f>_xll.qlInstrumentSetPricingEngine(O212,OisEngine)</f>
        <v>1</v>
      </c>
      <c r="Q212" s="188">
        <f>_xll.qlIndexFixing(Currency&amp;IborType&amp;"3M",_xll.qlInterestRateIndexFixingDate(Currency&amp;IborType&amp;"3M",M212),TRUE,AllTriggers)</f>
        <v>5.1742592338214474E-2</v>
      </c>
      <c r="R212" s="188">
        <f>_xll.qlOvernightIndexedSwapFairRate(O212,AllTriggers)</f>
        <v>4.818207604954608E-2</v>
      </c>
      <c r="S212" s="190">
        <f t="shared" si="5"/>
        <v>3.5605162886683944E-3</v>
      </c>
    </row>
    <row r="213" spans="5:19" ht="11.25" customHeight="1" x14ac:dyDescent="0.2">
      <c r="E213" s="182"/>
      <c r="F213" s="182"/>
      <c r="G213" s="181"/>
      <c r="J213" s="181"/>
      <c r="K213" s="181"/>
      <c r="M213" s="196">
        <f>_xll.qlCalendarAdvance(Calendar,M212,"1M","f",,Trigger)</f>
        <v>48477</v>
      </c>
      <c r="N213" s="187">
        <f>_xll.qlInterestRateIndexMaturity("AUDBBSW3M",M213)</f>
        <v>48568</v>
      </c>
      <c r="O213" s="189" t="str">
        <f>_xll.qlMakeDatedOIS(,M213,N213,OvernightIndex,0,,,,EvaluationDate)</f>
        <v>obj_002ee#0000</v>
      </c>
      <c r="P213" s="189" t="b">
        <f>_xll.qlInstrumentSetPricingEngine(O213,OisEngine)</f>
        <v>1</v>
      </c>
      <c r="Q213" s="188">
        <f>_xll.qlIndexFixing(Currency&amp;IborType&amp;"3M",_xll.qlInterestRateIndexFixingDate(Currency&amp;IborType&amp;"3M",M213),TRUE,AllTriggers)</f>
        <v>5.1705479029424573E-2</v>
      </c>
      <c r="R213" s="188">
        <f>_xll.qlOvernightIndexedSwapFairRate(O213,AllTriggers)</f>
        <v>4.8143739146501809E-2</v>
      </c>
      <c r="S213" s="190">
        <f t="shared" si="5"/>
        <v>3.5617398829227639E-3</v>
      </c>
    </row>
    <row r="214" spans="5:19" ht="11.25" customHeight="1" x14ac:dyDescent="0.2">
      <c r="E214" s="182"/>
      <c r="F214" s="182"/>
      <c r="G214" s="181"/>
      <c r="J214" s="181"/>
      <c r="K214" s="181"/>
      <c r="M214" s="196">
        <f>_xll.qlCalendarAdvance(Calendar,M213,"1M","f",,Trigger)</f>
        <v>48507</v>
      </c>
      <c r="N214" s="187">
        <f>_xll.qlInterestRateIndexMaturity("AUDBBSW3M",M214)</f>
        <v>48599</v>
      </c>
      <c r="O214" s="189" t="str">
        <f>_xll.qlMakeDatedOIS(,M214,N214,OvernightIndex,0,,,,EvaluationDate)</f>
        <v>obj_00363#0000</v>
      </c>
      <c r="P214" s="189" t="b">
        <f>_xll.qlInstrumentSetPricingEngine(O214,OisEngine)</f>
        <v>1</v>
      </c>
      <c r="Q214" s="188">
        <f>_xll.qlIndexFixing(Currency&amp;IborType&amp;"3M",_xll.qlInterestRateIndexFixingDate(Currency&amp;IborType&amp;"3M",M214),TRUE,AllTriggers)</f>
        <v>5.1674421127904192E-2</v>
      </c>
      <c r="R214" s="188">
        <f>_xll.qlOvernightIndexedSwapFairRate(O214,AllTriggers)</f>
        <v>4.8110650449418632E-2</v>
      </c>
      <c r="S214" s="190">
        <f t="shared" si="5"/>
        <v>3.5637706784855602E-3</v>
      </c>
    </row>
    <row r="215" spans="5:19" ht="11.25" customHeight="1" x14ac:dyDescent="0.2">
      <c r="E215" s="182"/>
      <c r="F215" s="182"/>
      <c r="G215" s="181"/>
      <c r="J215" s="181"/>
      <c r="K215" s="181"/>
      <c r="M215" s="196">
        <f>_xll.qlCalendarAdvance(Calendar,M214,"1M","f",,Trigger)</f>
        <v>48540</v>
      </c>
      <c r="N215" s="187">
        <f>_xll.qlInterestRateIndexMaturity("AUDBBSW3M",M215)</f>
        <v>48632</v>
      </c>
      <c r="O215" s="189" t="str">
        <f>_xll.qlMakeDatedOIS(,M215,N215,OvernightIndex,0,,,,EvaluationDate)</f>
        <v>obj_002d5#0000</v>
      </c>
      <c r="P215" s="189" t="b">
        <f>_xll.qlInstrumentSetPricingEngine(O215,OisEngine)</f>
        <v>1</v>
      </c>
      <c r="Q215" s="188">
        <f>_xll.qlIndexFixing(Currency&amp;IborType&amp;"3M",_xll.qlInterestRateIndexFixingDate(Currency&amp;IborType&amp;"3M",M215),TRUE,AllTriggers)</f>
        <v>5.1634382014789537E-2</v>
      </c>
      <c r="R215" s="188">
        <f>_xll.qlOvernightIndexedSwapFairRate(O215,AllTriggers)</f>
        <v>4.8068913221818513E-2</v>
      </c>
      <c r="S215" s="190">
        <f t="shared" si="5"/>
        <v>3.5654687929710244E-3</v>
      </c>
    </row>
    <row r="216" spans="5:19" ht="11.25" customHeight="1" x14ac:dyDescent="0.2">
      <c r="E216" s="182"/>
      <c r="F216" s="182"/>
      <c r="G216" s="181"/>
      <c r="J216" s="181"/>
      <c r="K216" s="181"/>
      <c r="M216" s="196">
        <f>_xll.qlCalendarAdvance(Calendar,M215,"1M","f",,Trigger)</f>
        <v>48570</v>
      </c>
      <c r="N216" s="187">
        <f>_xll.qlInterestRateIndexMaturity("AUDBBSW3M",M216)</f>
        <v>48660</v>
      </c>
      <c r="O216" s="189" t="str">
        <f>_xll.qlMakeDatedOIS(,M216,N216,OvernightIndex,0,,,,EvaluationDate)</f>
        <v>obj_002c8#0000</v>
      </c>
      <c r="P216" s="189" t="b">
        <f>_xll.qlInstrumentSetPricingEngine(O216,OisEngine)</f>
        <v>1</v>
      </c>
      <c r="Q216" s="188">
        <f>_xll.qlIndexFixing(Currency&amp;IborType&amp;"3M",_xll.qlInterestRateIndexFixingDate(Currency&amp;IborType&amp;"3M",M216),TRUE,AllTriggers)</f>
        <v>5.1589817512703286E-2</v>
      </c>
      <c r="R216" s="188">
        <f>_xll.qlOvernightIndexedSwapFairRate(O216,AllTriggers)</f>
        <v>4.8023755993733985E-2</v>
      </c>
      <c r="S216" s="190">
        <f t="shared" si="5"/>
        <v>3.5660615189693004E-3</v>
      </c>
    </row>
    <row r="217" spans="5:19" ht="11.25" customHeight="1" x14ac:dyDescent="0.2">
      <c r="E217" s="182"/>
      <c r="F217" s="182"/>
      <c r="G217" s="181"/>
      <c r="J217" s="181"/>
      <c r="K217" s="181"/>
      <c r="M217" s="196">
        <f>_xll.qlCalendarAdvance(Calendar,M216,"1M","f",,Trigger)</f>
        <v>48603</v>
      </c>
      <c r="N217" s="187">
        <f>_xll.qlInterestRateIndexMaturity("AUDBBSW3M",M217)</f>
        <v>48695</v>
      </c>
      <c r="O217" s="189" t="str">
        <f>_xll.qlMakeDatedOIS(,M217,N217,OvernightIndex,0,,,,EvaluationDate)</f>
        <v>obj_002bf#0000</v>
      </c>
      <c r="P217" s="189" t="b">
        <f>_xll.qlInstrumentSetPricingEngine(O217,OisEngine)</f>
        <v>1</v>
      </c>
      <c r="Q217" s="188">
        <f>_xll.qlIndexFixing(Currency&amp;IborType&amp;"3M",_xll.qlInterestRateIndexFixingDate(Currency&amp;IborType&amp;"3M",M217),TRUE,AllTriggers)</f>
        <v>5.1550701044698076E-2</v>
      </c>
      <c r="R217" s="188">
        <f>_xll.qlOvernightIndexedSwapFairRate(O217,AllTriggers)</f>
        <v>4.7982056122934838E-2</v>
      </c>
      <c r="S217" s="190">
        <f t="shared" si="5"/>
        <v>3.5686449217632379E-3</v>
      </c>
    </row>
    <row r="218" spans="5:19" ht="11.25" customHeight="1" x14ac:dyDescent="0.2">
      <c r="E218" s="182"/>
      <c r="F218" s="182"/>
      <c r="G218" s="181"/>
      <c r="J218" s="181"/>
      <c r="K218" s="181"/>
      <c r="M218" s="196">
        <f>_xll.qlCalendarAdvance(Calendar,M217,"1M","f",,Trigger)</f>
        <v>48634</v>
      </c>
      <c r="N218" s="187">
        <f>_xll.qlInterestRateIndexMaturity("AUDBBSW3M",M218)</f>
        <v>48723</v>
      </c>
      <c r="O218" s="189" t="str">
        <f>_xll.qlMakeDatedOIS(,M218,N218,OvernightIndex,0,,,,EvaluationDate)</f>
        <v>obj_00385#0000</v>
      </c>
      <c r="P218" s="189" t="b">
        <f>_xll.qlInstrumentSetPricingEngine(O218,OisEngine)</f>
        <v>1</v>
      </c>
      <c r="Q218" s="188">
        <f>_xll.qlIndexFixing(Currency&amp;IborType&amp;"3M",_xll.qlInterestRateIndexFixingDate(Currency&amp;IborType&amp;"3M",M218),TRUE,AllTriggers)</f>
        <v>5.1497448900876694E-2</v>
      </c>
      <c r="R218" s="188">
        <f>_xll.qlOvernightIndexedSwapFairRate(O218,AllTriggers)</f>
        <v>4.7928665512898996E-2</v>
      </c>
      <c r="S218" s="190">
        <f t="shared" si="5"/>
        <v>3.5687833879776976E-3</v>
      </c>
    </row>
    <row r="219" spans="5:19" ht="11.25" customHeight="1" x14ac:dyDescent="0.2">
      <c r="E219" s="182"/>
      <c r="F219" s="182"/>
      <c r="G219" s="181"/>
      <c r="J219" s="181"/>
      <c r="K219" s="181"/>
      <c r="M219" s="196">
        <f>_xll.qlCalendarAdvance(Calendar,M218,"1M","f",,Trigger)</f>
        <v>48662</v>
      </c>
      <c r="N219" s="187">
        <f>_xll.qlInterestRateIndexMaturity("AUDBBSW3M",M219)</f>
        <v>48754</v>
      </c>
      <c r="O219" s="189" t="str">
        <f>_xll.qlMakeDatedOIS(,M219,N219,OvernightIndex,0,,,,EvaluationDate)</f>
        <v>obj_00306#0000</v>
      </c>
      <c r="P219" s="189" t="b">
        <f>_xll.qlInstrumentSetPricingEngine(O219,OisEngine)</f>
        <v>1</v>
      </c>
      <c r="Q219" s="188">
        <f>_xll.qlIndexFixing(Currency&amp;IborType&amp;"3M",_xll.qlInterestRateIndexFixingDate(Currency&amp;IborType&amp;"3M",M219),TRUE,AllTriggers)</f>
        <v>5.1463713775793306E-2</v>
      </c>
      <c r="R219" s="188">
        <f>_xll.qlOvernightIndexedSwapFairRate(O219,AllTriggers)</f>
        <v>4.7892172627098134E-2</v>
      </c>
      <c r="S219" s="190">
        <f t="shared" si="5"/>
        <v>3.5715411486951718E-3</v>
      </c>
    </row>
    <row r="220" spans="5:19" ht="11.25" customHeight="1" x14ac:dyDescent="0.2">
      <c r="E220" s="182"/>
      <c r="F220" s="182"/>
      <c r="G220" s="181"/>
      <c r="J220" s="181"/>
      <c r="K220" s="181"/>
      <c r="M220" s="196">
        <f>_xll.qlCalendarAdvance(Calendar,M219,"1M","f",,Trigger)</f>
        <v>48695</v>
      </c>
      <c r="N220" s="187">
        <f>_xll.qlInterestRateIndexMaturity("AUDBBSW3M",M220)</f>
        <v>48786</v>
      </c>
      <c r="O220" s="189" t="str">
        <f>_xll.qlMakeDatedOIS(,M220,N220,OvernightIndex,0,,,,EvaluationDate)</f>
        <v>obj_00298#0000</v>
      </c>
      <c r="P220" s="189" t="b">
        <f>_xll.qlInstrumentSetPricingEngine(O220,OisEngine)</f>
        <v>1</v>
      </c>
      <c r="Q220" s="188">
        <f>_xll.qlIndexFixing(Currency&amp;IborType&amp;"3M",_xll.qlInterestRateIndexFixingDate(Currency&amp;IborType&amp;"3M",M220),TRUE,AllTriggers)</f>
        <v>5.140864941168511E-2</v>
      </c>
      <c r="R220" s="188">
        <f>_xll.qlOvernightIndexedSwapFairRate(O220,AllTriggers)</f>
        <v>4.7835984616920943E-2</v>
      </c>
      <c r="S220" s="190">
        <f t="shared" si="5"/>
        <v>3.5726647947641674E-3</v>
      </c>
    </row>
    <row r="221" spans="5:19" ht="11.25" customHeight="1" x14ac:dyDescent="0.2">
      <c r="E221" s="182"/>
      <c r="F221" s="182"/>
      <c r="G221" s="181"/>
      <c r="J221" s="181"/>
      <c r="K221" s="181"/>
      <c r="M221" s="196">
        <f>_xll.qlCalendarAdvance(Calendar,M220,"1M","f",,Trigger)</f>
        <v>48725</v>
      </c>
      <c r="N221" s="187">
        <f>_xll.qlInterestRateIndexMaturity("AUDBBSW3M",M221)</f>
        <v>48817</v>
      </c>
      <c r="O221" s="189" t="str">
        <f>_xll.qlMakeDatedOIS(,M221,N221,OvernightIndex,0,,,,EvaluationDate)</f>
        <v>obj_00371#0000</v>
      </c>
      <c r="P221" s="189" t="b">
        <f>_xll.qlInstrumentSetPricingEngine(O221,OisEngine)</f>
        <v>1</v>
      </c>
      <c r="Q221" s="188">
        <f>_xll.qlIndexFixing(Currency&amp;IborType&amp;"3M",_xll.qlInterestRateIndexFixingDate(Currency&amp;IborType&amp;"3M",M221),TRUE,AllTriggers)</f>
        <v>5.1361625948869977E-2</v>
      </c>
      <c r="R221" s="188">
        <f>_xll.qlOvernightIndexedSwapFairRate(O221,AllTriggers)</f>
        <v>4.778707579066805E-2</v>
      </c>
      <c r="S221" s="190">
        <f t="shared" si="5"/>
        <v>3.5745501582019265E-3</v>
      </c>
    </row>
    <row r="222" spans="5:19" ht="11.25" customHeight="1" x14ac:dyDescent="0.2">
      <c r="E222" s="182"/>
      <c r="F222" s="182"/>
      <c r="G222" s="181"/>
      <c r="J222" s="181"/>
      <c r="K222" s="181"/>
      <c r="M222" s="196">
        <f>_xll.qlCalendarAdvance(Calendar,M221,"1M","f",,Trigger)</f>
        <v>48757</v>
      </c>
      <c r="N222" s="187">
        <f>_xll.qlInterestRateIndexMaturity("AUDBBSW3M",M222)</f>
        <v>48849</v>
      </c>
      <c r="O222" s="189" t="str">
        <f>_xll.qlMakeDatedOIS(,M222,N222,OvernightIndex,0,,,,EvaluationDate)</f>
        <v>obj_002e2#0000</v>
      </c>
      <c r="P222" s="189" t="b">
        <f>_xll.qlInstrumentSetPricingEngine(O222,OisEngine)</f>
        <v>1</v>
      </c>
      <c r="Q222" s="188">
        <f>_xll.qlIndexFixing(Currency&amp;IborType&amp;"3M",_xll.qlInterestRateIndexFixingDate(Currency&amp;IborType&amp;"3M",M222),TRUE,AllTriggers)</f>
        <v>5.1306131982054422E-2</v>
      </c>
      <c r="R222" s="188">
        <f>_xll.qlOvernightIndexedSwapFairRate(O222,AllTriggers)</f>
        <v>4.7730086500683555E-2</v>
      </c>
      <c r="S222" s="190">
        <f t="shared" si="5"/>
        <v>3.5760454813708667E-3</v>
      </c>
    </row>
    <row r="223" spans="5:19" ht="11.25" customHeight="1" x14ac:dyDescent="0.2">
      <c r="E223" s="182"/>
      <c r="F223" s="182"/>
      <c r="G223" s="181"/>
      <c r="J223" s="181"/>
      <c r="K223" s="181"/>
      <c r="M223" s="196">
        <f>_xll.qlCalendarAdvance(Calendar,M222,"1M","f",,Trigger)</f>
        <v>48787</v>
      </c>
      <c r="N223" s="187">
        <f>_xll.qlInterestRateIndexMaturity("AUDBBSW3M",M223)</f>
        <v>48879</v>
      </c>
      <c r="O223" s="189" t="str">
        <f>_xll.qlMakeDatedOIS(,M223,N223,OvernightIndex,0,,,,EvaluationDate)</f>
        <v>obj_00355#0000</v>
      </c>
      <c r="P223" s="189" t="b">
        <f>_xll.qlInstrumentSetPricingEngine(O223,OisEngine)</f>
        <v>1</v>
      </c>
      <c r="Q223" s="188">
        <f>_xll.qlIndexFixing(Currency&amp;IborType&amp;"3M",_xll.qlInterestRateIndexFixingDate(Currency&amp;IborType&amp;"3M",M223),TRUE,AllTriggers)</f>
        <v>5.1251879504161615E-2</v>
      </c>
      <c r="R223" s="188">
        <f>_xll.qlOvernightIndexedSwapFairRate(O223,AllTriggers)</f>
        <v>4.7674452390329317E-2</v>
      </c>
      <c r="S223" s="190">
        <f t="shared" si="5"/>
        <v>3.5774271138322988E-3</v>
      </c>
    </row>
    <row r="224" spans="5:19" ht="11.25" customHeight="1" x14ac:dyDescent="0.2">
      <c r="E224" s="182"/>
      <c r="F224" s="182"/>
      <c r="G224" s="181"/>
      <c r="J224" s="181"/>
      <c r="K224" s="181"/>
      <c r="M224" s="196">
        <f>_xll.qlCalendarAdvance(Calendar,M223,"1M","f",,Trigger)</f>
        <v>48820</v>
      </c>
      <c r="N224" s="187">
        <f>_xll.qlInterestRateIndexMaturity("AUDBBSW3M",M224)</f>
        <v>48912</v>
      </c>
      <c r="O224" s="189" t="str">
        <f>_xll.qlMakeDatedOIS(,M224,N224,OvernightIndex,0,,,,EvaluationDate)</f>
        <v>obj_003a2#0000</v>
      </c>
      <c r="P224" s="189" t="b">
        <f>_xll.qlInstrumentSetPricingEngine(O224,OisEngine)</f>
        <v>1</v>
      </c>
      <c r="Q224" s="188">
        <f>_xll.qlIndexFixing(Currency&amp;IborType&amp;"3M",_xll.qlInterestRateIndexFixingDate(Currency&amp;IborType&amp;"3M",M224),TRUE,AllTriggers)</f>
        <v>5.1189712803311263E-2</v>
      </c>
      <c r="R224" s="188">
        <f>_xll.qlOvernightIndexedSwapFairRate(O224,AllTriggers)</f>
        <v>4.7610788512355562E-2</v>
      </c>
      <c r="S224" s="190">
        <f t="shared" si="5"/>
        <v>3.5789242909557012E-3</v>
      </c>
    </row>
    <row r="225" spans="5:19" ht="11.25" customHeight="1" x14ac:dyDescent="0.2">
      <c r="E225" s="182"/>
      <c r="F225" s="182"/>
      <c r="G225" s="181"/>
      <c r="J225" s="181"/>
      <c r="K225" s="181"/>
      <c r="M225" s="196">
        <f>_xll.qlCalendarAdvance(Calendar,M224,"1M","f",,Trigger)</f>
        <v>48851</v>
      </c>
      <c r="N225" s="187">
        <f>_xll.qlInterestRateIndexMaturity("AUDBBSW3M",M225)</f>
        <v>48942</v>
      </c>
      <c r="O225" s="189" t="str">
        <f>_xll.qlMakeDatedOIS(,M225,N225,OvernightIndex,0,,,,EvaluationDate)</f>
        <v>obj_00392#0000</v>
      </c>
      <c r="P225" s="189" t="b">
        <f>_xll.qlInstrumentSetPricingEngine(O225,OisEngine)</f>
        <v>1</v>
      </c>
      <c r="Q225" s="188">
        <f>_xll.qlIndexFixing(Currency&amp;IborType&amp;"3M",_xll.qlInterestRateIndexFixingDate(Currency&amp;IborType&amp;"3M",M225),TRUE,AllTriggers)</f>
        <v>5.1126389648692781E-2</v>
      </c>
      <c r="R225" s="188">
        <f>_xll.qlOvernightIndexedSwapFairRate(O225,AllTriggers)</f>
        <v>4.7546540797533003E-2</v>
      </c>
      <c r="S225" s="190">
        <f t="shared" si="5"/>
        <v>3.5798488511597781E-3</v>
      </c>
    </row>
    <row r="226" spans="5:19" ht="11.25" customHeight="1" x14ac:dyDescent="0.2">
      <c r="E226" s="182"/>
      <c r="F226" s="182"/>
      <c r="G226" s="181"/>
      <c r="J226" s="181"/>
      <c r="K226" s="181"/>
      <c r="M226" s="196">
        <f>_xll.qlCalendarAdvance(Calendar,M225,"1M","f",,Trigger)</f>
        <v>48883</v>
      </c>
      <c r="N226" s="187">
        <f>_xll.qlInterestRateIndexMaturity("AUDBBSW3M",M226)</f>
        <v>48975</v>
      </c>
      <c r="O226" s="189" t="str">
        <f>_xll.qlMakeDatedOIS(,M226,N226,OvernightIndex,0,,,,EvaluationDate)</f>
        <v>obj_00324#0000</v>
      </c>
      <c r="P226" s="189" t="b">
        <f>_xll.qlInstrumentSetPricingEngine(O226,OisEngine)</f>
        <v>1</v>
      </c>
      <c r="Q226" s="188">
        <f>_xll.qlIndexFixing(Currency&amp;IborType&amp;"3M",_xll.qlInterestRateIndexFixingDate(Currency&amp;IborType&amp;"3M",M226),TRUE,AllTriggers)</f>
        <v>5.1063790697086109E-2</v>
      </c>
      <c r="R226" s="188">
        <f>_xll.qlOvernightIndexedSwapFairRate(O226,AllTriggers)</f>
        <v>4.7482073971076261E-2</v>
      </c>
      <c r="S226" s="190">
        <f t="shared" si="5"/>
        <v>3.5817167260098481E-3</v>
      </c>
    </row>
    <row r="227" spans="5:19" ht="11.25" customHeight="1" x14ac:dyDescent="0.2">
      <c r="E227" s="182"/>
      <c r="F227" s="182"/>
      <c r="G227" s="181"/>
      <c r="J227" s="181"/>
      <c r="K227" s="181"/>
      <c r="M227" s="196">
        <f>_xll.qlCalendarAdvance(Calendar,M226,"1M","f",,Trigger)</f>
        <v>48913</v>
      </c>
      <c r="N227" s="187">
        <f>_xll.qlInterestRateIndexMaturity("AUDBBSW3M",M227)</f>
        <v>49003</v>
      </c>
      <c r="O227" s="189" t="str">
        <f>_xll.qlMakeDatedOIS(,M227,N227,OvernightIndex,0,,,,EvaluationDate)</f>
        <v>obj_00305#0000</v>
      </c>
      <c r="P227" s="189" t="b">
        <f>_xll.qlInstrumentSetPricingEngine(O227,OisEngine)</f>
        <v>1</v>
      </c>
      <c r="Q227" s="188">
        <f>_xll.qlIndexFixing(Currency&amp;IborType&amp;"3M",_xll.qlInterestRateIndexFixingDate(Currency&amp;IborType&amp;"3M",M227),TRUE,AllTriggers)</f>
        <v>5.0995573371468629E-2</v>
      </c>
      <c r="R227" s="188">
        <f>_xll.qlOvernightIndexedSwapFairRate(O227,AllTriggers)</f>
        <v>4.741347515394434E-2</v>
      </c>
      <c r="S227" s="190">
        <f t="shared" si="5"/>
        <v>3.5820982175242891E-3</v>
      </c>
    </row>
    <row r="228" spans="5:19" ht="11.25" customHeight="1" x14ac:dyDescent="0.2">
      <c r="E228" s="182"/>
      <c r="F228" s="182"/>
      <c r="G228" s="181"/>
      <c r="J228" s="181"/>
      <c r="K228" s="181"/>
      <c r="M228" s="196">
        <f>_xll.qlCalendarAdvance(Calendar,M227,"1M","f",,Trigger)</f>
        <v>48943</v>
      </c>
      <c r="N228" s="187">
        <f>_xll.qlInterestRateIndexMaturity("AUDBBSW3M",M228)</f>
        <v>49034</v>
      </c>
      <c r="O228" s="189" t="str">
        <f>_xll.qlMakeDatedOIS(,M228,N228,OvernightIndex,0,,,,EvaluationDate)</f>
        <v>obj_0032f#0000</v>
      </c>
      <c r="P228" s="189" t="b">
        <f>_xll.qlInstrumentSetPricingEngine(O228,OisEngine)</f>
        <v>1</v>
      </c>
      <c r="Q228" s="188">
        <f>_xll.qlIndexFixing(Currency&amp;IborType&amp;"3M",_xll.qlInterestRateIndexFixingDate(Currency&amp;IborType&amp;"3M",M228),TRUE,AllTriggers)</f>
        <v>5.0932618826311664E-2</v>
      </c>
      <c r="R228" s="188">
        <f>_xll.qlOvernightIndexedSwapFairRate(O228,AllTriggers)</f>
        <v>4.7348781242880063E-2</v>
      </c>
      <c r="S228" s="190">
        <f t="shared" si="5"/>
        <v>3.5838375834316011E-3</v>
      </c>
    </row>
    <row r="229" spans="5:19" ht="11.25" customHeight="1" x14ac:dyDescent="0.2">
      <c r="E229" s="182"/>
      <c r="F229" s="182"/>
      <c r="G229" s="181"/>
      <c r="J229" s="181"/>
      <c r="K229" s="181"/>
      <c r="M229" s="196">
        <f>_xll.qlCalendarAdvance(Calendar,M228,"1M","f",,Trigger)</f>
        <v>48974</v>
      </c>
      <c r="N229" s="187">
        <f>_xll.qlInterestRateIndexMaturity("AUDBBSW3M",M229)</f>
        <v>49062</v>
      </c>
      <c r="O229" s="189" t="str">
        <f>_xll.qlMakeDatedOIS(,M229,N229,OvernightIndex,0,,,,EvaluationDate)</f>
        <v>obj_00297#0000</v>
      </c>
      <c r="P229" s="189" t="b">
        <f>_xll.qlInstrumentSetPricingEngine(O229,OisEngine)</f>
        <v>1</v>
      </c>
      <c r="Q229" s="188">
        <f>_xll.qlIndexFixing(Currency&amp;IborType&amp;"3M",_xll.qlInterestRateIndexFixingDate(Currency&amp;IborType&amp;"3M",M229),TRUE,AllTriggers)</f>
        <v>5.0855662831965368E-2</v>
      </c>
      <c r="R229" s="188">
        <f>_xll.qlOvernightIndexedSwapFairRate(O229,AllTriggers)</f>
        <v>4.72718951410055E-2</v>
      </c>
      <c r="S229" s="190">
        <f t="shared" si="5"/>
        <v>3.5837676909598673E-3</v>
      </c>
    </row>
    <row r="230" spans="5:19" ht="11.25" customHeight="1" x14ac:dyDescent="0.2">
      <c r="E230" s="182"/>
      <c r="F230" s="182"/>
      <c r="G230" s="181"/>
      <c r="J230" s="181"/>
      <c r="K230" s="181"/>
      <c r="M230" s="196">
        <f>_xll.qlCalendarAdvance(Calendar,M229,"1M","f",,Trigger)</f>
        <v>49003</v>
      </c>
      <c r="N230" s="187">
        <f>_xll.qlInterestRateIndexMaturity("AUDBBSW3M",M230)</f>
        <v>49095</v>
      </c>
      <c r="O230" s="189" t="str">
        <f>_xll.qlMakeDatedOIS(,M230,N230,OvernightIndex,0,,,,EvaluationDate)</f>
        <v>obj_003cc#0000</v>
      </c>
      <c r="P230" s="189" t="b">
        <f>_xll.qlInstrumentSetPricingEngine(O230,OisEngine)</f>
        <v>1</v>
      </c>
      <c r="Q230" s="188">
        <f>_xll.qlIndexFixing(Currency&amp;IborType&amp;"3M",_xll.qlInterestRateIndexFixingDate(Currency&amp;IborType&amp;"3M",M230),TRUE,AllTriggers)</f>
        <v>5.0797653060665936E-2</v>
      </c>
      <c r="R230" s="188">
        <f>_xll.qlOvernightIndexedSwapFairRate(O230,AllTriggers)</f>
        <v>4.7210856449673058E-2</v>
      </c>
      <c r="S230" s="190">
        <f t="shared" si="5"/>
        <v>3.5867966109928776E-3</v>
      </c>
    </row>
    <row r="231" spans="5:19" ht="11.25" customHeight="1" x14ac:dyDescent="0.2">
      <c r="E231" s="182"/>
      <c r="F231" s="182"/>
      <c r="G231" s="181"/>
      <c r="J231" s="181"/>
      <c r="K231" s="181"/>
      <c r="M231" s="196">
        <f>_xll.qlCalendarAdvance(Calendar,M230,"1M","f",,Trigger)</f>
        <v>49031</v>
      </c>
      <c r="N231" s="187">
        <f>_xll.qlInterestRateIndexMaturity("AUDBBSW3M",M231)</f>
        <v>49123</v>
      </c>
      <c r="O231" s="189" t="str">
        <f>_xll.qlMakeDatedOIS(,M231,N231,OvernightIndex,0,,,,EvaluationDate)</f>
        <v>obj_003bf#0000</v>
      </c>
      <c r="P231" s="189" t="b">
        <f>_xll.qlInstrumentSetPricingEngine(O231,OisEngine)</f>
        <v>1</v>
      </c>
      <c r="Q231" s="188">
        <f>_xll.qlIndexFixing(Currency&amp;IborType&amp;"3M",_xll.qlInterestRateIndexFixingDate(Currency&amp;IborType&amp;"3M",M231),TRUE,AllTriggers)</f>
        <v>5.0730594504804299E-2</v>
      </c>
      <c r="R231" s="188">
        <f>_xll.qlOvernightIndexedSwapFairRate(O231,AllTriggers)</f>
        <v>4.7142657709814163E-2</v>
      </c>
      <c r="S231" s="190">
        <f t="shared" si="5"/>
        <v>3.5879367949901361E-3</v>
      </c>
    </row>
    <row r="232" spans="5:19" ht="11.25" customHeight="1" x14ac:dyDescent="0.2">
      <c r="E232" s="182"/>
      <c r="F232" s="182"/>
      <c r="G232" s="181"/>
      <c r="J232" s="181"/>
      <c r="K232" s="181"/>
      <c r="M232" s="196">
        <f>_xll.qlCalendarAdvance(Calendar,M231,"1M","f",,Trigger)</f>
        <v>49062</v>
      </c>
      <c r="N232" s="187">
        <f>_xll.qlInterestRateIndexMaturity("AUDBBSW3M",M232)</f>
        <v>49156</v>
      </c>
      <c r="O232" s="189" t="str">
        <f>_xll.qlMakeDatedOIS(,M232,N232,OvernightIndex,0,,,,EvaluationDate)</f>
        <v>obj_003b1#0000</v>
      </c>
      <c r="P232" s="189" t="b">
        <f>_xll.qlInstrumentSetPricingEngine(O232,OisEngine)</f>
        <v>1</v>
      </c>
      <c r="Q232" s="188">
        <f>_xll.qlIndexFixing(Currency&amp;IborType&amp;"3M",_xll.qlInterestRateIndexFixingDate(Currency&amp;IborType&amp;"3M",M232),TRUE,AllTriggers)</f>
        <v>5.0658621236234637E-2</v>
      </c>
      <c r="R232" s="188">
        <f>_xll.qlOvernightIndexedSwapFairRate(O232,AllTriggers)</f>
        <v>4.7068531126257286E-2</v>
      </c>
      <c r="S232" s="190">
        <f t="shared" si="5"/>
        <v>3.5900901099773508E-3</v>
      </c>
    </row>
    <row r="233" spans="5:19" ht="11.25" customHeight="1" x14ac:dyDescent="0.2">
      <c r="E233" s="182"/>
      <c r="F233" s="182"/>
      <c r="G233" s="181"/>
      <c r="J233" s="181"/>
      <c r="K233" s="181"/>
      <c r="M233" s="196">
        <f>_xll.qlCalendarAdvance(Calendar,M232,"1M","f",,Trigger)</f>
        <v>49093</v>
      </c>
      <c r="N233" s="187">
        <f>_xll.qlInterestRateIndexMaturity("AUDBBSW3M",M233)</f>
        <v>49185</v>
      </c>
      <c r="O233" s="189" t="str">
        <f>_xll.qlMakeDatedOIS(,M233,N233,OvernightIndex,0,,,,EvaluationDate)</f>
        <v>obj_00347#0000</v>
      </c>
      <c r="P233" s="189" t="b">
        <f>_xll.qlInstrumentSetPricingEngine(O233,OisEngine)</f>
        <v>1</v>
      </c>
      <c r="Q233" s="188">
        <f>_xll.qlIndexFixing(Currency&amp;IborType&amp;"3M",_xll.qlInterestRateIndexFixingDate(Currency&amp;IborType&amp;"3M",M233),TRUE,AllTriggers)</f>
        <v>5.0575430066412151E-2</v>
      </c>
      <c r="R233" s="188">
        <f>_xll.qlOvernightIndexedSwapFairRate(O233,AllTriggers)</f>
        <v>4.6985029355729124E-2</v>
      </c>
      <c r="S233" s="190">
        <f t="shared" si="5"/>
        <v>3.5904007106830269E-3</v>
      </c>
    </row>
    <row r="234" spans="5:19" ht="11.25" customHeight="1" x14ac:dyDescent="0.2">
      <c r="E234" s="182"/>
      <c r="F234" s="182"/>
      <c r="G234" s="181"/>
      <c r="J234" s="181"/>
      <c r="K234" s="181"/>
      <c r="M234" s="196">
        <f>_xll.qlCalendarAdvance(Calendar,M233,"1M","f",,Trigger)</f>
        <v>49124</v>
      </c>
      <c r="N234" s="187">
        <f>_xll.qlInterestRateIndexMaturity("AUDBBSW3M",M234)</f>
        <v>49216</v>
      </c>
      <c r="O234" s="189" t="str">
        <f>_xll.qlMakeDatedOIS(,M234,N234,OvernightIndex,0,,,,EvaluationDate)</f>
        <v>obj_00335#0000</v>
      </c>
      <c r="P234" s="189" t="b">
        <f>_xll.qlInstrumentSetPricingEngine(O234,OisEngine)</f>
        <v>1</v>
      </c>
      <c r="Q234" s="188">
        <f>_xll.qlIndexFixing(Currency&amp;IborType&amp;"3M",_xll.qlInterestRateIndexFixingDate(Currency&amp;IborType&amp;"3M",M234),TRUE,AllTriggers)</f>
        <v>5.049443113887913E-2</v>
      </c>
      <c r="R234" s="188">
        <f>_xll.qlOvernightIndexedSwapFairRate(O234,AllTriggers)</f>
        <v>4.6902832762768382E-2</v>
      </c>
      <c r="S234" s="190">
        <f t="shared" si="5"/>
        <v>3.5915983761107481E-3</v>
      </c>
    </row>
    <row r="235" spans="5:19" ht="11.25" customHeight="1" x14ac:dyDescent="0.2">
      <c r="E235" s="182"/>
      <c r="F235" s="182"/>
      <c r="G235" s="181"/>
      <c r="J235" s="181"/>
      <c r="K235" s="181"/>
      <c r="M235" s="196">
        <f>_xll.qlCalendarAdvance(Calendar,M234,"1M","f",,Trigger)</f>
        <v>49156</v>
      </c>
      <c r="N235" s="187">
        <f>_xll.qlInterestRateIndexMaturity("AUDBBSW3M",M235)</f>
        <v>49248</v>
      </c>
      <c r="O235" s="189" t="str">
        <f>_xll.qlMakeDatedOIS(,M235,N235,OvernightIndex,0,,,,EvaluationDate)</f>
        <v>obj_00384#0000</v>
      </c>
      <c r="P235" s="189" t="b">
        <f>_xll.qlInstrumentSetPricingEngine(O235,OisEngine)</f>
        <v>1</v>
      </c>
      <c r="Q235" s="188">
        <f>_xll.qlIndexFixing(Currency&amp;IborType&amp;"3M",_xll.qlInterestRateIndexFixingDate(Currency&amp;IborType&amp;"3M",M235),TRUE,AllTriggers)</f>
        <v>5.0409133447921479E-2</v>
      </c>
      <c r="R235" s="188">
        <f>_xll.qlOvernightIndexedSwapFairRate(O235,AllTriggers)</f>
        <v>4.681638396247096E-2</v>
      </c>
      <c r="S235" s="190">
        <f t="shared" si="5"/>
        <v>3.5927494854505193E-3</v>
      </c>
    </row>
    <row r="236" spans="5:19" ht="11.25" customHeight="1" x14ac:dyDescent="0.2">
      <c r="E236" s="182"/>
      <c r="F236" s="182"/>
      <c r="G236" s="181"/>
      <c r="J236" s="181"/>
      <c r="K236" s="181"/>
      <c r="M236" s="196">
        <f>_xll.qlCalendarAdvance(Calendar,M235,"1M","f",,Trigger)</f>
        <v>49187</v>
      </c>
      <c r="N236" s="187">
        <f>_xll.qlInterestRateIndexMaturity("AUDBBSW3M",M236)</f>
        <v>49278</v>
      </c>
      <c r="O236" s="189" t="str">
        <f>_xll.qlMakeDatedOIS(,M236,N236,OvernightIndex,0,,,,EvaluationDate)</f>
        <v>obj_00304#0000</v>
      </c>
      <c r="P236" s="189" t="b">
        <f>_xll.qlInstrumentSetPricingEngine(O236,OisEngine)</f>
        <v>1</v>
      </c>
      <c r="Q236" s="188">
        <f>_xll.qlIndexFixing(Currency&amp;IborType&amp;"3M",_xll.qlInterestRateIndexFixingDate(Currency&amp;IborType&amp;"3M",M236),TRUE,AllTriggers)</f>
        <v>5.032396066873443E-2</v>
      </c>
      <c r="R236" s="188">
        <f>_xll.qlOvernightIndexedSwapFairRate(O236,AllTriggers)</f>
        <v>4.6730728816398497E-2</v>
      </c>
      <c r="S236" s="190">
        <f t="shared" si="5"/>
        <v>3.5932318523359333E-3</v>
      </c>
    </row>
    <row r="237" spans="5:19" ht="11.25" customHeight="1" x14ac:dyDescent="0.2">
      <c r="E237" s="182"/>
      <c r="F237" s="182"/>
      <c r="G237" s="181"/>
      <c r="J237" s="181"/>
      <c r="K237" s="181"/>
      <c r="M237" s="196">
        <f>_xll.qlCalendarAdvance(Calendar,M236,"1M","f",,Trigger)</f>
        <v>49220</v>
      </c>
      <c r="N237" s="187">
        <f>_xll.qlInterestRateIndexMaturity("AUDBBSW3M",M237)</f>
        <v>49312</v>
      </c>
      <c r="O237" s="189" t="str">
        <f>_xll.qlMakeDatedOIS(,M237,N237,OvernightIndex,0,,,,EvaluationDate)</f>
        <v>obj_00296#0000</v>
      </c>
      <c r="P237" s="189" t="b">
        <f>_xll.qlInstrumentSetPricingEngine(O237,OisEngine)</f>
        <v>1</v>
      </c>
      <c r="Q237" s="188">
        <f>_xll.qlIndexFixing(Currency&amp;IborType&amp;"3M",_xll.qlInterestRateIndexFixingDate(Currency&amp;IborType&amp;"3M",M237),TRUE,AllTriggers)</f>
        <v>5.0238543359458557E-2</v>
      </c>
      <c r="R237" s="188">
        <f>_xll.qlOvernightIndexedSwapFairRate(O237,AllTriggers)</f>
        <v>4.6644198953003091E-2</v>
      </c>
      <c r="S237" s="190">
        <f t="shared" si="5"/>
        <v>3.5943444064554658E-3</v>
      </c>
    </row>
    <row r="238" spans="5:19" ht="11.25" customHeight="1" x14ac:dyDescent="0.2">
      <c r="E238" s="182"/>
      <c r="F238" s="182"/>
      <c r="G238" s="181"/>
      <c r="J238" s="181"/>
      <c r="K238" s="181"/>
      <c r="M238" s="196">
        <f>_xll.qlCalendarAdvance(Calendar,M237,"1M","f",,Trigger)</f>
        <v>49251</v>
      </c>
      <c r="N238" s="187">
        <f>_xll.qlInterestRateIndexMaturity("AUDBBSW3M",M238)</f>
        <v>49345</v>
      </c>
      <c r="O238" s="189" t="str">
        <f>_xll.qlMakeDatedOIS(,M238,N238,OvernightIndex,0,,,,EvaluationDate)</f>
        <v>obj_002ed#0000</v>
      </c>
      <c r="P238" s="189" t="b">
        <f>_xll.qlInstrumentSetPricingEngine(O238,OisEngine)</f>
        <v>1</v>
      </c>
      <c r="Q238" s="188">
        <f>_xll.qlIndexFixing(Currency&amp;IborType&amp;"3M",_xll.qlInterestRateIndexFixingDate(Currency&amp;IborType&amp;"3M",M238),TRUE,AllTriggers)</f>
        <v>5.0161908308714066E-2</v>
      </c>
      <c r="R238" s="188">
        <f>_xll.qlOvernightIndexedSwapFairRate(O238,AllTriggers)</f>
        <v>4.6566414783721297E-2</v>
      </c>
      <c r="S238" s="190">
        <f t="shared" si="5"/>
        <v>3.5954935249927697E-3</v>
      </c>
    </row>
    <row r="239" spans="5:19" ht="11.25" customHeight="1" x14ac:dyDescent="0.2">
      <c r="E239" s="182"/>
      <c r="F239" s="182"/>
      <c r="G239" s="181"/>
      <c r="J239" s="181"/>
      <c r="K239" s="181"/>
      <c r="M239" s="196">
        <f>_xll.qlCalendarAdvance(Calendar,M238,"1M","f",,Trigger)</f>
        <v>49282</v>
      </c>
      <c r="N239" s="187">
        <f>_xll.qlInterestRateIndexMaturity("AUDBBSW3M",M239)</f>
        <v>49373</v>
      </c>
      <c r="O239" s="189" t="str">
        <f>_xll.qlMakeDatedOIS(,M239,N239,OvernightIndex,0,,,,EvaluationDate)</f>
        <v>obj_00362#0000</v>
      </c>
      <c r="P239" s="189" t="b">
        <f>_xll.qlInstrumentSetPricingEngine(O239,OisEngine)</f>
        <v>1</v>
      </c>
      <c r="Q239" s="188">
        <f>_xll.qlIndexFixing(Currency&amp;IborType&amp;"3M",_xll.qlInterestRateIndexFixingDate(Currency&amp;IborType&amp;"3M",M239),TRUE,AllTriggers)</f>
        <v>5.007580562988339E-2</v>
      </c>
      <c r="R239" s="188">
        <f>_xll.qlOvernightIndexedSwapFairRate(O239,AllTriggers)</f>
        <v>4.6481647767593101E-2</v>
      </c>
      <c r="S239" s="190">
        <f t="shared" si="5"/>
        <v>3.5941578622902884E-3</v>
      </c>
    </row>
    <row r="240" spans="5:19" ht="11.25" customHeight="1" x14ac:dyDescent="0.2">
      <c r="E240" s="182"/>
      <c r="F240" s="182"/>
      <c r="G240" s="181"/>
      <c r="J240" s="181"/>
      <c r="K240" s="181"/>
      <c r="M240" s="196">
        <f>_xll.qlCalendarAdvance(Calendar,M239,"1M","f",,Trigger)</f>
        <v>49313</v>
      </c>
      <c r="N240" s="187">
        <f>_xll.qlInterestRateIndexMaturity("AUDBBSW3M",M240)</f>
        <v>49403</v>
      </c>
      <c r="O240" s="189" t="str">
        <f>_xll.qlMakeDatedOIS(,M240,N240,OvernightIndex,0,,,,EvaluationDate)</f>
        <v>obj_002d4#0000</v>
      </c>
      <c r="P240" s="189" t="b">
        <f>_xll.qlInstrumentSetPricingEngine(O240,OisEngine)</f>
        <v>1</v>
      </c>
      <c r="Q240" s="188">
        <f>_xll.qlIndexFixing(Currency&amp;IborType&amp;"3M",_xll.qlInterestRateIndexFixingDate(Currency&amp;IborType&amp;"3M",M240),TRUE,AllTriggers)</f>
        <v>4.9995256965921664E-2</v>
      </c>
      <c r="R240" s="188">
        <f>_xll.qlOvernightIndexedSwapFairRate(O240,AllTriggers)</f>
        <v>4.6401891835513361E-2</v>
      </c>
      <c r="S240" s="190">
        <f t="shared" si="5"/>
        <v>3.5933651304083034E-3</v>
      </c>
    </row>
    <row r="241" spans="5:19" ht="11.25" customHeight="1" x14ac:dyDescent="0.2">
      <c r="E241" s="182"/>
      <c r="F241" s="182"/>
      <c r="G241" s="181"/>
      <c r="J241" s="181"/>
      <c r="K241" s="181"/>
      <c r="M241" s="196">
        <f>_xll.qlCalendarAdvance(Calendar,M240,"1M","f",,Trigger)</f>
        <v>49345</v>
      </c>
      <c r="N241" s="187">
        <f>_xll.qlInterestRateIndexMaturity("AUDBBSW3M",M241)</f>
        <v>49436</v>
      </c>
      <c r="O241" s="189" t="str">
        <f>_xll.qlMakeDatedOIS(,M241,N241,OvernightIndex,0,,,,EvaluationDate)</f>
        <v>obj_003a1#0000</v>
      </c>
      <c r="P241" s="189" t="b">
        <f>_xll.qlInstrumentSetPricingEngine(O241,OisEngine)</f>
        <v>1</v>
      </c>
      <c r="Q241" s="188">
        <f>_xll.qlIndexFixing(Currency&amp;IborType&amp;"3M",_xll.qlInterestRateIndexFixingDate(Currency&amp;IborType&amp;"3M",M241),TRUE,AllTriggers)</f>
        <v>4.9917852919657078E-2</v>
      </c>
      <c r="R241" s="188">
        <f>_xll.qlOvernightIndexedSwapFairRate(O241,AllTriggers)</f>
        <v>4.6324801468958392E-2</v>
      </c>
      <c r="S241" s="190">
        <f t="shared" si="5"/>
        <v>3.5930514506986866E-3</v>
      </c>
    </row>
    <row r="242" spans="5:19" ht="11.25" customHeight="1" x14ac:dyDescent="0.2">
      <c r="E242" s="182"/>
      <c r="F242" s="182"/>
      <c r="G242" s="181"/>
      <c r="J242" s="181"/>
      <c r="K242" s="181"/>
      <c r="M242" s="196">
        <f>_xll.qlCalendarAdvance(Calendar,M241,"1M","f",,Trigger)</f>
        <v>49373</v>
      </c>
      <c r="N242" s="187">
        <f>_xll.qlInterestRateIndexMaturity("AUDBBSW3M",M242)</f>
        <v>49465</v>
      </c>
      <c r="O242" s="189" t="str">
        <f>_xll.qlMakeDatedOIS(,M242,N242,OvernightIndex,0,,,,EvaluationDate)</f>
        <v>obj_002be#0000</v>
      </c>
      <c r="P242" s="189" t="b">
        <f>_xll.qlInstrumentSetPricingEngine(O242,OisEngine)</f>
        <v>1</v>
      </c>
      <c r="Q242" s="188">
        <f>_xll.qlIndexFixing(Currency&amp;IborType&amp;"3M",_xll.qlInterestRateIndexFixingDate(Currency&amp;IborType&amp;"3M",M242),TRUE,AllTriggers)</f>
        <v>4.9851532668363549E-2</v>
      </c>
      <c r="R242" s="188">
        <f>_xll.qlOvernightIndexedSwapFairRate(O242,AllTriggers)</f>
        <v>4.6259005516402787E-2</v>
      </c>
      <c r="S242" s="190">
        <f t="shared" si="5"/>
        <v>3.5925271519607616E-3</v>
      </c>
    </row>
    <row r="243" spans="5:19" ht="11.25" customHeight="1" x14ac:dyDescent="0.2">
      <c r="E243" s="182"/>
      <c r="F243" s="182"/>
      <c r="G243" s="181"/>
      <c r="J243" s="181"/>
      <c r="K243" s="181"/>
      <c r="M243" s="196">
        <f>_xll.qlCalendarAdvance(Calendar,M242,"1M","f",,Trigger)</f>
        <v>49404</v>
      </c>
      <c r="N243" s="187">
        <f>_xll.qlInterestRateIndexMaturity("AUDBBSW3M",M243)</f>
        <v>49495</v>
      </c>
      <c r="O243" s="189" t="str">
        <f>_xll.qlMakeDatedOIS(,M243,N243,OvernightIndex,0,,,,EvaluationDate)</f>
        <v>obj_002b2#0000</v>
      </c>
      <c r="P243" s="189" t="b">
        <f>_xll.qlInstrumentSetPricingEngine(O243,OisEngine)</f>
        <v>1</v>
      </c>
      <c r="Q243" s="188">
        <f>_xll.qlIndexFixing(Currency&amp;IborType&amp;"3M",_xll.qlInterestRateIndexFixingDate(Currency&amp;IborType&amp;"3M",M243),TRUE,AllTriggers)</f>
        <v>4.977471618444132E-2</v>
      </c>
      <c r="R243" s="188">
        <f>_xll.qlOvernightIndexedSwapFairRate(O243,AllTriggers)</f>
        <v>4.6183945354914602E-2</v>
      </c>
      <c r="S243" s="190">
        <f t="shared" si="5"/>
        <v>3.5907708295267182E-3</v>
      </c>
    </row>
    <row r="244" spans="5:19" ht="11.25" customHeight="1" x14ac:dyDescent="0.2">
      <c r="E244" s="182"/>
      <c r="F244" s="182"/>
      <c r="G244" s="181"/>
      <c r="J244" s="181"/>
      <c r="K244" s="181"/>
      <c r="M244" s="196">
        <f>_xll.qlCalendarAdvance(Calendar,M243,"1M","f",,Trigger)</f>
        <v>49436</v>
      </c>
      <c r="N244" s="187">
        <f>_xll.qlInterestRateIndexMaturity("AUDBBSW3M",M244)</f>
        <v>49528</v>
      </c>
      <c r="O244" s="189" t="str">
        <f>_xll.qlMakeDatedOIS(,M244,N244,OvernightIndex,0,,,,EvaluationDate)</f>
        <v>obj_00303#0000</v>
      </c>
      <c r="P244" s="189" t="b">
        <f>_xll.qlInstrumentSetPricingEngine(O244,OisEngine)</f>
        <v>1</v>
      </c>
      <c r="Q244" s="188">
        <f>_xll.qlIndexFixing(Currency&amp;IborType&amp;"3M",_xll.qlInterestRateIndexFixingDate(Currency&amp;IborType&amp;"3M",M244),TRUE,AllTriggers)</f>
        <v>4.9701227058141395E-2</v>
      </c>
      <c r="R244" s="188">
        <f>_xll.qlOvernightIndexedSwapFairRate(O244,AllTriggers)</f>
        <v>4.611180109899244E-2</v>
      </c>
      <c r="S244" s="190">
        <f t="shared" si="5"/>
        <v>3.589425959148955E-3</v>
      </c>
    </row>
    <row r="245" spans="5:19" ht="11.25" customHeight="1" x14ac:dyDescent="0.2">
      <c r="E245" s="182"/>
      <c r="F245" s="182"/>
      <c r="G245" s="181"/>
      <c r="J245" s="181"/>
      <c r="K245" s="181"/>
      <c r="M245" s="196">
        <f>_xll.qlCalendarAdvance(Calendar,M244,"1M","f",,Trigger)</f>
        <v>49467</v>
      </c>
      <c r="N245" s="187">
        <f>_xll.qlInterestRateIndexMaturity("AUDBBSW3M",M245)</f>
        <v>49559</v>
      </c>
      <c r="O245" s="189" t="str">
        <f>_xll.qlMakeDatedOIS(,M245,N245,OvernightIndex,0,,,,EvaluationDate)</f>
        <v>obj_00295#0000</v>
      </c>
      <c r="P245" s="189" t="b">
        <f>_xll.qlInstrumentSetPricingEngine(O245,OisEngine)</f>
        <v>1</v>
      </c>
      <c r="Q245" s="188">
        <f>_xll.qlIndexFixing(Currency&amp;IborType&amp;"3M",_xll.qlInterestRateIndexFixingDate(Currency&amp;IborType&amp;"3M",M245),TRUE,AllTriggers)</f>
        <v>4.9629205192510198E-2</v>
      </c>
      <c r="R245" s="188">
        <f>_xll.qlOvernightIndexedSwapFairRate(O245,AllTriggers)</f>
        <v>4.6041808992037851E-2</v>
      </c>
      <c r="S245" s="190">
        <f t="shared" si="5"/>
        <v>3.5873962004723467E-3</v>
      </c>
    </row>
    <row r="246" spans="5:19" ht="11.25" customHeight="1" x14ac:dyDescent="0.2">
      <c r="E246" s="182"/>
      <c r="F246" s="182"/>
      <c r="G246" s="181"/>
      <c r="J246" s="181"/>
      <c r="K246" s="181"/>
      <c r="M246" s="196">
        <f>_xll.qlCalendarAdvance(Calendar,M245,"1M","f",,Trigger)</f>
        <v>49499</v>
      </c>
      <c r="N246" s="187">
        <f>_xll.qlInterestRateIndexMaturity("AUDBBSW3M",M246)</f>
        <v>49591</v>
      </c>
      <c r="O246" s="189" t="str">
        <f>_xll.qlMakeDatedOIS(,M246,N246,OvernightIndex,0,,,,EvaluationDate)</f>
        <v>obj_00370#0000</v>
      </c>
      <c r="P246" s="189" t="b">
        <f>_xll.qlInstrumentSetPricingEngine(O246,OisEngine)</f>
        <v>1</v>
      </c>
      <c r="Q246" s="188">
        <f>_xll.qlIndexFixing(Currency&amp;IborType&amp;"3M",_xll.qlInterestRateIndexFixingDate(Currency&amp;IborType&amp;"3M",M246),TRUE,AllTriggers)</f>
        <v>4.9556200740426229E-2</v>
      </c>
      <c r="R246" s="188">
        <f>_xll.qlOvernightIndexedSwapFairRate(O246,AllTriggers)</f>
        <v>4.5971248278644815E-2</v>
      </c>
      <c r="S246" s="190">
        <f t="shared" si="5"/>
        <v>3.5849524617814141E-3</v>
      </c>
    </row>
    <row r="247" spans="5:19" ht="11.25" customHeight="1" x14ac:dyDescent="0.2">
      <c r="E247" s="182"/>
      <c r="F247" s="182"/>
      <c r="G247" s="181"/>
      <c r="J247" s="181"/>
      <c r="K247" s="181"/>
      <c r="M247" s="196">
        <f>_xll.qlCalendarAdvance(Calendar,M246,"1M","f",,Trigger)</f>
        <v>49530</v>
      </c>
      <c r="N247" s="187">
        <f>_xll.qlInterestRateIndexMaturity("AUDBBSW3M",M247)</f>
        <v>49622</v>
      </c>
      <c r="O247" s="189" t="str">
        <f>_xll.qlMakeDatedOIS(,M247,N247,OvernightIndex,0,,,,EvaluationDate)</f>
        <v>obj_003be#0000</v>
      </c>
      <c r="P247" s="189" t="b">
        <f>_xll.qlInstrumentSetPricingEngine(O247,OisEngine)</f>
        <v>1</v>
      </c>
      <c r="Q247" s="188">
        <f>_xll.qlIndexFixing(Currency&amp;IborType&amp;"3M",_xll.qlInterestRateIndexFixingDate(Currency&amp;IborType&amp;"3M",M247),TRUE,AllTriggers)</f>
        <v>4.9486776410856338E-2</v>
      </c>
      <c r="R247" s="188">
        <f>_xll.qlOvernightIndexedSwapFairRate(O247,AllTriggers)</f>
        <v>4.5904528917773059E-2</v>
      </c>
      <c r="S247" s="190">
        <f t="shared" si="5"/>
        <v>3.5822474930832793E-3</v>
      </c>
    </row>
    <row r="248" spans="5:19" ht="11.25" customHeight="1" x14ac:dyDescent="0.2">
      <c r="E248" s="182"/>
      <c r="F248" s="182"/>
      <c r="G248" s="181"/>
      <c r="J248" s="181"/>
      <c r="K248" s="181"/>
      <c r="M248" s="196">
        <f>_xll.qlCalendarAdvance(Calendar,M247,"1M","f",,Trigger)</f>
        <v>49562</v>
      </c>
      <c r="N248" s="187">
        <f>_xll.qlInterestRateIndexMaturity("AUDBBSW3M",M248)</f>
        <v>49653</v>
      </c>
      <c r="O248" s="189" t="str">
        <f>_xll.qlMakeDatedOIS(,M248,N248,OvernightIndex,0,,,,EvaluationDate)</f>
        <v>obj_00354#0000</v>
      </c>
      <c r="P248" s="189" t="b">
        <f>_xll.qlInstrumentSetPricingEngine(O248,OisEngine)</f>
        <v>1</v>
      </c>
      <c r="Q248" s="188">
        <f>_xll.qlIndexFixing(Currency&amp;IborType&amp;"3M",_xll.qlInterestRateIndexFixingDate(Currency&amp;IborType&amp;"3M",M248),TRUE,AllTriggers)</f>
        <v>4.9414199962416083E-2</v>
      </c>
      <c r="R248" s="188">
        <f>_xll.qlOvernightIndexedSwapFairRate(O248,AllTriggers)</f>
        <v>4.5835463291357202E-2</v>
      </c>
      <c r="S248" s="190">
        <f t="shared" si="5"/>
        <v>3.5787366710588811E-3</v>
      </c>
    </row>
    <row r="249" spans="5:19" ht="11.25" customHeight="1" x14ac:dyDescent="0.2">
      <c r="E249" s="182"/>
      <c r="F249" s="182"/>
      <c r="G249" s="181"/>
      <c r="J249" s="181"/>
      <c r="K249" s="181"/>
      <c r="M249" s="196">
        <f>_xll.qlCalendarAdvance(Calendar,M248,"1M","f",,Trigger)</f>
        <v>49592</v>
      </c>
      <c r="N249" s="187">
        <f>_xll.qlInterestRateIndexMaturity("AUDBBSW3M",M249)</f>
        <v>49684</v>
      </c>
      <c r="O249" s="189" t="str">
        <f>_xll.qlMakeDatedOIS(,M249,N249,OvernightIndex,0,,,,EvaluationDate)</f>
        <v>obj_00346#0000</v>
      </c>
      <c r="P249" s="189" t="b">
        <f>_xll.qlInstrumentSetPricingEngine(O249,OisEngine)</f>
        <v>1</v>
      </c>
      <c r="Q249" s="188">
        <f>_xll.qlIndexFixing(Currency&amp;IborType&amp;"3M",_xll.qlInterestRateIndexFixingDate(Currency&amp;IborType&amp;"3M",M249),TRUE,AllTriggers)</f>
        <v>4.9351761841570578E-2</v>
      </c>
      <c r="R249" s="188">
        <f>_xll.qlOvernightIndexedSwapFairRate(O249,AllTriggers)</f>
        <v>4.5775920940006556E-2</v>
      </c>
      <c r="S249" s="190">
        <f t="shared" si="5"/>
        <v>3.5758409015640216E-3</v>
      </c>
    </row>
    <row r="250" spans="5:19" ht="11.25" customHeight="1" x14ac:dyDescent="0.2">
      <c r="E250" s="182"/>
      <c r="F250" s="182"/>
      <c r="G250" s="181"/>
      <c r="J250" s="181"/>
      <c r="K250" s="181"/>
      <c r="M250" s="196">
        <f>_xll.qlCalendarAdvance(Calendar,M249,"1M","f",,Trigger)</f>
        <v>49625</v>
      </c>
      <c r="N250" s="187">
        <f>_xll.qlInterestRateIndexMaturity("AUDBBSW3M",M250)</f>
        <v>49717</v>
      </c>
      <c r="O250" s="189" t="str">
        <f>_xll.qlMakeDatedOIS(,M250,N250,OvernightIndex,0,,,,EvaluationDate)</f>
        <v>obj_00391#0000</v>
      </c>
      <c r="P250" s="189" t="b">
        <f>_xll.qlInstrumentSetPricingEngine(O250,OisEngine)</f>
        <v>1</v>
      </c>
      <c r="Q250" s="188">
        <f>_xll.qlIndexFixing(Currency&amp;IborType&amp;"3M",_xll.qlInterestRateIndexFixingDate(Currency&amp;IborType&amp;"3M",M250),TRUE,AllTriggers)</f>
        <v>4.9281983717786929E-2</v>
      </c>
      <c r="R250" s="188">
        <f>_xll.qlOvernightIndexedSwapFairRate(O250,AllTriggers)</f>
        <v>4.5710094630545879E-2</v>
      </c>
      <c r="S250" s="190">
        <f t="shared" si="5"/>
        <v>3.5718890872410494E-3</v>
      </c>
    </row>
    <row r="251" spans="5:19" ht="11.25" customHeight="1" x14ac:dyDescent="0.2">
      <c r="E251" s="182"/>
      <c r="F251" s="182"/>
      <c r="G251" s="181"/>
      <c r="J251" s="181"/>
      <c r="K251" s="181"/>
      <c r="M251" s="196">
        <f>_xll.qlCalendarAdvance(Calendar,M250,"1M","f",,Trigger)</f>
        <v>49655</v>
      </c>
      <c r="N251" s="187">
        <f>_xll.qlInterestRateIndexMaturity("AUDBBSW3M",M251)</f>
        <v>49746</v>
      </c>
      <c r="O251" s="189" t="str">
        <f>_xll.qlMakeDatedOIS(,M251,N251,OvernightIndex,0,,,,EvaluationDate)</f>
        <v>obj_00323#0000</v>
      </c>
      <c r="P251" s="189" t="b">
        <f>_xll.qlInstrumentSetPricingEngine(O251,OisEngine)</f>
        <v>1</v>
      </c>
      <c r="Q251" s="188">
        <f>_xll.qlIndexFixing(Currency&amp;IborType&amp;"3M",_xll.qlInterestRateIndexFixingDate(Currency&amp;IborType&amp;"3M",M251),TRUE,AllTriggers)</f>
        <v>4.9217517042218988E-2</v>
      </c>
      <c r="R251" s="188">
        <f>_xll.qlOvernightIndexedSwapFairRate(O251,AllTriggers)</f>
        <v>4.5649898246953313E-2</v>
      </c>
      <c r="S251" s="190">
        <f t="shared" si="5"/>
        <v>3.5676187952656743E-3</v>
      </c>
    </row>
    <row r="252" spans="5:19" ht="11.25" customHeight="1" x14ac:dyDescent="0.2">
      <c r="E252" s="182"/>
      <c r="F252" s="182"/>
      <c r="G252" s="181"/>
      <c r="J252" s="181"/>
      <c r="K252" s="181"/>
      <c r="M252" s="196">
        <f>_xll.qlCalendarAdvance(Calendar,M251,"1M","f",,Trigger)</f>
        <v>49688</v>
      </c>
      <c r="N252" s="187">
        <f>_xll.qlInterestRateIndexMaturity("AUDBBSW3M",M252)</f>
        <v>49780</v>
      </c>
      <c r="O252" s="189" t="str">
        <f>_xll.qlMakeDatedOIS(,M252,N252,OvernightIndex,0,,,,EvaluationDate)</f>
        <v>obj_00302#0000</v>
      </c>
      <c r="P252" s="189" t="b">
        <f>_xll.qlInstrumentSetPricingEngine(O252,OisEngine)</f>
        <v>1</v>
      </c>
      <c r="Q252" s="188">
        <f>_xll.qlIndexFixing(Currency&amp;IborType&amp;"3M",_xll.qlInterestRateIndexFixingDate(Currency&amp;IborType&amp;"3M",M252),TRUE,AllTriggers)</f>
        <v>4.9152791932520271E-2</v>
      </c>
      <c r="R252" s="188">
        <f>_xll.qlOvernightIndexedSwapFairRate(O252,AllTriggers)</f>
        <v>4.5589492487286012E-2</v>
      </c>
      <c r="S252" s="190">
        <f t="shared" si="5"/>
        <v>3.5632994452342581E-3</v>
      </c>
    </row>
    <row r="253" spans="5:19" ht="11.25" customHeight="1" x14ac:dyDescent="0.2">
      <c r="E253" s="182"/>
      <c r="F253" s="182"/>
      <c r="G253" s="181"/>
      <c r="J253" s="181"/>
      <c r="K253" s="181"/>
      <c r="M253" s="196">
        <f>_xll.qlCalendarAdvance(Calendar,M252,"1M","f",,Trigger)</f>
        <v>49719</v>
      </c>
      <c r="N253" s="187">
        <f>_xll.qlInterestRateIndexMaturity("AUDBBSW3M",M253)</f>
        <v>49809</v>
      </c>
      <c r="O253" s="189" t="str">
        <f>_xll.qlMakeDatedOIS(,M253,N253,OvernightIndex,0,,,,EvaluationDate)</f>
        <v>obj_00294#0000</v>
      </c>
      <c r="P253" s="189" t="b">
        <f>_xll.qlInstrumentSetPricingEngine(O253,OisEngine)</f>
        <v>1</v>
      </c>
      <c r="Q253" s="188">
        <f>_xll.qlIndexFixing(Currency&amp;IborType&amp;"3M",_xll.qlInterestRateIndexFixingDate(Currency&amp;IborType&amp;"3M",M253),TRUE,AllTriggers)</f>
        <v>4.9086531240397316E-2</v>
      </c>
      <c r="R253" s="188">
        <f>_xll.qlOvernightIndexedSwapFairRate(O253,AllTriggers)</f>
        <v>4.5528637780838814E-2</v>
      </c>
      <c r="S253" s="190">
        <f t="shared" si="5"/>
        <v>3.5578934595585018E-3</v>
      </c>
    </row>
    <row r="254" spans="5:19" ht="11.25" customHeight="1" x14ac:dyDescent="0.2">
      <c r="E254" s="182"/>
      <c r="F254" s="182"/>
      <c r="G254" s="181"/>
      <c r="J254" s="181"/>
      <c r="K254" s="181"/>
      <c r="M254" s="196">
        <f>_xll.qlCalendarAdvance(Calendar,M253,"1M","f",,Trigger)</f>
        <v>49748</v>
      </c>
      <c r="N254" s="187">
        <f>_xll.qlInterestRateIndexMaturity("AUDBBSW3M",M254)</f>
        <v>49839</v>
      </c>
      <c r="O254" s="189" t="str">
        <f>_xll.qlMakeDatedOIS(,M254,N254,OvernightIndex,0,,,,EvaluationDate)</f>
        <v>obj_003d8#0000</v>
      </c>
      <c r="P254" s="189" t="b">
        <f>_xll.qlInstrumentSetPricingEngine(O254,OisEngine)</f>
        <v>1</v>
      </c>
      <c r="Q254" s="188">
        <f>_xll.qlIndexFixing(Currency&amp;IborType&amp;"3M",_xll.qlInterestRateIndexFixingDate(Currency&amp;IborType&amp;"3M",M254),TRUE,AllTriggers)</f>
        <v>4.9032332670800968E-2</v>
      </c>
      <c r="R254" s="188">
        <f>_xll.qlOvernightIndexedSwapFairRate(O254,AllTriggers)</f>
        <v>4.5478821007005323E-2</v>
      </c>
      <c r="S254" s="190">
        <f t="shared" si="5"/>
        <v>3.5535116637956457E-3</v>
      </c>
    </row>
    <row r="255" spans="5:19" ht="11.25" customHeight="1" x14ac:dyDescent="0.2">
      <c r="E255" s="182"/>
      <c r="F255" s="182"/>
      <c r="G255" s="181"/>
      <c r="J255" s="181"/>
      <c r="K255" s="181"/>
      <c r="M255" s="196">
        <f>_xll.qlCalendarAdvance(Calendar,M254,"1M","f",,Trigger)</f>
        <v>49780</v>
      </c>
      <c r="N255" s="187">
        <f>_xll.qlInterestRateIndexMaturity("AUDBBSW3M",M255)</f>
        <v>49871</v>
      </c>
      <c r="O255" s="189" t="str">
        <f>_xll.qlMakeDatedOIS(,M255,N255,OvernightIndex,0,,,,EvaluationDate)</f>
        <v>obj_002e1#0000</v>
      </c>
      <c r="P255" s="189" t="b">
        <f>_xll.qlInstrumentSetPricingEngine(O255,OisEngine)</f>
        <v>1</v>
      </c>
      <c r="Q255" s="188">
        <f>_xll.qlIndexFixing(Currency&amp;IborType&amp;"3M",_xll.qlInterestRateIndexFixingDate(Currency&amp;IborType&amp;"3M",M255),TRUE,AllTriggers)</f>
        <v>4.8971271961566171E-2</v>
      </c>
      <c r="R255" s="188">
        <f>_xll.qlOvernightIndexedSwapFairRate(O255,AllTriggers)</f>
        <v>4.5423305548558772E-2</v>
      </c>
      <c r="S255" s="190">
        <f t="shared" si="5"/>
        <v>3.5479664130073987E-3</v>
      </c>
    </row>
    <row r="256" spans="5:19" ht="11.25" customHeight="1" x14ac:dyDescent="0.2">
      <c r="E256" s="182"/>
      <c r="F256" s="182"/>
      <c r="G256" s="181"/>
      <c r="J256" s="181"/>
      <c r="K256" s="181"/>
      <c r="M256" s="196">
        <f>_xll.qlCalendarAdvance(Calendar,M255,"1M","f",,Trigger)</f>
        <v>49810</v>
      </c>
      <c r="N256" s="187">
        <f>_xll.qlInterestRateIndexMaturity("AUDBBSW3M",M256)</f>
        <v>49902</v>
      </c>
      <c r="O256" s="189" t="str">
        <f>_xll.qlMakeDatedOIS(,M256,N256,OvernightIndex,0,,,,EvaluationDate)</f>
        <v>obj_003b0#0000</v>
      </c>
      <c r="P256" s="189" t="b">
        <f>_xll.qlInstrumentSetPricingEngine(O256,OisEngine)</f>
        <v>1</v>
      </c>
      <c r="Q256" s="188">
        <f>_xll.qlIndexFixing(Currency&amp;IborType&amp;"3M",_xll.qlInterestRateIndexFixingDate(Currency&amp;IborType&amp;"3M",M256),TRUE,AllTriggers)</f>
        <v>4.8917614973610073E-2</v>
      </c>
      <c r="R256" s="188">
        <f>_xll.qlOvernightIndexedSwapFairRate(O256,AllTriggers)</f>
        <v>4.5374849878242043E-2</v>
      </c>
      <c r="S256" s="190">
        <f t="shared" si="5"/>
        <v>3.5427650953680292E-3</v>
      </c>
    </row>
    <row r="257" spans="5:19" ht="11.25" customHeight="1" x14ac:dyDescent="0.2">
      <c r="E257" s="182"/>
      <c r="F257" s="182"/>
      <c r="G257" s="181"/>
      <c r="J257" s="181"/>
      <c r="K257" s="181"/>
      <c r="M257" s="196">
        <f>_xll.qlCalendarAdvance(Calendar,M256,"1M","f",,Trigger)</f>
        <v>49842</v>
      </c>
      <c r="N257" s="187">
        <f>_xll.qlInterestRateIndexMaturity("AUDBBSW3M",M257)</f>
        <v>49934</v>
      </c>
      <c r="O257" s="189" t="str">
        <f>_xll.qlMakeDatedOIS(,M257,N257,OvernightIndex,0,,,,EvaluationDate)</f>
        <v>obj_003a0#0000</v>
      </c>
      <c r="P257" s="189" t="b">
        <f>_xll.qlInstrumentSetPricingEngine(O257,OisEngine)</f>
        <v>1</v>
      </c>
      <c r="Q257" s="188">
        <f>_xll.qlIndexFixing(Currency&amp;IborType&amp;"3M",_xll.qlInterestRateIndexFixingDate(Currency&amp;IborType&amp;"3M",M257),TRUE,AllTriggers)</f>
        <v>4.8859204879385568E-2</v>
      </c>
      <c r="R257" s="188">
        <f>_xll.qlOvernightIndexedSwapFairRate(O257,AllTriggers)</f>
        <v>4.5322677418452265E-2</v>
      </c>
      <c r="S257" s="190">
        <f t="shared" si="5"/>
        <v>3.5365274609333031E-3</v>
      </c>
    </row>
    <row r="258" spans="5:19" ht="11.25" customHeight="1" x14ac:dyDescent="0.2">
      <c r="E258" s="182"/>
      <c r="F258" s="182"/>
      <c r="G258" s="181"/>
      <c r="J258" s="181"/>
      <c r="K258" s="181"/>
      <c r="M258" s="196">
        <f>_xll.qlCalendarAdvance(Calendar,M257,"1M","f",,Trigger)</f>
        <v>49872</v>
      </c>
      <c r="N258" s="187">
        <f>_xll.qlInterestRateIndexMaturity("AUDBBSW3M",M258)</f>
        <v>49964</v>
      </c>
      <c r="O258" s="189" t="str">
        <f>_xll.qlMakeDatedOIS(,M258,N258,OvernightIndex,0,,,,EvaluationDate)</f>
        <v>obj_00334#0000</v>
      </c>
      <c r="P258" s="189" t="b">
        <f>_xll.qlInstrumentSetPricingEngine(O258,OisEngine)</f>
        <v>1</v>
      </c>
      <c r="Q258" s="188">
        <f>_xll.qlIndexFixing(Currency&amp;IborType&amp;"3M",_xll.qlInterestRateIndexFixingDate(Currency&amp;IborType&amp;"3M",M258),TRUE,AllTriggers)</f>
        <v>4.88056816619944E-2</v>
      </c>
      <c r="R258" s="188">
        <f>_xll.qlOvernightIndexedSwapFairRate(O258,AllTriggers)</f>
        <v>4.5275323382043632E-2</v>
      </c>
      <c r="S258" s="190">
        <f t="shared" si="5"/>
        <v>3.5303582799507682E-3</v>
      </c>
    </row>
    <row r="259" spans="5:19" ht="11.25" customHeight="1" x14ac:dyDescent="0.2">
      <c r="E259" s="182"/>
      <c r="F259" s="182"/>
      <c r="G259" s="181"/>
      <c r="J259" s="181"/>
      <c r="K259" s="181"/>
      <c r="M259" s="196">
        <f>_xll.qlCalendarAdvance(Calendar,M258,"1M","f",,Trigger)</f>
        <v>49905</v>
      </c>
      <c r="N259" s="187">
        <f>_xll.qlInterestRateIndexMaturity("AUDBBSW3M",M259)</f>
        <v>49997</v>
      </c>
      <c r="O259" s="189" t="str">
        <f>_xll.qlMakeDatedOIS(,M259,N259,OvernightIndex,0,,,,EvaluationDate)</f>
        <v>obj_00383#0000</v>
      </c>
      <c r="P259" s="189" t="b">
        <f>_xll.qlInstrumentSetPricingEngine(O259,OisEngine)</f>
        <v>1</v>
      </c>
      <c r="Q259" s="188">
        <f>_xll.qlIndexFixing(Currency&amp;IborType&amp;"3M",_xll.qlInterestRateIndexFixingDate(Currency&amp;IborType&amp;"3M",M259),TRUE,AllTriggers)</f>
        <v>4.8748187868522176E-2</v>
      </c>
      <c r="R259" s="188">
        <f>_xll.qlOvernightIndexedSwapFairRate(O259,AllTriggers)</f>
        <v>4.5224974920812143E-2</v>
      </c>
      <c r="S259" s="190">
        <f t="shared" ref="S259:S322" si="6">Q259-R259</f>
        <v>3.5232129477100332E-3</v>
      </c>
    </row>
    <row r="260" spans="5:19" ht="11.25" customHeight="1" x14ac:dyDescent="0.2">
      <c r="E260" s="182"/>
      <c r="F260" s="182"/>
      <c r="G260" s="181"/>
      <c r="J260" s="181"/>
      <c r="K260" s="181"/>
      <c r="M260" s="196">
        <f>_xll.qlCalendarAdvance(Calendar,M259,"1M","f",,Trigger)</f>
        <v>49936</v>
      </c>
      <c r="N260" s="187">
        <f>_xll.qlInterestRateIndexMaturity("AUDBBSW3M",M260)</f>
        <v>50027</v>
      </c>
      <c r="O260" s="189" t="str">
        <f>_xll.qlMakeDatedOIS(,M260,N260,OvernightIndex,0,,,,EvaluationDate)</f>
        <v>obj_00301#0000</v>
      </c>
      <c r="P260" s="189" t="b">
        <f>_xll.qlInstrumentSetPricingEngine(O260,OisEngine)</f>
        <v>1</v>
      </c>
      <c r="Q260" s="188">
        <f>_xll.qlIndexFixing(Currency&amp;IborType&amp;"3M",_xll.qlInterestRateIndexFixingDate(Currency&amp;IborType&amp;"3M",M260),TRUE,AllTriggers)</f>
        <v>4.8693091639702535E-2</v>
      </c>
      <c r="R260" s="188">
        <f>_xll.qlOvernightIndexedSwapFairRate(O260,AllTriggers)</f>
        <v>4.5177225684898174E-2</v>
      </c>
      <c r="S260" s="190">
        <f t="shared" si="6"/>
        <v>3.5158659548043605E-3</v>
      </c>
    </row>
    <row r="261" spans="5:19" ht="11.25" customHeight="1" x14ac:dyDescent="0.2">
      <c r="E261" s="182"/>
      <c r="F261" s="182"/>
      <c r="G261" s="181"/>
      <c r="J261" s="181"/>
      <c r="K261" s="181"/>
      <c r="M261" s="196">
        <f>_xll.qlCalendarAdvance(Calendar,M260,"1M","f",,Trigger)</f>
        <v>49968</v>
      </c>
      <c r="N261" s="187">
        <f>_xll.qlInterestRateIndexMaturity("AUDBBSW3M",M261)</f>
        <v>50060</v>
      </c>
      <c r="O261" s="189" t="str">
        <f>_xll.qlMakeDatedOIS(,M261,N261,OvernightIndex,0,,,,EvaluationDate)</f>
        <v>obj_00293#0000</v>
      </c>
      <c r="P261" s="189" t="b">
        <f>_xll.qlInstrumentSetPricingEngine(O261,OisEngine)</f>
        <v>1</v>
      </c>
      <c r="Q261" s="188">
        <f>_xll.qlIndexFixing(Currency&amp;IborType&amp;"3M",_xll.qlInterestRateIndexFixingDate(Currency&amp;IborType&amp;"3M",M261),TRUE,AllTriggers)</f>
        <v>4.8642446395563803E-2</v>
      </c>
      <c r="R261" s="188">
        <f>_xll.qlOvernightIndexedSwapFairRate(O261,AllTriggers)</f>
        <v>4.5133919553161934E-2</v>
      </c>
      <c r="S261" s="190">
        <f t="shared" si="6"/>
        <v>3.5085268424018684E-3</v>
      </c>
    </row>
    <row r="262" spans="5:19" ht="11.25" customHeight="1" x14ac:dyDescent="0.2">
      <c r="E262" s="182"/>
      <c r="F262" s="182"/>
      <c r="G262" s="181"/>
      <c r="J262" s="181"/>
      <c r="K262" s="181"/>
      <c r="M262" s="196">
        <f>_xll.qlCalendarAdvance(Calendar,M261,"1M","f",,Trigger)</f>
        <v>49999</v>
      </c>
      <c r="N262" s="187">
        <f>_xll.qlInterestRateIndexMaturity("AUDBBSW3M",M262)</f>
        <v>50091</v>
      </c>
      <c r="O262" s="189" t="str">
        <f>_xll.qlMakeDatedOIS(,M262,N262,OvernightIndex,0,,,,EvaluationDate)</f>
        <v>obj_002ec#0000</v>
      </c>
      <c r="P262" s="189" t="b">
        <f>_xll.qlInstrumentSetPricingEngine(O262,OisEngine)</f>
        <v>1</v>
      </c>
      <c r="Q262" s="188">
        <f>_xll.qlIndexFixing(Currency&amp;IborType&amp;"3M",_xll.qlInterestRateIndexFixingDate(Currency&amp;IborType&amp;"3M",M262),TRUE,AllTriggers)</f>
        <v>4.8592351372813987E-2</v>
      </c>
      <c r="R262" s="188">
        <f>_xll.qlOvernightIndexedSwapFairRate(O262,AllTriggers)</f>
        <v>4.5091554517926367E-2</v>
      </c>
      <c r="S262" s="190">
        <f t="shared" si="6"/>
        <v>3.5007968548876195E-3</v>
      </c>
    </row>
    <row r="263" spans="5:19" ht="11.25" customHeight="1" x14ac:dyDescent="0.2">
      <c r="E263" s="182"/>
      <c r="F263" s="182"/>
      <c r="G263" s="181"/>
      <c r="J263" s="181"/>
      <c r="K263" s="181"/>
      <c r="M263" s="196">
        <f>_xll.qlCalendarAdvance(Calendar,M262,"1M","f",,Trigger)</f>
        <v>50031</v>
      </c>
      <c r="N263" s="187">
        <f>_xll.qlInterestRateIndexMaturity("AUDBBSW3M",M263)</f>
        <v>50122</v>
      </c>
      <c r="O263" s="189" t="str">
        <f>_xll.qlMakeDatedOIS(,M263,N263,OvernightIndex,0,,,,EvaluationDate)</f>
        <v>obj_00361#0000</v>
      </c>
      <c r="P263" s="189" t="b">
        <f>_xll.qlInstrumentSetPricingEngine(O263,OisEngine)</f>
        <v>1</v>
      </c>
      <c r="Q263" s="188">
        <f>_xll.qlIndexFixing(Currency&amp;IborType&amp;"3M",_xll.qlInterestRateIndexFixingDate(Currency&amp;IborType&amp;"3M",M263),TRUE,AllTriggers)</f>
        <v>4.8539531785366741E-2</v>
      </c>
      <c r="R263" s="188">
        <f>_xll.qlOvernightIndexedSwapFairRate(O263,AllTriggers)</f>
        <v>4.5047333937619227E-2</v>
      </c>
      <c r="S263" s="190">
        <f t="shared" si="6"/>
        <v>3.4921978477475135E-3</v>
      </c>
    </row>
    <row r="264" spans="5:19" ht="11.25" customHeight="1" x14ac:dyDescent="0.2">
      <c r="E264" s="182"/>
      <c r="F264" s="182"/>
      <c r="G264" s="181"/>
      <c r="J264" s="181"/>
      <c r="K264" s="181"/>
      <c r="M264" s="196">
        <f>_xll.qlCalendarAdvance(Calendar,M263,"1M","f",,Trigger)</f>
        <v>50062</v>
      </c>
      <c r="N264" s="187">
        <f>_xll.qlInterestRateIndexMaturity("AUDBBSW3M",M264)</f>
        <v>50152</v>
      </c>
      <c r="O264" s="189" t="str">
        <f>_xll.qlMakeDatedOIS(,M264,N264,OvernightIndex,0,,,,EvaluationDate)</f>
        <v>obj_002d3#0000</v>
      </c>
      <c r="P264" s="189" t="b">
        <f>_xll.qlInstrumentSetPricingEngine(O264,OisEngine)</f>
        <v>1</v>
      </c>
      <c r="Q264" s="188">
        <f>_xll.qlIndexFixing(Currency&amp;IborType&amp;"3M",_xll.qlInterestRateIndexFixingDate(Currency&amp;IborType&amp;"3M",M264),TRUE,AllTriggers)</f>
        <v>4.8489555939331686E-2</v>
      </c>
      <c r="R264" s="188">
        <f>_xll.qlOvernightIndexedSwapFairRate(O264,AllTriggers)</f>
        <v>4.5006020870015817E-2</v>
      </c>
      <c r="S264" s="190">
        <f t="shared" si="6"/>
        <v>3.4835350693158684E-3</v>
      </c>
    </row>
    <row r="265" spans="5:19" ht="11.25" customHeight="1" x14ac:dyDescent="0.2">
      <c r="E265" s="182"/>
      <c r="F265" s="182"/>
      <c r="G265" s="181"/>
      <c r="J265" s="181"/>
      <c r="K265" s="181"/>
      <c r="M265" s="196">
        <f>_xll.qlCalendarAdvance(Calendar,M264,"1M","f",,Trigger)</f>
        <v>50094</v>
      </c>
      <c r="N265" s="187">
        <f>_xll.qlInterestRateIndexMaturity("AUDBBSW3M",M265)</f>
        <v>50185</v>
      </c>
      <c r="O265" s="189" t="str">
        <f>_xll.qlMakeDatedOIS(,M265,N265,OvernightIndex,0,,,,EvaluationDate)</f>
        <v>obj_00345#0000</v>
      </c>
      <c r="P265" s="189" t="b">
        <f>_xll.qlInstrumentSetPricingEngine(O265,OisEngine)</f>
        <v>1</v>
      </c>
      <c r="Q265" s="188">
        <f>_xll.qlIndexFixing(Currency&amp;IborType&amp;"3M",_xll.qlInterestRateIndexFixingDate(Currency&amp;IborType&amp;"3M",M265),TRUE,AllTriggers)</f>
        <v>4.8444310873723834E-2</v>
      </c>
      <c r="R265" s="188">
        <f>_xll.qlOvernightIndexedSwapFairRate(O265,AllTriggers)</f>
        <v>4.4969528414613727E-2</v>
      </c>
      <c r="S265" s="190">
        <f t="shared" si="6"/>
        <v>3.4747824591101067E-3</v>
      </c>
    </row>
    <row r="266" spans="5:19" ht="11.25" customHeight="1" x14ac:dyDescent="0.2">
      <c r="E266" s="182"/>
      <c r="F266" s="182"/>
      <c r="G266" s="181"/>
      <c r="J266" s="181"/>
      <c r="K266" s="181"/>
      <c r="M266" s="196">
        <f>_xll.qlCalendarAdvance(Calendar,M265,"1M","f",,Trigger)</f>
        <v>50122</v>
      </c>
      <c r="N266" s="187">
        <f>_xll.qlInterestRateIndexMaturity("AUDBBSW3M",M266)</f>
        <v>50214</v>
      </c>
      <c r="O266" s="189" t="str">
        <f>_xll.qlMakeDatedOIS(,M266,N266,OvernightIndex,0,,,,EvaluationDate)</f>
        <v>obj_002bd#0000</v>
      </c>
      <c r="P266" s="189" t="b">
        <f>_xll.qlInstrumentSetPricingEngine(O266,OisEngine)</f>
        <v>1</v>
      </c>
      <c r="Q266" s="188">
        <f>_xll.qlIndexFixing(Currency&amp;IborType&amp;"3M",_xll.qlInterestRateIndexFixingDate(Currency&amp;IborType&amp;"3M",M266),TRUE,AllTriggers)</f>
        <v>4.8406174051624007E-2</v>
      </c>
      <c r="R266" s="188">
        <f>_xll.qlOvernightIndexedSwapFairRate(O266,AllTriggers)</f>
        <v>4.4939320577252063E-2</v>
      </c>
      <c r="S266" s="190">
        <f t="shared" si="6"/>
        <v>3.4668534743719434E-3</v>
      </c>
    </row>
    <row r="267" spans="5:19" ht="11.25" customHeight="1" x14ac:dyDescent="0.2">
      <c r="E267" s="182"/>
      <c r="F267" s="182"/>
      <c r="G267" s="181"/>
      <c r="J267" s="181"/>
      <c r="K267" s="181"/>
      <c r="M267" s="196">
        <f>_xll.qlCalendarAdvance(Calendar,M266,"1M","f",,Trigger)</f>
        <v>50153</v>
      </c>
      <c r="N267" s="187">
        <f>_xll.qlInterestRateIndexMaturity("AUDBBSW3M",M267)</f>
        <v>50244</v>
      </c>
      <c r="O267" s="189" t="str">
        <f>_xll.qlMakeDatedOIS(,M267,N267,OvernightIndex,0,,,,EvaluationDate)</f>
        <v>obj_00322#0000</v>
      </c>
      <c r="P267" s="189" t="b">
        <f>_xll.qlInstrumentSetPricingEngine(O267,OisEngine)</f>
        <v>1</v>
      </c>
      <c r="Q267" s="188">
        <f>_xll.qlIndexFixing(Currency&amp;IborType&amp;"3M",_xll.qlInterestRateIndexFixingDate(Currency&amp;IborType&amp;"3M",M267),TRUE,AllTriggers)</f>
        <v>4.835991775431988E-2</v>
      </c>
      <c r="R267" s="188">
        <f>_xll.qlOvernightIndexedSwapFairRate(O267,AllTriggers)</f>
        <v>4.4902688483703233E-2</v>
      </c>
      <c r="S267" s="190">
        <f t="shared" si="6"/>
        <v>3.4572292706166463E-3</v>
      </c>
    </row>
    <row r="268" spans="5:19" ht="11.25" customHeight="1" x14ac:dyDescent="0.2">
      <c r="E268" s="182"/>
      <c r="F268" s="182"/>
      <c r="G268" s="181"/>
      <c r="J268" s="181"/>
      <c r="K268" s="181"/>
      <c r="M268" s="196">
        <f>_xll.qlCalendarAdvance(Calendar,M267,"1M","f",,Trigger)</f>
        <v>50185</v>
      </c>
      <c r="N268" s="187">
        <f>_xll.qlInterestRateIndexMaturity("AUDBBSW3M",M268)</f>
        <v>50277</v>
      </c>
      <c r="O268" s="189" t="str">
        <f>_xll.qlMakeDatedOIS(,M268,N268,OvernightIndex,0,,,,EvaluationDate)</f>
        <v>obj_00300#0000</v>
      </c>
      <c r="P268" s="189" t="b">
        <f>_xll.qlInstrumentSetPricingEngine(O268,OisEngine)</f>
        <v>1</v>
      </c>
      <c r="Q268" s="188">
        <f>_xll.qlIndexFixing(Currency&amp;IborType&amp;"3M",_xll.qlInterestRateIndexFixingDate(Currency&amp;IborType&amp;"3M",M268),TRUE,AllTriggers)</f>
        <v>4.83186008171788E-2</v>
      </c>
      <c r="R268" s="188">
        <f>_xll.qlOvernightIndexedSwapFairRate(O268,AllTriggers)</f>
        <v>4.4871157577955859E-2</v>
      </c>
      <c r="S268" s="190">
        <f t="shared" si="6"/>
        <v>3.4474432392229415E-3</v>
      </c>
    </row>
    <row r="269" spans="5:19" ht="11.25" customHeight="1" x14ac:dyDescent="0.2">
      <c r="E269" s="182"/>
      <c r="F269" s="182"/>
      <c r="G269" s="181"/>
      <c r="J269" s="181"/>
      <c r="K269" s="181"/>
      <c r="M269" s="196">
        <f>_xll.qlCalendarAdvance(Calendar,M268,"1M","f",,Trigger)</f>
        <v>50216</v>
      </c>
      <c r="N269" s="187">
        <f>_xll.qlInterestRateIndexMaturity("AUDBBSW3M",M269)</f>
        <v>50308</v>
      </c>
      <c r="O269" s="189" t="str">
        <f>_xll.qlMakeDatedOIS(,M269,N269,OvernightIndex,0,,,,EvaluationDate)</f>
        <v>obj_00292#0000</v>
      </c>
      <c r="P269" s="189" t="b">
        <f>_xll.qlInstrumentSetPricingEngine(O269,OisEngine)</f>
        <v>1</v>
      </c>
      <c r="Q269" s="188">
        <f>_xll.qlIndexFixing(Currency&amp;IborType&amp;"3M",_xll.qlInterestRateIndexFixingDate(Currency&amp;IborType&amp;"3M",M269),TRUE,AllTriggers)</f>
        <v>4.827744524857313E-2</v>
      </c>
      <c r="R269" s="188">
        <f>_xll.qlOvernightIndexedSwapFairRate(O269,AllTriggers)</f>
        <v>4.4840056548444966E-2</v>
      </c>
      <c r="S269" s="190">
        <f t="shared" si="6"/>
        <v>3.4373887001281633E-3</v>
      </c>
    </row>
    <row r="270" spans="5:19" ht="11.25" customHeight="1" x14ac:dyDescent="0.2">
      <c r="E270" s="182"/>
      <c r="F270" s="182"/>
      <c r="G270" s="181"/>
      <c r="J270" s="181"/>
      <c r="K270" s="181"/>
      <c r="M270" s="196">
        <f>_xll.qlCalendarAdvance(Calendar,M269,"1M","f",,Trigger)</f>
        <v>50248</v>
      </c>
      <c r="N270" s="187">
        <f>_xll.qlInterestRateIndexMaturity("AUDBBSW3M",M270)</f>
        <v>50340</v>
      </c>
      <c r="O270" s="189" t="str">
        <f>_xll.qlMakeDatedOIS(,M270,N270,OvernightIndex,0,,,,EvaluationDate)</f>
        <v>obj_003cb#0000</v>
      </c>
      <c r="P270" s="189" t="b">
        <f>_xll.qlInstrumentSetPricingEngine(O270,OisEngine)</f>
        <v>1</v>
      </c>
      <c r="Q270" s="188">
        <f>_xll.qlIndexFixing(Currency&amp;IborType&amp;"3M",_xll.qlInterestRateIndexFixingDate(Currency&amp;IborType&amp;"3M",M270),TRUE,AllTriggers)</f>
        <v>4.823630142842663E-2</v>
      </c>
      <c r="R270" s="188">
        <f>_xll.qlOvernightIndexedSwapFairRate(O270,AllTriggers)</f>
        <v>4.4809639926604611E-2</v>
      </c>
      <c r="S270" s="190">
        <f t="shared" si="6"/>
        <v>3.426661501822019E-3</v>
      </c>
    </row>
    <row r="271" spans="5:19" ht="11.25" customHeight="1" x14ac:dyDescent="0.2">
      <c r="E271" s="182"/>
      <c r="F271" s="182"/>
      <c r="G271" s="181"/>
      <c r="J271" s="181"/>
      <c r="K271" s="181"/>
      <c r="M271" s="196">
        <f>_xll.qlCalendarAdvance(Calendar,M270,"1M","f",,Trigger)</f>
        <v>50279</v>
      </c>
      <c r="N271" s="187">
        <f>_xll.qlInterestRateIndexMaturity("AUDBBSW3M",M271)</f>
        <v>50371</v>
      </c>
      <c r="O271" s="189" t="str">
        <f>_xll.qlMakeDatedOIS(,M271,N271,OvernightIndex,0,,,,EvaluationDate)</f>
        <v>obj_003bd#0000</v>
      </c>
      <c r="P271" s="189" t="b">
        <f>_xll.qlInstrumentSetPricingEngine(O271,OisEngine)</f>
        <v>1</v>
      </c>
      <c r="Q271" s="188">
        <f>_xll.qlIndexFixing(Currency&amp;IborType&amp;"3M",_xll.qlInterestRateIndexFixingDate(Currency&amp;IborType&amp;"3M",M271),TRUE,AllTriggers)</f>
        <v>4.8197740806456231E-2</v>
      </c>
      <c r="R271" s="188">
        <f>_xll.qlOvernightIndexedSwapFairRate(O271,AllTriggers)</f>
        <v>4.4781808714393245E-2</v>
      </c>
      <c r="S271" s="190">
        <f t="shared" si="6"/>
        <v>3.4159320920629857E-3</v>
      </c>
    </row>
    <row r="272" spans="5:19" ht="11.25" customHeight="1" x14ac:dyDescent="0.2">
      <c r="E272" s="182"/>
      <c r="F272" s="182"/>
      <c r="G272" s="181"/>
      <c r="J272" s="181"/>
      <c r="K272" s="181"/>
      <c r="M272" s="196">
        <f>_xll.qlCalendarAdvance(Calendar,M271,"1M","f",,Trigger)</f>
        <v>50311</v>
      </c>
      <c r="N272" s="187">
        <f>_xll.qlInterestRateIndexMaturity("AUDBBSW3M",M272)</f>
        <v>50403</v>
      </c>
      <c r="O272" s="189" t="str">
        <f>_xll.qlMakeDatedOIS(,M272,N272,OvernightIndex,0,,,,EvaluationDate)</f>
        <v>obj_00353#0000</v>
      </c>
      <c r="P272" s="189" t="b">
        <f>_xll.qlInstrumentSetPricingEngine(O272,OisEngine)</f>
        <v>1</v>
      </c>
      <c r="Q272" s="188">
        <f>_xll.qlIndexFixing(Currency&amp;IborType&amp;"3M",_xll.qlInterestRateIndexFixingDate(Currency&amp;IborType&amp;"3M",M272),TRUE,AllTriggers)</f>
        <v>4.8159275561194689E-2</v>
      </c>
      <c r="R272" s="188">
        <f>_xll.qlOvernightIndexedSwapFairRate(O272,AllTriggers)</f>
        <v>4.4754767313368776E-2</v>
      </c>
      <c r="S272" s="190">
        <f t="shared" si="6"/>
        <v>3.4045082478259131E-3</v>
      </c>
    </row>
    <row r="273" spans="5:19" ht="11.25" customHeight="1" x14ac:dyDescent="0.2">
      <c r="E273" s="182"/>
      <c r="F273" s="182"/>
      <c r="G273" s="181"/>
      <c r="J273" s="181"/>
      <c r="K273" s="181"/>
      <c r="M273" s="196">
        <f>_xll.qlCalendarAdvance(Calendar,M272,"1M","f",,Trigger)</f>
        <v>50341</v>
      </c>
      <c r="N273" s="187">
        <f>_xll.qlInterestRateIndexMaturity("AUDBBSW3M",M273)</f>
        <v>50433</v>
      </c>
      <c r="O273" s="189" t="str">
        <f>_xll.qlMakeDatedOIS(,M273,N273,OvernightIndex,0,,,,EvaluationDate)</f>
        <v>obj_0039f#0000</v>
      </c>
      <c r="P273" s="189" t="b">
        <f>_xll.qlInstrumentSetPricingEngine(O273,OisEngine)</f>
        <v>1</v>
      </c>
      <c r="Q273" s="188">
        <f>_xll.qlIndexFixing(Currency&amp;IborType&amp;"3M",_xll.qlInterestRateIndexFixingDate(Currency&amp;IborType&amp;"3M",M273),TRUE,AllTriggers)</f>
        <v>4.8124449993285801E-2</v>
      </c>
      <c r="R273" s="188">
        <f>_xll.qlOvernightIndexedSwapFairRate(O273,AllTriggers)</f>
        <v>4.4730972973711911E-2</v>
      </c>
      <c r="S273" s="190">
        <f t="shared" si="6"/>
        <v>3.39347701957389E-3</v>
      </c>
    </row>
    <row r="274" spans="5:19" ht="11.25" customHeight="1" x14ac:dyDescent="0.2">
      <c r="E274" s="182"/>
      <c r="F274" s="182"/>
      <c r="G274" s="181"/>
      <c r="J274" s="181"/>
      <c r="K274" s="181"/>
      <c r="M274" s="196">
        <f>_xll.qlCalendarAdvance(Calendar,M273,"1M","f",,Trigger)</f>
        <v>50374</v>
      </c>
      <c r="N274" s="187">
        <f>_xll.qlInterestRateIndexMaturity("AUDBBSW3M",M274)</f>
        <v>50462</v>
      </c>
      <c r="O274" s="189" t="str">
        <f>_xll.qlMakeDatedOIS(,M274,N274,OvernightIndex,0,,,,EvaluationDate)</f>
        <v>obj_00390#0000</v>
      </c>
      <c r="P274" s="189" t="b">
        <f>_xll.qlInstrumentSetPricingEngine(O274,OisEngine)</f>
        <v>1</v>
      </c>
      <c r="Q274" s="188">
        <f>_xll.qlIndexFixing(Currency&amp;IborType&amp;"3M",_xll.qlInterestRateIndexFixingDate(Currency&amp;IborType&amp;"3M",M274),TRUE,AllTriggers)</f>
        <v>4.8077061106843316E-2</v>
      </c>
      <c r="R274" s="188">
        <f>_xll.qlOvernightIndexedSwapFairRate(O274,AllTriggers)</f>
        <v>4.469685760457829E-2</v>
      </c>
      <c r="S274" s="190">
        <f t="shared" si="6"/>
        <v>3.3802035022650265E-3</v>
      </c>
    </row>
    <row r="275" spans="5:19" ht="11.25" customHeight="1" x14ac:dyDescent="0.2">
      <c r="E275" s="182"/>
      <c r="F275" s="182"/>
      <c r="G275" s="181"/>
      <c r="J275" s="181"/>
      <c r="K275" s="181"/>
      <c r="M275" s="196">
        <f>_xll.qlCalendarAdvance(Calendar,M274,"1M","f",,Trigger)</f>
        <v>50404</v>
      </c>
      <c r="N275" s="187">
        <f>_xll.qlInterestRateIndexMaturity("AUDBBSW3M",M275)</f>
        <v>50494</v>
      </c>
      <c r="O275" s="189" t="str">
        <f>_xll.qlMakeDatedOIS(,M275,N275,OvernightIndex,0,,,,EvaluationDate)</f>
        <v>obj_00382#0000</v>
      </c>
      <c r="P275" s="189" t="b">
        <f>_xll.qlInstrumentSetPricingEngine(O275,OisEngine)</f>
        <v>1</v>
      </c>
      <c r="Q275" s="188">
        <f>_xll.qlIndexFixing(Currency&amp;IborType&amp;"3M",_xll.qlInterestRateIndexFixingDate(Currency&amp;IborType&amp;"3M",M275),TRUE,AllTriggers)</f>
        <v>4.8049944857756405E-2</v>
      </c>
      <c r="R275" s="188">
        <f>_xll.qlOvernightIndexedSwapFairRate(O275,AllTriggers)</f>
        <v>4.468102176015698E-2</v>
      </c>
      <c r="S275" s="190">
        <f t="shared" si="6"/>
        <v>3.3689230975994244E-3</v>
      </c>
    </row>
    <row r="276" spans="5:19" ht="11.25" customHeight="1" x14ac:dyDescent="0.2">
      <c r="E276" s="182"/>
      <c r="F276" s="182"/>
      <c r="G276" s="181"/>
      <c r="J276" s="181"/>
      <c r="K276" s="181"/>
      <c r="M276" s="196">
        <f>_xll.qlCalendarAdvance(Calendar,M275,"1M","f",,Trigger)</f>
        <v>50437</v>
      </c>
      <c r="N276" s="187">
        <f>_xll.qlInterestRateIndexMaturity("AUDBBSW3M",M276)</f>
        <v>50528</v>
      </c>
      <c r="O276" s="189" t="str">
        <f>_xll.qlMakeDatedOIS(,M276,N276,OvernightIndex,0,,,,EvaluationDate)</f>
        <v>obj_002ff#0000</v>
      </c>
      <c r="P276" s="189" t="b">
        <f>_xll.qlInstrumentSetPricingEngine(O276,OisEngine)</f>
        <v>1</v>
      </c>
      <c r="Q276" s="188">
        <f>_xll.qlIndexFixing(Currency&amp;IborType&amp;"3M",_xll.qlInterestRateIndexFixingDate(Currency&amp;IborType&amp;"3M",M276),TRUE,AllTriggers)</f>
        <v>4.8018393738668119E-2</v>
      </c>
      <c r="R276" s="188">
        <f>_xll.qlOvernightIndexedSwapFairRate(O276,AllTriggers)</f>
        <v>4.46624870192351E-2</v>
      </c>
      <c r="S276" s="190">
        <f t="shared" si="6"/>
        <v>3.3559067194330189E-3</v>
      </c>
    </row>
    <row r="277" spans="5:19" ht="11.25" customHeight="1" x14ac:dyDescent="0.2">
      <c r="E277" s="182"/>
      <c r="F277" s="182"/>
      <c r="G277" s="181"/>
      <c r="J277" s="181"/>
      <c r="K277" s="181"/>
      <c r="M277" s="196">
        <f>_xll.qlCalendarAdvance(Calendar,M276,"1M","f",,Trigger)</f>
        <v>50465</v>
      </c>
      <c r="N277" s="187">
        <f>_xll.qlInterestRateIndexMaturity("AUDBBSW3M",M277)</f>
        <v>50557</v>
      </c>
      <c r="O277" s="189" t="str">
        <f>_xll.qlMakeDatedOIS(,M277,N277,OvernightIndex,0,,,,EvaluationDate)</f>
        <v>obj_00291#0000</v>
      </c>
      <c r="P277" s="189" t="b">
        <f>_xll.qlInstrumentSetPricingEngine(O277,OisEngine)</f>
        <v>1</v>
      </c>
      <c r="Q277" s="188">
        <f>_xll.qlIndexFixing(Currency&amp;IborType&amp;"3M",_xll.qlInterestRateIndexFixingDate(Currency&amp;IborType&amp;"3M",M277),TRUE,AllTriggers)</f>
        <v>4.799318913702523E-2</v>
      </c>
      <c r="R277" s="188">
        <f>_xll.qlOvernightIndexedSwapFairRate(O277,AllTriggers)</f>
        <v>4.464860740064213E-2</v>
      </c>
      <c r="S277" s="190">
        <f t="shared" si="6"/>
        <v>3.3445817363830996E-3</v>
      </c>
    </row>
    <row r="278" spans="5:19" ht="11.25" customHeight="1" x14ac:dyDescent="0.2">
      <c r="E278" s="182"/>
      <c r="F278" s="182"/>
      <c r="G278" s="181"/>
      <c r="J278" s="181"/>
      <c r="K278" s="181"/>
      <c r="M278" s="196">
        <f>_xll.qlCalendarAdvance(Calendar,M277,"1M","f",,Trigger)</f>
        <v>50496</v>
      </c>
      <c r="N278" s="187">
        <f>_xll.qlInterestRateIndexMaturity("AUDBBSW3M",M278)</f>
        <v>50587</v>
      </c>
      <c r="O278" s="189" t="str">
        <f>_xll.qlMakeDatedOIS(,M278,N278,OvernightIndex,0,,,,EvaluationDate)</f>
        <v>obj_0036f#0000</v>
      </c>
      <c r="P278" s="189" t="b">
        <f>_xll.qlInstrumentSetPricingEngine(O278,OisEngine)</f>
        <v>1</v>
      </c>
      <c r="Q278" s="188">
        <f>_xll.qlIndexFixing(Currency&amp;IborType&amp;"3M",_xll.qlInterestRateIndexFixingDate(Currency&amp;IborType&amp;"3M",M278),TRUE,AllTriggers)</f>
        <v>4.796088443409989E-2</v>
      </c>
      <c r="R278" s="188">
        <f>_xll.qlOvernightIndexedSwapFairRate(O278,AllTriggers)</f>
        <v>4.4629523493857674E-2</v>
      </c>
      <c r="S278" s="190">
        <f t="shared" si="6"/>
        <v>3.3313609402422159E-3</v>
      </c>
    </row>
    <row r="279" spans="5:19" ht="11.25" customHeight="1" x14ac:dyDescent="0.2">
      <c r="E279" s="182"/>
      <c r="F279" s="182"/>
      <c r="G279" s="181"/>
      <c r="J279" s="181"/>
      <c r="K279" s="181"/>
      <c r="M279" s="196">
        <f>_xll.qlCalendarAdvance(Calendar,M278,"1M","f",,Trigger)</f>
        <v>50528</v>
      </c>
      <c r="N279" s="187">
        <f>_xll.qlInterestRateIndexMaturity("AUDBBSW3M",M279)</f>
        <v>50620</v>
      </c>
      <c r="O279" s="189" t="str">
        <f>_xll.qlMakeDatedOIS(,M279,N279,OvernightIndex,0,,,,EvaluationDate)</f>
        <v>obj_002e0#0000</v>
      </c>
      <c r="P279" s="189" t="b">
        <f>_xll.qlInstrumentSetPricingEngine(O279,OisEngine)</f>
        <v>1</v>
      </c>
      <c r="Q279" s="188">
        <f>_xll.qlIndexFixing(Currency&amp;IborType&amp;"3M",_xll.qlInterestRateIndexFixingDate(Currency&amp;IborType&amp;"3M",M279),TRUE,AllTriggers)</f>
        <v>4.793432542892892E-2</v>
      </c>
      <c r="R279" s="188">
        <f>_xll.qlOvernightIndexedSwapFairRate(O279,AllTriggers)</f>
        <v>4.4616621345406358E-2</v>
      </c>
      <c r="S279" s="190">
        <f t="shared" si="6"/>
        <v>3.3177040835225616E-3</v>
      </c>
    </row>
    <row r="280" spans="5:19" ht="11.25" customHeight="1" x14ac:dyDescent="0.2">
      <c r="E280" s="182"/>
      <c r="F280" s="182"/>
      <c r="G280" s="181"/>
      <c r="J280" s="181"/>
      <c r="K280" s="181"/>
      <c r="M280" s="196">
        <f>_xll.qlCalendarAdvance(Calendar,M279,"1M","f",,Trigger)</f>
        <v>50559</v>
      </c>
      <c r="N280" s="187">
        <f>_xll.qlInterestRateIndexMaturity("AUDBBSW3M",M280)</f>
        <v>50651</v>
      </c>
      <c r="O280" s="189" t="str">
        <f>_xll.qlMakeDatedOIS(,M280,N280,OvernightIndex,0,,,,EvaluationDate)</f>
        <v>obj_003af#0000</v>
      </c>
      <c r="P280" s="189" t="b">
        <f>_xll.qlInstrumentSetPricingEngine(O280,OisEngine)</f>
        <v>1</v>
      </c>
      <c r="Q280" s="188">
        <f>_xll.qlIndexFixing(Currency&amp;IborType&amp;"3M",_xll.qlInterestRateIndexFixingDate(Currency&amp;IborType&amp;"3M",M280),TRUE,AllTriggers)</f>
        <v>4.7907296207443377E-2</v>
      </c>
      <c r="R280" s="188">
        <f>_xll.qlOvernightIndexedSwapFairRate(O280,AllTriggers)</f>
        <v>4.4603321187405343E-2</v>
      </c>
      <c r="S280" s="190">
        <f t="shared" si="6"/>
        <v>3.3039750200380344E-3</v>
      </c>
    </row>
    <row r="281" spans="5:19" ht="11.25" customHeight="1" x14ac:dyDescent="0.2">
      <c r="E281" s="182"/>
      <c r="F281" s="182"/>
      <c r="G281" s="181"/>
      <c r="J281" s="181"/>
      <c r="K281" s="181"/>
      <c r="M281" s="196">
        <f>_xll.qlCalendarAdvance(Calendar,M280,"1M","f",,Trigger)</f>
        <v>50591</v>
      </c>
      <c r="N281" s="187">
        <f>_xll.qlInterestRateIndexMaturity("AUDBBSW3M",M281)</f>
        <v>50683</v>
      </c>
      <c r="O281" s="189" t="str">
        <f>_xll.qlMakeDatedOIS(,M281,N281,OvernightIndex,0,,,,EvaluationDate)</f>
        <v>obj_002c7#0000</v>
      </c>
      <c r="P281" s="189" t="b">
        <f>_xll.qlInstrumentSetPricingEngine(O281,OisEngine)</f>
        <v>1</v>
      </c>
      <c r="Q281" s="188">
        <f>_xll.qlIndexFixing(Currency&amp;IborType&amp;"3M",_xll.qlInterestRateIndexFixingDate(Currency&amp;IborType&amp;"3M",M281),TRUE,AllTriggers)</f>
        <v>4.7880734052907936E-2</v>
      </c>
      <c r="R281" s="188">
        <f>_xll.qlOvernightIndexedSwapFairRate(O281,AllTriggers)</f>
        <v>4.4591279356178397E-2</v>
      </c>
      <c r="S281" s="190">
        <f t="shared" si="6"/>
        <v>3.2894546967295393E-3</v>
      </c>
    </row>
    <row r="282" spans="5:19" ht="11.25" customHeight="1" x14ac:dyDescent="0.2">
      <c r="E282" s="182"/>
      <c r="F282" s="182"/>
      <c r="G282" s="181"/>
      <c r="J282" s="181"/>
      <c r="K282" s="181"/>
      <c r="M282" s="196">
        <f>_xll.qlCalendarAdvance(Calendar,M281,"1M","f",,Trigger)</f>
        <v>50622</v>
      </c>
      <c r="N282" s="187">
        <f>_xll.qlInterestRateIndexMaturity("AUDBBSW3M",M282)</f>
        <v>50714</v>
      </c>
      <c r="O282" s="189" t="str">
        <f>_xll.qlMakeDatedOIS(,M282,N282,OvernightIndex,0,,,,EvaluationDate)</f>
        <v>obj_00333#0000</v>
      </c>
      <c r="P282" s="189" t="b">
        <f>_xll.qlInstrumentSetPricingEngine(O282,OisEngine)</f>
        <v>1</v>
      </c>
      <c r="Q282" s="188">
        <f>_xll.qlIndexFixing(Currency&amp;IborType&amp;"3M",_xll.qlInterestRateIndexFixingDate(Currency&amp;IborType&amp;"3M",M282),TRUE,AllTriggers)</f>
        <v>4.7856299074777689E-2</v>
      </c>
      <c r="R282" s="188">
        <f>_xll.qlOvernightIndexedSwapFairRate(O282,AllTriggers)</f>
        <v>4.4581248451568849E-2</v>
      </c>
      <c r="S282" s="190">
        <f t="shared" si="6"/>
        <v>3.2750506232088403E-3</v>
      </c>
    </row>
    <row r="283" spans="5:19" ht="11.25" customHeight="1" x14ac:dyDescent="0.2">
      <c r="E283" s="182"/>
      <c r="F283" s="182"/>
      <c r="G283" s="181"/>
      <c r="J283" s="181"/>
      <c r="K283" s="181"/>
      <c r="M283" s="196">
        <f>_xll.qlCalendarAdvance(Calendar,M282,"1M","f",,Trigger)</f>
        <v>50654</v>
      </c>
      <c r="N283" s="187">
        <f>_xll.qlInterestRateIndexMaturity("AUDBBSW3M",M283)</f>
        <v>50745</v>
      </c>
      <c r="O283" s="189" t="str">
        <f>_xll.qlMakeDatedOIS(,M283,N283,OvernightIndex,0,,,,EvaluationDate)</f>
        <v>obj_00321#0000</v>
      </c>
      <c r="P283" s="189" t="b">
        <f>_xll.qlInstrumentSetPricingEngine(O283,OisEngine)</f>
        <v>1</v>
      </c>
      <c r="Q283" s="188">
        <f>_xll.qlIndexFixing(Currency&amp;IborType&amp;"3M",_xll.qlInterestRateIndexFixingDate(Currency&amp;IborType&amp;"3M",M283),TRUE,AllTriggers)</f>
        <v>4.7829645848039302E-2</v>
      </c>
      <c r="R283" s="188">
        <f>_xll.qlOvernightIndexedSwapFairRate(O283,AllTriggers)</f>
        <v>4.4569941974336488E-2</v>
      </c>
      <c r="S283" s="190">
        <f t="shared" si="6"/>
        <v>3.2597038737028142E-3</v>
      </c>
    </row>
    <row r="284" spans="5:19" ht="11.25" customHeight="1" x14ac:dyDescent="0.2">
      <c r="E284" s="182"/>
      <c r="F284" s="182"/>
      <c r="G284" s="181"/>
      <c r="J284" s="181"/>
      <c r="K284" s="181"/>
      <c r="M284" s="196">
        <f>_xll.qlCalendarAdvance(Calendar,M283,"1M","f",,Trigger)</f>
        <v>50684</v>
      </c>
      <c r="N284" s="187">
        <f>_xll.qlInterestRateIndexMaturity("AUDBBSW3M",M284)</f>
        <v>50776</v>
      </c>
      <c r="O284" s="189" t="str">
        <f>_xll.qlMakeDatedOIS(,M284,N284,OvernightIndex,0,,,,EvaluationDate)</f>
        <v>obj_002fe#0000</v>
      </c>
      <c r="P284" s="189" t="b">
        <f>_xll.qlInstrumentSetPricingEngine(O284,OisEngine)</f>
        <v>1</v>
      </c>
      <c r="Q284" s="188">
        <f>_xll.qlIndexFixing(Currency&amp;IborType&amp;"3M",_xll.qlInterestRateIndexFixingDate(Currency&amp;IborType&amp;"3M",M284),TRUE,AllTriggers)</f>
        <v>4.7811258585868412E-2</v>
      </c>
      <c r="R284" s="188">
        <f>_xll.qlOvernightIndexedSwapFairRate(O284,AllTriggers)</f>
        <v>4.4566012614091113E-2</v>
      </c>
      <c r="S284" s="190">
        <f t="shared" si="6"/>
        <v>3.2452459717772983E-3</v>
      </c>
    </row>
    <row r="285" spans="5:19" ht="11.25" customHeight="1" x14ac:dyDescent="0.2">
      <c r="E285" s="182"/>
      <c r="F285" s="182"/>
      <c r="G285" s="181"/>
      <c r="J285" s="181"/>
      <c r="K285" s="181"/>
      <c r="M285" s="196">
        <f>_xll.qlCalendarAdvance(Calendar,M284,"1M","f",,Trigger)</f>
        <v>50717</v>
      </c>
      <c r="N285" s="187">
        <f>_xll.qlInterestRateIndexMaturity("AUDBBSW3M",M285)</f>
        <v>50809</v>
      </c>
      <c r="O285" s="189" t="str">
        <f>_xll.qlMakeDatedOIS(,M285,N285,OvernightIndex,0,,,,EvaluationDate)</f>
        <v>obj_00290#0000</v>
      </c>
      <c r="P285" s="189" t="b">
        <f>_xll.qlInstrumentSetPricingEngine(O285,OisEngine)</f>
        <v>1</v>
      </c>
      <c r="Q285" s="188">
        <f>_xll.qlIndexFixing(Currency&amp;IborType&amp;"3M",_xll.qlInterestRateIndexFixingDate(Currency&amp;IborType&amp;"3M",M285),TRUE,AllTriggers)</f>
        <v>4.7789367473532254E-2</v>
      </c>
      <c r="R285" s="188">
        <f>_xll.qlOvernightIndexedSwapFairRate(O285,AllTriggers)</f>
        <v>4.4560527098696158E-2</v>
      </c>
      <c r="S285" s="190">
        <f t="shared" si="6"/>
        <v>3.2288403748360964E-3</v>
      </c>
    </row>
    <row r="286" spans="5:19" ht="11.25" customHeight="1" x14ac:dyDescent="0.2">
      <c r="E286" s="182"/>
      <c r="F286" s="182"/>
      <c r="G286" s="181"/>
      <c r="J286" s="181"/>
      <c r="K286" s="181"/>
      <c r="M286" s="196">
        <f>_xll.qlCalendarAdvance(Calendar,M285,"1M","f",,Trigger)</f>
        <v>50747</v>
      </c>
      <c r="N286" s="187">
        <f>_xll.qlInterestRateIndexMaturity("AUDBBSW3M",M286)</f>
        <v>50837</v>
      </c>
      <c r="O286" s="189" t="str">
        <f>_xll.qlMakeDatedOIS(,M286,N286,OvernightIndex,0,,,,EvaluationDate)</f>
        <v>obj_003ca#0000</v>
      </c>
      <c r="P286" s="189" t="b">
        <f>_xll.qlInstrumentSetPricingEngine(O286,OisEngine)</f>
        <v>1</v>
      </c>
      <c r="Q286" s="188">
        <f>_xll.qlIndexFixing(Currency&amp;IborType&amp;"3M",_xll.qlInterestRateIndexFixingDate(Currency&amp;IborType&amp;"3M",M286),TRUE,AllTriggers)</f>
        <v>4.7765076932551893E-2</v>
      </c>
      <c r="R286" s="188">
        <f>_xll.qlOvernightIndexedSwapFairRate(O286,AllTriggers)</f>
        <v>4.4551692383111963E-2</v>
      </c>
      <c r="S286" s="190">
        <f t="shared" si="6"/>
        <v>3.2133845494399307E-3</v>
      </c>
    </row>
    <row r="287" spans="5:19" ht="11.25" customHeight="1" x14ac:dyDescent="0.2">
      <c r="E287" s="182"/>
      <c r="F287" s="182"/>
      <c r="G287" s="181"/>
      <c r="J287" s="181"/>
      <c r="K287" s="181"/>
      <c r="M287" s="196">
        <f>_xll.qlCalendarAdvance(Calendar,M286,"1M","f",,Trigger)</f>
        <v>50780</v>
      </c>
      <c r="N287" s="187">
        <f>_xll.qlInterestRateIndexMaturity("AUDBBSW3M",M287)</f>
        <v>50872</v>
      </c>
      <c r="O287" s="189" t="str">
        <f>_xll.qlMakeDatedOIS(,M287,N287,OvernightIndex,0,,,,EvaluationDate)</f>
        <v>obj_00360#0000</v>
      </c>
      <c r="P287" s="189" t="b">
        <f>_xll.qlInstrumentSetPricingEngine(O287,OisEngine)</f>
        <v>1</v>
      </c>
      <c r="Q287" s="188">
        <f>_xll.qlIndexFixing(Currency&amp;IborType&amp;"3M",_xll.qlInterestRateIndexFixingDate(Currency&amp;IborType&amp;"3M",M287),TRUE,AllTriggers)</f>
        <v>4.7751591910310927E-2</v>
      </c>
      <c r="R287" s="188">
        <f>_xll.qlOvernightIndexedSwapFairRate(O287,AllTriggers)</f>
        <v>4.4555116675568378E-2</v>
      </c>
      <c r="S287" s="190">
        <f t="shared" si="6"/>
        <v>3.196475234742549E-3</v>
      </c>
    </row>
    <row r="288" spans="5:19" ht="11.25" customHeight="1" x14ac:dyDescent="0.2">
      <c r="E288" s="182"/>
      <c r="F288" s="182"/>
      <c r="G288" s="181"/>
      <c r="J288" s="181"/>
      <c r="K288" s="181"/>
      <c r="M288" s="196">
        <f>_xll.qlCalendarAdvance(Calendar,M287,"1M","f",,Trigger)</f>
        <v>50811</v>
      </c>
      <c r="N288" s="187">
        <f>_xll.qlInterestRateIndexMaturity("AUDBBSW3M",M288)</f>
        <v>50900</v>
      </c>
      <c r="O288" s="189" t="str">
        <f>_xll.qlMakeDatedOIS(,M288,N288,OvernightIndex,0,,,,EvaluationDate)</f>
        <v>obj_002d2#0000</v>
      </c>
      <c r="P288" s="189" t="b">
        <f>_xll.qlInstrumentSetPricingEngine(O288,OisEngine)</f>
        <v>1</v>
      </c>
      <c r="Q288" s="188">
        <f>_xll.qlIndexFixing(Currency&amp;IborType&amp;"3M",_xll.qlInterestRateIndexFixingDate(Currency&amp;IborType&amp;"3M",M288),TRUE,AllTriggers)</f>
        <v>4.7726359515389685E-2</v>
      </c>
      <c r="R288" s="188">
        <f>_xll.qlOvernightIndexedSwapFairRate(O288,AllTriggers)</f>
        <v>4.4546590039207343E-2</v>
      </c>
      <c r="S288" s="190">
        <f t="shared" si="6"/>
        <v>3.1797694761823425E-3</v>
      </c>
    </row>
    <row r="289" spans="5:19" ht="11.25" customHeight="1" x14ac:dyDescent="0.2">
      <c r="E289" s="182"/>
      <c r="F289" s="182"/>
      <c r="G289" s="181"/>
      <c r="J289" s="181"/>
      <c r="K289" s="181"/>
      <c r="M289" s="196">
        <f>_xll.qlCalendarAdvance(Calendar,M288,"1M","f",,Trigger)</f>
        <v>50839</v>
      </c>
      <c r="N289" s="187">
        <f>_xll.qlInterestRateIndexMaturity("AUDBBSW3M",M289)</f>
        <v>50931</v>
      </c>
      <c r="O289" s="189" t="str">
        <f>_xll.qlMakeDatedOIS(,M289,N289,OvernightIndex,0,,,,EvaluationDate)</f>
        <v>obj_00344#0000</v>
      </c>
      <c r="P289" s="189" t="b">
        <f>_xll.qlInstrumentSetPricingEngine(O289,OisEngine)</f>
        <v>1</v>
      </c>
      <c r="Q289" s="188">
        <f>_xll.qlIndexFixing(Currency&amp;IborType&amp;"3M",_xll.qlInterestRateIndexFixingDate(Currency&amp;IborType&amp;"3M",M289),TRUE,AllTriggers)</f>
        <v>4.7720994977706162E-2</v>
      </c>
      <c r="R289" s="188">
        <f>_xll.qlOvernightIndexedSwapFairRate(O289,AllTriggers)</f>
        <v>4.4556074180278675E-2</v>
      </c>
      <c r="S289" s="190">
        <f t="shared" si="6"/>
        <v>3.1649207974274868E-3</v>
      </c>
    </row>
    <row r="290" spans="5:19" ht="11.25" customHeight="1" x14ac:dyDescent="0.2">
      <c r="E290" s="182"/>
      <c r="F290" s="182"/>
      <c r="G290" s="181"/>
      <c r="J290" s="181"/>
      <c r="K290" s="181"/>
      <c r="M290" s="196">
        <f>_xll.qlCalendarAdvance(Calendar,M289,"1M","f",,Trigger)</f>
        <v>50872</v>
      </c>
      <c r="N290" s="187">
        <f>_xll.qlInterestRateIndexMaturity("AUDBBSW3M",M290)</f>
        <v>50963</v>
      </c>
      <c r="O290" s="189" t="str">
        <f>_xll.qlMakeDatedOIS(,M290,N290,OvernightIndex,0,,,,EvaluationDate)</f>
        <v>obj_002bc#0000</v>
      </c>
      <c r="P290" s="189" t="b">
        <f>_xll.qlInstrumentSetPricingEngine(O290,OisEngine)</f>
        <v>1</v>
      </c>
      <c r="Q290" s="188">
        <f>_xll.qlIndexFixing(Currency&amp;IborType&amp;"3M",_xll.qlInterestRateIndexFixingDate(Currency&amp;IborType&amp;"3M",M290),TRUE,AllTriggers)</f>
        <v>4.7703000354105844E-2</v>
      </c>
      <c r="R290" s="188">
        <f>_xll.qlOvernightIndexedSwapFairRate(O290,AllTriggers)</f>
        <v>4.4556330620129217E-2</v>
      </c>
      <c r="S290" s="190">
        <f t="shared" si="6"/>
        <v>3.1466697339766272E-3</v>
      </c>
    </row>
    <row r="291" spans="5:19" ht="11.25" customHeight="1" x14ac:dyDescent="0.2">
      <c r="E291" s="182"/>
      <c r="F291" s="182"/>
      <c r="G291" s="181"/>
      <c r="J291" s="181"/>
      <c r="K291" s="181"/>
      <c r="M291" s="196">
        <f>_xll.qlCalendarAdvance(Calendar,M290,"1M","f",,Trigger)</f>
        <v>50902</v>
      </c>
      <c r="N291" s="187">
        <f>_xll.qlInterestRateIndexMaturity("AUDBBSW3M",M291)</f>
        <v>50994</v>
      </c>
      <c r="O291" s="189" t="str">
        <f>_xll.qlMakeDatedOIS(,M291,N291,OvernightIndex,0,,,,EvaluationDate)</f>
        <v>obj_00381#0000</v>
      </c>
      <c r="P291" s="189" t="b">
        <f>_xll.qlInstrumentSetPricingEngine(O291,OisEngine)</f>
        <v>1</v>
      </c>
      <c r="Q291" s="188">
        <f>_xll.qlIndexFixing(Currency&amp;IborType&amp;"3M",_xll.qlInterestRateIndexFixingDate(Currency&amp;IborType&amp;"3M",M291),TRUE,AllTriggers)</f>
        <v>4.7693427817138999E-2</v>
      </c>
      <c r="R291" s="188">
        <f>_xll.qlOvernightIndexedSwapFairRate(O291,AllTriggers)</f>
        <v>4.4563529448859412E-2</v>
      </c>
      <c r="S291" s="190">
        <f t="shared" si="6"/>
        <v>3.1298983682795864E-3</v>
      </c>
    </row>
    <row r="292" spans="5:19" ht="11.25" customHeight="1" x14ac:dyDescent="0.2">
      <c r="E292" s="182"/>
      <c r="F292" s="182"/>
      <c r="G292" s="181"/>
      <c r="J292" s="181"/>
      <c r="K292" s="181"/>
      <c r="M292" s="196">
        <f>_xll.qlCalendarAdvance(Calendar,M291,"1M","f",,Trigger)</f>
        <v>50935</v>
      </c>
      <c r="N292" s="187">
        <f>_xll.qlInterestRateIndexMaturity("AUDBBSW3M",M292)</f>
        <v>51027</v>
      </c>
      <c r="O292" s="189" t="str">
        <f>_xll.qlMakeDatedOIS(,M292,N292,OvernightIndex,0,,,,EvaluationDate)</f>
        <v>obj_002fd#0000</v>
      </c>
      <c r="P292" s="189" t="b">
        <f>_xll.qlInstrumentSetPricingEngine(O292,OisEngine)</f>
        <v>1</v>
      </c>
      <c r="Q292" s="188">
        <f>_xll.qlIndexFixing(Currency&amp;IborType&amp;"3M",_xll.qlInterestRateIndexFixingDate(Currency&amp;IborType&amp;"3M",M292),TRUE,AllTriggers)</f>
        <v>4.7681091637018391E-2</v>
      </c>
      <c r="R292" s="188">
        <f>_xll.qlOvernightIndexedSwapFairRate(O292,AllTriggers)</f>
        <v>4.4570086052518554E-2</v>
      </c>
      <c r="S292" s="190">
        <f t="shared" si="6"/>
        <v>3.1110055844998374E-3</v>
      </c>
    </row>
    <row r="293" spans="5:19" ht="11.25" customHeight="1" x14ac:dyDescent="0.2">
      <c r="E293" s="182"/>
      <c r="F293" s="182"/>
      <c r="G293" s="181"/>
      <c r="J293" s="181"/>
      <c r="K293" s="181"/>
      <c r="M293" s="196">
        <f>_xll.qlCalendarAdvance(Calendar,M292,"1M","f",,Trigger)</f>
        <v>50965</v>
      </c>
      <c r="N293" s="187">
        <f>_xll.qlInterestRateIndexMaturity("AUDBBSW3M",M293)</f>
        <v>51057</v>
      </c>
      <c r="O293" s="189" t="str">
        <f>_xll.qlMakeDatedOIS(,M293,N293,OvernightIndex,0,,,,EvaluationDate)</f>
        <v>obj_0028f#0000</v>
      </c>
      <c r="P293" s="189" t="b">
        <f>_xll.qlInstrumentSetPricingEngine(O293,OisEngine)</f>
        <v>1</v>
      </c>
      <c r="Q293" s="188">
        <f>_xll.qlIndexFixing(Currency&amp;IborType&amp;"3M",_xll.qlInterestRateIndexFixingDate(Currency&amp;IborType&amp;"3M",M293),TRUE,AllTriggers)</f>
        <v>4.7671062736605131E-2</v>
      </c>
      <c r="R293" s="188">
        <f>_xll.qlOvernightIndexedSwapFairRate(O293,AllTriggers)</f>
        <v>4.4577519402111798E-2</v>
      </c>
      <c r="S293" s="190">
        <f t="shared" si="6"/>
        <v>3.093543334493333E-3</v>
      </c>
    </row>
    <row r="294" spans="5:19" ht="11.25" customHeight="1" x14ac:dyDescent="0.2">
      <c r="E294" s="182"/>
      <c r="F294" s="182"/>
      <c r="G294" s="181"/>
      <c r="J294" s="181"/>
      <c r="K294" s="181"/>
      <c r="M294" s="196">
        <f>_xll.qlCalendarAdvance(Calendar,M293,"1M","f",,Trigger)</f>
        <v>50997</v>
      </c>
      <c r="N294" s="187">
        <f>_xll.qlInterestRateIndexMaturity("AUDBBSW3M",M294)</f>
        <v>51089</v>
      </c>
      <c r="O294" s="189" t="str">
        <f>_xll.qlMakeDatedOIS(,M294,N294,OvernightIndex,0,,,,EvaluationDate)</f>
        <v>obj_002eb#0000</v>
      </c>
      <c r="P294" s="189" t="b">
        <f>_xll.qlInstrumentSetPricingEngine(O294,OisEngine)</f>
        <v>1</v>
      </c>
      <c r="Q294" s="188">
        <f>_xll.qlIndexFixing(Currency&amp;IborType&amp;"3M",_xll.qlInterestRateIndexFixingDate(Currency&amp;IborType&amp;"3M",M294),TRUE,AllTriggers)</f>
        <v>4.7661271518285968E-2</v>
      </c>
      <c r="R294" s="188">
        <f>_xll.qlOvernightIndexedSwapFairRate(O294,AllTriggers)</f>
        <v>4.4586461417032493E-2</v>
      </c>
      <c r="S294" s="190">
        <f t="shared" si="6"/>
        <v>3.0748101012534751E-3</v>
      </c>
    </row>
    <row r="295" spans="5:19" ht="11.25" customHeight="1" x14ac:dyDescent="0.2">
      <c r="E295" s="182"/>
      <c r="F295" s="182"/>
      <c r="G295" s="181"/>
      <c r="J295" s="181"/>
      <c r="K295" s="181"/>
      <c r="M295" s="196">
        <f>_xll.qlCalendarAdvance(Calendar,M294,"1M","f",,Trigger)</f>
        <v>51028</v>
      </c>
      <c r="N295" s="187">
        <f>_xll.qlInterestRateIndexMaturity("AUDBBSW3M",M295)</f>
        <v>51119</v>
      </c>
      <c r="O295" s="189" t="str">
        <f>_xll.qlMakeDatedOIS(,M295,N295,OvernightIndex,0,,,,EvaluationDate)</f>
        <v>obj_003bc#0000</v>
      </c>
      <c r="P295" s="189" t="b">
        <f>_xll.qlInstrumentSetPricingEngine(O295,OisEngine)</f>
        <v>1</v>
      </c>
      <c r="Q295" s="188">
        <f>_xll.qlIndexFixing(Currency&amp;IborType&amp;"3M",_xll.qlInterestRateIndexFixingDate(Currency&amp;IborType&amp;"3M",M295),TRUE,AllTriggers)</f>
        <v>4.76493377899668E-2</v>
      </c>
      <c r="R295" s="188">
        <f>_xll.qlOvernightIndexedSwapFairRate(O295,AllTriggers)</f>
        <v>4.4592620233018423E-2</v>
      </c>
      <c r="S295" s="190">
        <f t="shared" si="6"/>
        <v>3.0567175569483768E-3</v>
      </c>
    </row>
    <row r="296" spans="5:19" ht="11.25" customHeight="1" x14ac:dyDescent="0.2">
      <c r="E296" s="182"/>
      <c r="F296" s="182"/>
      <c r="G296" s="181"/>
      <c r="J296" s="181"/>
      <c r="K296" s="181"/>
      <c r="M296" s="196">
        <f>_xll.qlCalendarAdvance(Calendar,M295,"1M","f",,Trigger)</f>
        <v>51060</v>
      </c>
      <c r="N296" s="187">
        <f>_xll.qlInterestRateIndexMaturity("AUDBBSW3M",M296)</f>
        <v>51152</v>
      </c>
      <c r="O296" s="189" t="str">
        <f>_xll.qlMakeDatedOIS(,M296,N296,OvernightIndex,0,,,,EvaluationDate)</f>
        <v>obj_003ae#0000</v>
      </c>
      <c r="P296" s="189" t="b">
        <f>_xll.qlInstrumentSetPricingEngine(O296,OisEngine)</f>
        <v>1</v>
      </c>
      <c r="Q296" s="188">
        <f>_xll.qlIndexFixing(Currency&amp;IborType&amp;"3M",_xll.qlInterestRateIndexFixingDate(Currency&amp;IborType&amp;"3M",M296),TRUE,AllTriggers)</f>
        <v>4.7643237362296642E-2</v>
      </c>
      <c r="R296" s="188">
        <f>_xll.qlOvernightIndexedSwapFairRate(O296,AllTriggers)</f>
        <v>4.4604773789534355E-2</v>
      </c>
      <c r="S296" s="190">
        <f t="shared" si="6"/>
        <v>3.0384635727622872E-3</v>
      </c>
    </row>
    <row r="297" spans="5:19" ht="11.25" customHeight="1" x14ac:dyDescent="0.2">
      <c r="E297" s="182"/>
      <c r="F297" s="182"/>
      <c r="G297" s="181"/>
      <c r="J297" s="181"/>
      <c r="K297" s="181"/>
      <c r="M297" s="196">
        <f>_xll.qlCalendarAdvance(Calendar,M296,"1M","f",,Trigger)</f>
        <v>51091</v>
      </c>
      <c r="N297" s="187">
        <f>_xll.qlInterestRateIndexMaturity("AUDBBSW3M",M297)</f>
        <v>51183</v>
      </c>
      <c r="O297" s="189" t="str">
        <f>_xll.qlMakeDatedOIS(,M297,N297,OvernightIndex,0,,,,EvaluationDate)</f>
        <v>obj_0039e#0000</v>
      </c>
      <c r="P297" s="189" t="b">
        <f>_xll.qlInstrumentSetPricingEngine(O297,OisEngine)</f>
        <v>1</v>
      </c>
      <c r="Q297" s="188">
        <f>_xll.qlIndexFixing(Currency&amp;IborType&amp;"3M",_xll.qlInterestRateIndexFixingDate(Currency&amp;IborType&amp;"3M",M297),TRUE,AllTriggers)</f>
        <v>4.7634620324055646E-2</v>
      </c>
      <c r="R297" s="188">
        <f>_xll.qlOvernightIndexedSwapFairRate(O297,AllTriggers)</f>
        <v>4.4613581425955416E-2</v>
      </c>
      <c r="S297" s="190">
        <f t="shared" si="6"/>
        <v>3.0210388981002298E-3</v>
      </c>
    </row>
    <row r="298" spans="5:19" ht="11.25" customHeight="1" x14ac:dyDescent="0.2">
      <c r="E298" s="182"/>
      <c r="F298" s="182"/>
      <c r="G298" s="181"/>
      <c r="J298" s="181"/>
      <c r="K298" s="181"/>
      <c r="M298" s="196">
        <f>_xll.qlCalendarAdvance(Calendar,M297,"1M","f",,Trigger)</f>
        <v>51123</v>
      </c>
      <c r="N298" s="187">
        <f>_xll.qlInterestRateIndexMaturity("AUDBBSW3M",M298)</f>
        <v>51214</v>
      </c>
      <c r="O298" s="189" t="str">
        <f>_xll.qlMakeDatedOIS(,M298,N298,OvernightIndex,0,,,,EvaluationDate)</f>
        <v>obj_0038f#0000</v>
      </c>
      <c r="P298" s="189" t="b">
        <f>_xll.qlInstrumentSetPricingEngine(O298,OisEngine)</f>
        <v>1</v>
      </c>
      <c r="Q298" s="188">
        <f>_xll.qlIndexFixing(Currency&amp;IborType&amp;"3M",_xll.qlInterestRateIndexFixingDate(Currency&amp;IborType&amp;"3M",M298),TRUE,AllTriggers)</f>
        <v>4.7622926532279904E-2</v>
      </c>
      <c r="R298" s="188">
        <f>_xll.qlOvernightIndexedSwapFairRate(O298,AllTriggers)</f>
        <v>4.4619615847053602E-2</v>
      </c>
      <c r="S298" s="190">
        <f t="shared" si="6"/>
        <v>3.0033106852263014E-3</v>
      </c>
    </row>
    <row r="299" spans="5:19" ht="11.25" customHeight="1" x14ac:dyDescent="0.2">
      <c r="E299" s="182"/>
      <c r="F299" s="182"/>
      <c r="G299" s="181"/>
      <c r="J299" s="181"/>
      <c r="K299" s="181"/>
      <c r="M299" s="196">
        <f>_xll.qlCalendarAdvance(Calendar,M298,"1M","f",,Trigger)</f>
        <v>51154</v>
      </c>
      <c r="N299" s="187">
        <f>_xll.qlInterestRateIndexMaturity("AUDBBSW3M",M299)</f>
        <v>51245</v>
      </c>
      <c r="O299" s="189" t="str">
        <f>_xll.qlMakeDatedOIS(,M299,N299,OvernightIndex,0,,,,EvaluationDate)</f>
        <v>obj_00380#0000</v>
      </c>
      <c r="P299" s="189" t="b">
        <f>_xll.qlInstrumentSetPricingEngine(O299,OisEngine)</f>
        <v>1</v>
      </c>
      <c r="Q299" s="188">
        <f>_xll.qlIndexFixing(Currency&amp;IborType&amp;"3M",_xll.qlInterestRateIndexFixingDate(Currency&amp;IborType&amp;"3M",M299),TRUE,AllTriggers)</f>
        <v>4.7614621825710753E-2</v>
      </c>
      <c r="R299" s="188">
        <f>_xll.qlOvernightIndexedSwapFairRate(O299,AllTriggers)</f>
        <v>4.4628104371491686E-2</v>
      </c>
      <c r="S299" s="190">
        <f t="shared" si="6"/>
        <v>2.9865174542190662E-3</v>
      </c>
    </row>
    <row r="300" spans="5:19" ht="11.25" customHeight="1" x14ac:dyDescent="0.2">
      <c r="E300" s="182"/>
      <c r="F300" s="182"/>
      <c r="G300" s="181"/>
      <c r="J300" s="181"/>
      <c r="K300" s="181"/>
      <c r="M300" s="196">
        <f>_xll.qlCalendarAdvance(Calendar,M299,"1M","f",,Trigger)</f>
        <v>51186</v>
      </c>
      <c r="N300" s="187">
        <f>_xll.qlInterestRateIndexMaturity("AUDBBSW3M",M300)</f>
        <v>51277</v>
      </c>
      <c r="O300" s="189" t="str">
        <f>_xll.qlMakeDatedOIS(,M300,N300,OvernightIndex,0,,,,EvaluationDate)</f>
        <v>obj_002fc#0000</v>
      </c>
      <c r="P300" s="189" t="b">
        <f>_xll.qlInstrumentSetPricingEngine(O300,OisEngine)</f>
        <v>1</v>
      </c>
      <c r="Q300" s="188">
        <f>_xll.qlIndexFixing(Currency&amp;IborType&amp;"3M",_xll.qlInterestRateIndexFixingDate(Currency&amp;IborType&amp;"3M",M300),TRUE,AllTriggers)</f>
        <v>4.7606211135333441E-2</v>
      </c>
      <c r="R300" s="188">
        <f>_xll.qlOvernightIndexedSwapFairRate(O300,AllTriggers)</f>
        <v>4.4636701261661103E-2</v>
      </c>
      <c r="S300" s="190">
        <f t="shared" si="6"/>
        <v>2.969509873672338E-3</v>
      </c>
    </row>
    <row r="301" spans="5:19" ht="11.25" customHeight="1" x14ac:dyDescent="0.2">
      <c r="E301" s="182"/>
      <c r="F301" s="182"/>
      <c r="G301" s="181"/>
      <c r="J301" s="181"/>
      <c r="K301" s="181"/>
      <c r="M301" s="196">
        <f>_xll.qlCalendarAdvance(Calendar,M300,"1M","f",,Trigger)</f>
        <v>51215</v>
      </c>
      <c r="N301" s="187">
        <f>_xll.qlInterestRateIndexMaturity("AUDBBSW3M",M301)</f>
        <v>51307</v>
      </c>
      <c r="O301" s="189" t="str">
        <f>_xll.qlMakeDatedOIS(,M301,N301,OvernightIndex,0,,,,EvaluationDate)</f>
        <v>obj_0028e#0000</v>
      </c>
      <c r="P301" s="189" t="b">
        <f>_xll.qlInstrumentSetPricingEngine(O301,OisEngine)</f>
        <v>1</v>
      </c>
      <c r="Q301" s="188">
        <f>_xll.qlIndexFixing(Currency&amp;IborType&amp;"3M",_xll.qlInterestRateIndexFixingDate(Currency&amp;IborType&amp;"3M",M301),TRUE,AllTriggers)</f>
        <v>4.7601695988838226E-2</v>
      </c>
      <c r="R301" s="188">
        <f>_xll.qlOvernightIndexedSwapFairRate(O301,AllTriggers)</f>
        <v>4.4647234361189572E-2</v>
      </c>
      <c r="S301" s="190">
        <f t="shared" si="6"/>
        <v>2.9544616276486538E-3</v>
      </c>
    </row>
    <row r="302" spans="5:19" ht="11.25" customHeight="1" x14ac:dyDescent="0.2">
      <c r="E302" s="182"/>
      <c r="F302" s="182"/>
      <c r="G302" s="181"/>
      <c r="J302" s="181"/>
      <c r="K302" s="181"/>
      <c r="M302" s="196">
        <f>_xll.qlCalendarAdvance(Calendar,M301,"1M","f",,Trigger)</f>
        <v>51246</v>
      </c>
      <c r="N302" s="187">
        <f>_xll.qlInterestRateIndexMaturity("AUDBBSW3M",M302)</f>
        <v>51337</v>
      </c>
      <c r="O302" s="189" t="str">
        <f>_xll.qlMakeDatedOIS(,M302,N302,OvernightIndex,0,,,,EvaluationDate)</f>
        <v>obj_0036e#0000</v>
      </c>
      <c r="P302" s="189" t="b">
        <f>_xll.qlInstrumentSetPricingEngine(O302,OisEngine)</f>
        <v>1</v>
      </c>
      <c r="Q302" s="188">
        <f>_xll.qlIndexFixing(Currency&amp;IborType&amp;"3M",_xll.qlInterestRateIndexFixingDate(Currency&amp;IborType&amp;"3M",M302),TRUE,AllTriggers)</f>
        <v>4.7590884412228557E-2</v>
      </c>
      <c r="R302" s="188">
        <f>_xll.qlOvernightIndexedSwapFairRate(O302,AllTriggers)</f>
        <v>4.4652367388239946E-2</v>
      </c>
      <c r="S302" s="190">
        <f t="shared" si="6"/>
        <v>2.9385170239886113E-3</v>
      </c>
    </row>
    <row r="303" spans="5:19" ht="11.25" customHeight="1" x14ac:dyDescent="0.2">
      <c r="E303" s="182"/>
      <c r="F303" s="182"/>
      <c r="G303" s="181"/>
      <c r="J303" s="181"/>
      <c r="K303" s="181"/>
      <c r="M303" s="196">
        <f>_xll.qlCalendarAdvance(Calendar,M302,"1M","f",,Trigger)</f>
        <v>51277</v>
      </c>
      <c r="N303" s="187">
        <f>_xll.qlInterestRateIndexMaturity("AUDBBSW3M",M303)</f>
        <v>51369</v>
      </c>
      <c r="O303" s="189" t="str">
        <f>_xll.qlMakeDatedOIS(,M303,N303,OvernightIndex,0,,,,EvaluationDate)</f>
        <v>obj_002df#0000</v>
      </c>
      <c r="P303" s="189" t="b">
        <f>_xll.qlInstrumentSetPricingEngine(O303,OisEngine)</f>
        <v>1</v>
      </c>
      <c r="Q303" s="188">
        <f>_xll.qlIndexFixing(Currency&amp;IborType&amp;"3M",_xll.qlInterestRateIndexFixingDate(Currency&amp;IborType&amp;"3M",M303),TRUE,AllTriggers)</f>
        <v>4.7586160098647273E-2</v>
      </c>
      <c r="R303" s="188">
        <f>_xll.qlOvernightIndexedSwapFairRate(O303,AllTriggers)</f>
        <v>4.4663114248513804E-2</v>
      </c>
      <c r="S303" s="190">
        <f t="shared" si="6"/>
        <v>2.9230458501334697E-3</v>
      </c>
    </row>
    <row r="304" spans="5:19" ht="11.25" customHeight="1" x14ac:dyDescent="0.2">
      <c r="E304" s="182"/>
      <c r="F304" s="182"/>
      <c r="G304" s="181"/>
      <c r="J304" s="181"/>
      <c r="K304" s="181"/>
      <c r="M304" s="196">
        <f>_xll.qlCalendarAdvance(Calendar,M303,"1M","f",,Trigger)</f>
        <v>51308</v>
      </c>
      <c r="N304" s="187">
        <f>_xll.qlInterestRateIndexMaturity("AUDBBSW3M",M304)</f>
        <v>51400</v>
      </c>
      <c r="O304" s="189" t="str">
        <f>_xll.qlMakeDatedOIS(,M304,N304,OvernightIndex,0,,,,EvaluationDate)</f>
        <v>obj_00352#0000</v>
      </c>
      <c r="P304" s="189" t="b">
        <f>_xll.qlInstrumentSetPricingEngine(O304,OisEngine)</f>
        <v>1</v>
      </c>
      <c r="Q304" s="188">
        <f>_xll.qlIndexFixing(Currency&amp;IborType&amp;"3M",_xll.qlInterestRateIndexFixingDate(Currency&amp;IborType&amp;"3M",M304),TRUE,AllTriggers)</f>
        <v>4.757862371972308E-2</v>
      </c>
      <c r="R304" s="188">
        <f>_xll.qlOvernightIndexedSwapFairRate(O304,AllTriggers)</f>
        <v>4.4670817543728543E-2</v>
      </c>
      <c r="S304" s="190">
        <f t="shared" si="6"/>
        <v>2.9078061759945373E-3</v>
      </c>
    </row>
    <row r="305" spans="5:19" ht="11.25" customHeight="1" x14ac:dyDescent="0.2">
      <c r="E305" s="182"/>
      <c r="F305" s="182"/>
      <c r="G305" s="181"/>
      <c r="J305" s="181"/>
      <c r="K305" s="181"/>
      <c r="M305" s="196">
        <f>_xll.qlCalendarAdvance(Calendar,M304,"1M","f",,Trigger)</f>
        <v>51340</v>
      </c>
      <c r="N305" s="187">
        <f>_xll.qlInterestRateIndexMaturity("AUDBBSW3M",M305)</f>
        <v>51432</v>
      </c>
      <c r="O305" s="189" t="str">
        <f>_xll.qlMakeDatedOIS(,M305,N305,OvernightIndex,0,,,,EvaluationDate)</f>
        <v>obj_00343#0000</v>
      </c>
      <c r="P305" s="189" t="b">
        <f>_xll.qlInstrumentSetPricingEngine(O305,OisEngine)</f>
        <v>1</v>
      </c>
      <c r="Q305" s="188">
        <f>_xll.qlIndexFixing(Currency&amp;IborType&amp;"3M",_xll.qlInterestRateIndexFixingDate(Currency&amp;IborType&amp;"3M",M305),TRUE,AllTriggers)</f>
        <v>4.7571006158213219E-2</v>
      </c>
      <c r="R305" s="188">
        <f>_xll.qlOvernightIndexedSwapFairRate(O305,AllTriggers)</f>
        <v>4.4678603849497393E-2</v>
      </c>
      <c r="S305" s="190">
        <f t="shared" si="6"/>
        <v>2.892402308715826E-3</v>
      </c>
    </row>
    <row r="306" spans="5:19" ht="11.25" customHeight="1" x14ac:dyDescent="0.2">
      <c r="E306" s="182"/>
      <c r="F306" s="182"/>
      <c r="G306" s="181"/>
      <c r="J306" s="181"/>
      <c r="K306" s="181"/>
      <c r="M306" s="196">
        <f>_xll.qlCalendarAdvance(Calendar,M305,"1M","f",,Trigger)</f>
        <v>51371</v>
      </c>
      <c r="N306" s="187">
        <f>_xll.qlInterestRateIndexMaturity("AUDBBSW3M",M306)</f>
        <v>51463</v>
      </c>
      <c r="O306" s="189" t="str">
        <f>_xll.qlMakeDatedOIS(,M306,N306,OvernightIndex,0,,,,EvaluationDate)</f>
        <v>obj_00332#0000</v>
      </c>
      <c r="P306" s="189" t="b">
        <f>_xll.qlInstrumentSetPricingEngine(O306,OisEngine)</f>
        <v>1</v>
      </c>
      <c r="Q306" s="188">
        <f>_xll.qlIndexFixing(Currency&amp;IborType&amp;"3M",_xll.qlInterestRateIndexFixingDate(Currency&amp;IborType&amp;"3M",M306),TRUE,AllTriggers)</f>
        <v>4.7563783510841805E-2</v>
      </c>
      <c r="R306" s="188">
        <f>_xll.qlOvernightIndexedSwapFairRate(O306,AllTriggers)</f>
        <v>4.4685986520781255E-2</v>
      </c>
      <c r="S306" s="190">
        <f t="shared" si="6"/>
        <v>2.8777969900605493E-3</v>
      </c>
    </row>
    <row r="307" spans="5:19" ht="11.25" customHeight="1" x14ac:dyDescent="0.2">
      <c r="E307" s="182"/>
      <c r="F307" s="182"/>
      <c r="G307" s="181"/>
      <c r="J307" s="181"/>
      <c r="K307" s="181"/>
      <c r="M307" s="196">
        <f>_xll.qlCalendarAdvance(Calendar,M306,"1M","f",,Trigger)</f>
        <v>51403</v>
      </c>
      <c r="N307" s="187">
        <f>_xll.qlInterestRateIndexMaturity("AUDBBSW3M",M307)</f>
        <v>51494</v>
      </c>
      <c r="O307" s="189" t="str">
        <f>_xll.qlMakeDatedOIS(,M307,N307,OvernightIndex,0,,,,EvaluationDate)</f>
        <v>obj_0037f#0000</v>
      </c>
      <c r="P307" s="189" t="b">
        <f>_xll.qlInstrumentSetPricingEngine(O307,OisEngine)</f>
        <v>1</v>
      </c>
      <c r="Q307" s="188">
        <f>_xll.qlIndexFixing(Currency&amp;IborType&amp;"3M",_xll.qlInterestRateIndexFixingDate(Currency&amp;IborType&amp;"3M",M307),TRUE,AllTriggers)</f>
        <v>4.7553515588789168E-2</v>
      </c>
      <c r="R307" s="188">
        <f>_xll.qlOvernightIndexedSwapFairRate(O307,AllTriggers)</f>
        <v>4.4690564232771235E-2</v>
      </c>
      <c r="S307" s="190">
        <f t="shared" si="6"/>
        <v>2.8629513560179329E-3</v>
      </c>
    </row>
    <row r="308" spans="5:19" ht="11.25" customHeight="1" x14ac:dyDescent="0.2">
      <c r="E308" s="182"/>
      <c r="F308" s="182"/>
      <c r="G308" s="181"/>
      <c r="J308" s="181"/>
      <c r="K308" s="181"/>
      <c r="M308" s="196">
        <f>_xll.qlCalendarAdvance(Calendar,M307,"1M","f",,Trigger)</f>
        <v>51433</v>
      </c>
      <c r="N308" s="187">
        <f>_xll.qlInterestRateIndexMaturity("AUDBBSW3M",M308)</f>
        <v>51525</v>
      </c>
      <c r="O308" s="189" t="str">
        <f>_xll.qlMakeDatedOIS(,M308,N308,OvernightIndex,0,,,,EvaluationDate)</f>
        <v>obj_002fb#0000</v>
      </c>
      <c r="P308" s="189" t="b">
        <f>_xll.qlInstrumentSetPricingEngine(O308,OisEngine)</f>
        <v>1</v>
      </c>
      <c r="Q308" s="188">
        <f>_xll.qlIndexFixing(Currency&amp;IborType&amp;"3M",_xll.qlInterestRateIndexFixingDate(Currency&amp;IborType&amp;"3M",M308),TRUE,AllTriggers)</f>
        <v>4.754980133899523E-2</v>
      </c>
      <c r="R308" s="188">
        <f>_xll.qlOvernightIndexedSwapFairRate(O308,AllTriggers)</f>
        <v>4.4700278556445767E-2</v>
      </c>
      <c r="S308" s="190">
        <f t="shared" si="6"/>
        <v>2.8495227825494629E-3</v>
      </c>
    </row>
    <row r="309" spans="5:19" ht="11.25" customHeight="1" x14ac:dyDescent="0.2">
      <c r="E309" s="182"/>
      <c r="F309" s="182"/>
      <c r="G309" s="181"/>
      <c r="J309" s="181"/>
      <c r="K309" s="181"/>
      <c r="M309" s="196">
        <f>_xll.qlCalendarAdvance(Calendar,M308,"1M","f",,Trigger)</f>
        <v>51466</v>
      </c>
      <c r="N309" s="187">
        <f>_xll.qlInterestRateIndexMaturity("AUDBBSW3M",M309)</f>
        <v>51558</v>
      </c>
      <c r="O309" s="189" t="str">
        <f>_xll.qlMakeDatedOIS(,M309,N309,OvernightIndex,0,,,,EvaluationDate)</f>
        <v>obj_0028d#0000</v>
      </c>
      <c r="P309" s="189" t="b">
        <f>_xll.qlInstrumentSetPricingEngine(O309,OisEngine)</f>
        <v>1</v>
      </c>
      <c r="Q309" s="188">
        <f>_xll.qlIndexFixing(Currency&amp;IborType&amp;"3M",_xll.qlInterestRateIndexFixingDate(Currency&amp;IborType&amp;"3M",M309),TRUE,AllTriggers)</f>
        <v>4.7542611015480248E-2</v>
      </c>
      <c r="R309" s="188">
        <f>_xll.qlOvernightIndexedSwapFairRate(O309,AllTriggers)</f>
        <v>4.470762826671746E-2</v>
      </c>
      <c r="S309" s="190">
        <f t="shared" si="6"/>
        <v>2.8349827487627877E-3</v>
      </c>
    </row>
    <row r="310" spans="5:19" ht="11.25" customHeight="1" x14ac:dyDescent="0.2">
      <c r="E310" s="182"/>
      <c r="F310" s="182"/>
      <c r="G310" s="181"/>
      <c r="J310" s="181"/>
      <c r="K310" s="181"/>
      <c r="M310" s="196">
        <f>_xll.qlCalendarAdvance(Calendar,M309,"1M","f",,Trigger)</f>
        <v>51497</v>
      </c>
      <c r="N310" s="187">
        <f>_xll.qlInterestRateIndexMaturity("AUDBBSW3M",M310)</f>
        <v>51587</v>
      </c>
      <c r="O310" s="189" t="str">
        <f>_xll.qlMakeDatedOIS(,M310,N310,OvernightIndex,0,,,,EvaluationDate)</f>
        <v>obj_003d7#0000</v>
      </c>
      <c r="P310" s="189" t="b">
        <f>_xll.qlInstrumentSetPricingEngine(O310,OisEngine)</f>
        <v>1</v>
      </c>
      <c r="Q310" s="188">
        <f>_xll.qlIndexFixing(Currency&amp;IborType&amp;"3M",_xll.qlInterestRateIndexFixingDate(Currency&amp;IborType&amp;"3M",M310),TRUE,AllTriggers)</f>
        <v>4.753005789669968E-2</v>
      </c>
      <c r="R310" s="188">
        <f>_xll.qlOvernightIndexedSwapFairRate(O310,AllTriggers)</f>
        <v>4.4708624891063309E-2</v>
      </c>
      <c r="S310" s="190">
        <f t="shared" si="6"/>
        <v>2.8214330056363715E-3</v>
      </c>
    </row>
    <row r="311" spans="5:19" ht="11.25" customHeight="1" x14ac:dyDescent="0.2">
      <c r="E311" s="182"/>
      <c r="F311" s="182"/>
      <c r="G311" s="181"/>
      <c r="J311" s="181"/>
      <c r="K311" s="181"/>
      <c r="M311" s="196">
        <f>_xll.qlCalendarAdvance(Calendar,M310,"1M","f",,Trigger)</f>
        <v>51530</v>
      </c>
      <c r="N311" s="187">
        <f>_xll.qlInterestRateIndexMaturity("AUDBBSW3M",M311)</f>
        <v>51620</v>
      </c>
      <c r="O311" s="189" t="str">
        <f>_xll.qlMakeDatedOIS(,M311,N311,OvernightIndex,0,,,,EvaluationDate)</f>
        <v>obj_003d4#0000</v>
      </c>
      <c r="P311" s="189" t="b">
        <f>_xll.qlInstrumentSetPricingEngine(O311,OisEngine)</f>
        <v>1</v>
      </c>
      <c r="Q311" s="188">
        <f>_xll.qlIndexFixing(Currency&amp;IborType&amp;"3M",_xll.qlInterestRateIndexFixingDate(Currency&amp;IborType&amp;"3M",M311),TRUE,AllTriggers)</f>
        <v>4.7523203311576646E-2</v>
      </c>
      <c r="R311" s="188">
        <f>_xll.qlOvernightIndexedSwapFairRate(O311,AllTriggers)</f>
        <v>4.4715631551613733E-2</v>
      </c>
      <c r="S311" s="190">
        <f t="shared" si="6"/>
        <v>2.8075717599629138E-3</v>
      </c>
    </row>
    <row r="312" spans="5:19" ht="11.25" customHeight="1" x14ac:dyDescent="0.2">
      <c r="E312" s="182"/>
      <c r="F312" s="182"/>
      <c r="G312" s="181"/>
      <c r="J312" s="181"/>
      <c r="K312" s="181"/>
      <c r="M312" s="196">
        <f>_xll.qlCalendarAdvance(Calendar,M311,"1M","f",,Trigger)</f>
        <v>51560</v>
      </c>
      <c r="N312" s="187">
        <f>_xll.qlInterestRateIndexMaturity("AUDBBSW3M",M312)</f>
        <v>51652</v>
      </c>
      <c r="O312" s="189" t="str">
        <f>_xll.qlMakeDatedOIS(,M312,N312,OvernightIndex,0,,,,EvaluationDate)</f>
        <v>obj_002d1#0000</v>
      </c>
      <c r="P312" s="189" t="b">
        <f>_xll.qlInstrumentSetPricingEngine(O312,OisEngine)</f>
        <v>1</v>
      </c>
      <c r="Q312" s="188">
        <f>_xll.qlIndexFixing(Currency&amp;IborType&amp;"3M",_xll.qlInterestRateIndexFixingDate(Currency&amp;IborType&amp;"3M",M312),TRUE,AllTriggers)</f>
        <v>4.7523088326891297E-2</v>
      </c>
      <c r="R312" s="188">
        <f>_xll.qlOvernightIndexedSwapFairRate(O312,AllTriggers)</f>
        <v>4.4727583846862318E-2</v>
      </c>
      <c r="S312" s="190">
        <f t="shared" si="6"/>
        <v>2.7955044800289791E-3</v>
      </c>
    </row>
    <row r="313" spans="5:19" ht="11.25" customHeight="1" x14ac:dyDescent="0.2">
      <c r="E313" s="182"/>
      <c r="F313" s="182"/>
      <c r="G313" s="181"/>
      <c r="J313" s="181"/>
      <c r="K313" s="181"/>
      <c r="M313" s="196">
        <f>_xll.qlCalendarAdvance(Calendar,M312,"1M","f",,Trigger)</f>
        <v>51588</v>
      </c>
      <c r="N313" s="187">
        <f>_xll.qlInterestRateIndexMaturity("AUDBBSW3M",M313)</f>
        <v>51680</v>
      </c>
      <c r="O313" s="189" t="str">
        <f>_xll.qlMakeDatedOIS(,M313,N313,OvernightIndex,0,,,,EvaluationDate)</f>
        <v>obj_0039d#0000</v>
      </c>
      <c r="P313" s="189" t="b">
        <f>_xll.qlInstrumentSetPricingEngine(O313,OisEngine)</f>
        <v>1</v>
      </c>
      <c r="Q313" s="188">
        <f>_xll.qlIndexFixing(Currency&amp;IborType&amp;"3M",_xll.qlInterestRateIndexFixingDate(Currency&amp;IborType&amp;"3M",M313),TRUE,AllTriggers)</f>
        <v>4.7517547422812882E-2</v>
      </c>
      <c r="R313" s="188">
        <f>_xll.qlOvernightIndexedSwapFairRate(O313,AllTriggers)</f>
        <v>4.4733247649668212E-2</v>
      </c>
      <c r="S313" s="190">
        <f t="shared" si="6"/>
        <v>2.7842997731446703E-3</v>
      </c>
    </row>
    <row r="314" spans="5:19" ht="11.25" customHeight="1" x14ac:dyDescent="0.2">
      <c r="E314" s="182"/>
      <c r="F314" s="182"/>
      <c r="G314" s="181"/>
      <c r="J314" s="181"/>
      <c r="K314" s="181"/>
      <c r="M314" s="196">
        <f>_xll.qlCalendarAdvance(Calendar,M313,"1M","f",,Trigger)</f>
        <v>51620</v>
      </c>
      <c r="N314" s="187">
        <f>_xll.qlInterestRateIndexMaturity("AUDBBSW3M",M314)</f>
        <v>51711</v>
      </c>
      <c r="O314" s="189" t="str">
        <f>_xll.qlMakeDatedOIS(,M314,N314,OvernightIndex,0,,,,EvaluationDate)</f>
        <v>obj_002bb#0000</v>
      </c>
      <c r="P314" s="189" t="b">
        <f>_xll.qlInstrumentSetPricingEngine(O314,OisEngine)</f>
        <v>1</v>
      </c>
      <c r="Q314" s="188">
        <f>_xll.qlIndexFixing(Currency&amp;IborType&amp;"3M",_xll.qlInterestRateIndexFixingDate(Currency&amp;IborType&amp;"3M",M314),TRUE,AllTriggers)</f>
        <v>4.7508383372956958E-2</v>
      </c>
      <c r="R314" s="188">
        <f>_xll.qlOvernightIndexedSwapFairRate(O314,AllTriggers)</f>
        <v>4.4736697446597883E-2</v>
      </c>
      <c r="S314" s="190">
        <f t="shared" si="6"/>
        <v>2.7716859263590757E-3</v>
      </c>
    </row>
    <row r="315" spans="5:19" ht="11.25" customHeight="1" x14ac:dyDescent="0.2">
      <c r="E315" s="182"/>
      <c r="F315" s="182"/>
      <c r="G315" s="181"/>
      <c r="J315" s="181"/>
      <c r="K315" s="181"/>
      <c r="M315" s="196">
        <f>_xll.qlCalendarAdvance(Calendar,M314,"1M","f",,Trigger)</f>
        <v>51650</v>
      </c>
      <c r="N315" s="187">
        <f>_xll.qlInterestRateIndexMaturity("AUDBBSW3M",M315)</f>
        <v>51742</v>
      </c>
      <c r="O315" s="189" t="str">
        <f>_xll.qlMakeDatedOIS(,M315,N315,OvernightIndex,0,,,,EvaluationDate)</f>
        <v>obj_00320#0000</v>
      </c>
      <c r="P315" s="189" t="b">
        <f>_xll.qlInstrumentSetPricingEngine(O315,OisEngine)</f>
        <v>1</v>
      </c>
      <c r="Q315" s="188">
        <f>_xll.qlIndexFixing(Currency&amp;IborType&amp;"3M",_xll.qlInterestRateIndexFixingDate(Currency&amp;IborType&amp;"3M",M315),TRUE,AllTriggers)</f>
        <v>4.7505726446089795E-2</v>
      </c>
      <c r="R315" s="188">
        <f>_xll.qlOvernightIndexedSwapFairRate(O315,AllTriggers)</f>
        <v>4.4745330872020449E-2</v>
      </c>
      <c r="S315" s="190">
        <f t="shared" si="6"/>
        <v>2.7603955740693464E-3</v>
      </c>
    </row>
    <row r="316" spans="5:19" ht="11.25" customHeight="1" x14ac:dyDescent="0.2">
      <c r="E316" s="182"/>
      <c r="F316" s="182"/>
      <c r="G316" s="181"/>
      <c r="J316" s="181"/>
      <c r="K316" s="181"/>
      <c r="M316" s="196">
        <f>_xll.qlCalendarAdvance(Calendar,M315,"1M","f",,Trigger)</f>
        <v>51683</v>
      </c>
      <c r="N316" s="187">
        <f>_xll.qlInterestRateIndexMaturity("AUDBBSW3M",M316)</f>
        <v>51775</v>
      </c>
      <c r="O316" s="189" t="str">
        <f>_xll.qlMakeDatedOIS(,M316,N316,OvernightIndex,0,,,,EvaluationDate)</f>
        <v>obj_002fa#0000</v>
      </c>
      <c r="P316" s="189" t="b">
        <f>_xll.qlInstrumentSetPricingEngine(O316,OisEngine)</f>
        <v>1</v>
      </c>
      <c r="Q316" s="188">
        <f>_xll.qlIndexFixing(Currency&amp;IborType&amp;"3M",_xll.qlInterestRateIndexFixingDate(Currency&amp;IborType&amp;"3M",M316),TRUE,AllTriggers)</f>
        <v>4.7499686427752388E-2</v>
      </c>
      <c r="R316" s="188">
        <f>_xll.qlOvernightIndexedSwapFairRate(O316,AllTriggers)</f>
        <v>4.4751504914736666E-2</v>
      </c>
      <c r="S316" s="190">
        <f t="shared" si="6"/>
        <v>2.7481815130157225E-3</v>
      </c>
    </row>
    <row r="317" spans="5:19" ht="11.25" customHeight="1" x14ac:dyDescent="0.2">
      <c r="E317" s="182"/>
      <c r="F317" s="182"/>
      <c r="G317" s="181"/>
      <c r="J317" s="181"/>
      <c r="K317" s="181"/>
      <c r="M317" s="196">
        <f>_xll.qlCalendarAdvance(Calendar,M316,"1M","f",,Trigger)</f>
        <v>51714</v>
      </c>
      <c r="N317" s="187">
        <f>_xll.qlInterestRateIndexMaturity("AUDBBSW3M",M317)</f>
        <v>51806</v>
      </c>
      <c r="O317" s="189" t="str">
        <f>_xll.qlMakeDatedOIS(,M317,N317,OvernightIndex,0,,,,EvaluationDate)</f>
        <v>obj_0028c#0000</v>
      </c>
      <c r="P317" s="189" t="b">
        <f>_xll.qlInstrumentSetPricingEngine(O317,OisEngine)</f>
        <v>1</v>
      </c>
      <c r="Q317" s="188">
        <f>_xll.qlIndexFixing(Currency&amp;IborType&amp;"3M",_xll.qlInterestRateIndexFixingDate(Currency&amp;IborType&amp;"3M",M317),TRUE,AllTriggers)</f>
        <v>4.7494171817910873E-2</v>
      </c>
      <c r="R317" s="188">
        <f>_xll.qlOvernightIndexedSwapFairRate(O317,AllTriggers)</f>
        <v>4.4757141906981823E-2</v>
      </c>
      <c r="S317" s="190">
        <f t="shared" si="6"/>
        <v>2.7370299109290494E-3</v>
      </c>
    </row>
    <row r="318" spans="5:19" ht="11.25" customHeight="1" x14ac:dyDescent="0.2">
      <c r="E318" s="182"/>
      <c r="F318" s="182"/>
      <c r="G318" s="181"/>
      <c r="J318" s="181"/>
      <c r="K318" s="181"/>
      <c r="M318" s="196">
        <f>_xll.qlCalendarAdvance(Calendar,M317,"1M","f",,Trigger)</f>
        <v>51746</v>
      </c>
      <c r="N318" s="187">
        <f>_xll.qlInterestRateIndexMaturity("AUDBBSW3M",M318)</f>
        <v>51837</v>
      </c>
      <c r="O318" s="189" t="str">
        <f>_xll.qlMakeDatedOIS(,M318,N318,OvernightIndex,0,,,,EvaluationDate)</f>
        <v>obj_003d6#0000</v>
      </c>
      <c r="P318" s="189" t="b">
        <f>_xll.qlInstrumentSetPricingEngine(O318,OisEngine)</f>
        <v>1</v>
      </c>
      <c r="Q318" s="188">
        <f>_xll.qlIndexFixing(Currency&amp;IborType&amp;"3M",_xll.qlInterestRateIndexFixingDate(Currency&amp;IborType&amp;"3M",M318),TRUE,AllTriggers)</f>
        <v>4.748564825850788E-2</v>
      </c>
      <c r="R318" s="188">
        <f>_xll.qlOvernightIndexedSwapFairRate(O318,AllTriggers)</f>
        <v>4.4759937204273952E-2</v>
      </c>
      <c r="S318" s="190">
        <f t="shared" si="6"/>
        <v>2.7257110542339286E-3</v>
      </c>
    </row>
    <row r="319" spans="5:19" ht="11.25" customHeight="1" x14ac:dyDescent="0.2">
      <c r="E319" s="182"/>
      <c r="F319" s="182"/>
      <c r="G319" s="181"/>
      <c r="J319" s="181"/>
      <c r="K319" s="181"/>
      <c r="M319" s="196">
        <f>_xll.qlCalendarAdvance(Calendar,M318,"1M","f",,Trigger)</f>
        <v>51776</v>
      </c>
      <c r="N319" s="187">
        <f>_xll.qlInterestRateIndexMaturity("AUDBBSW3M",M319)</f>
        <v>51868</v>
      </c>
      <c r="O319" s="189" t="str">
        <f>_xll.qlMakeDatedOIS(,M319,N319,OvernightIndex,0,,,,EvaluationDate)</f>
        <v>obj_0035f#0000</v>
      </c>
      <c r="P319" s="189" t="b">
        <f>_xll.qlInstrumentSetPricingEngine(O319,OisEngine)</f>
        <v>1</v>
      </c>
      <c r="Q319" s="188">
        <f>_xll.qlIndexFixing(Currency&amp;IborType&amp;"3M",_xll.qlInterestRateIndexFixingDate(Currency&amp;IborType&amp;"3M",M319),TRUE,AllTriggers)</f>
        <v>4.7483605697235719E-2</v>
      </c>
      <c r="R319" s="188">
        <f>_xll.qlOvernightIndexedSwapFairRate(O319,AllTriggers)</f>
        <v>4.4767942559246543E-2</v>
      </c>
      <c r="S319" s="190">
        <f t="shared" si="6"/>
        <v>2.7156631379891757E-3</v>
      </c>
    </row>
    <row r="320" spans="5:19" ht="11.25" customHeight="1" x14ac:dyDescent="0.2">
      <c r="E320" s="182"/>
      <c r="F320" s="182"/>
      <c r="G320" s="181"/>
      <c r="J320" s="181"/>
      <c r="K320" s="181"/>
      <c r="M320" s="196">
        <f>_xll.qlCalendarAdvance(Calendar,M319,"1M","f",,Trigger)</f>
        <v>51809</v>
      </c>
      <c r="N320" s="187">
        <f>_xll.qlInterestRateIndexMaturity("AUDBBSW3M",M320)</f>
        <v>51901</v>
      </c>
      <c r="O320" s="189" t="str">
        <f>_xll.qlMakeDatedOIS(,M320,N320,OvernightIndex,0,,,,EvaluationDate)</f>
        <v>obj_003ad#0000</v>
      </c>
      <c r="P320" s="189" t="b">
        <f>_xll.qlInstrumentSetPricingEngine(O320,OisEngine)</f>
        <v>1</v>
      </c>
      <c r="Q320" s="188">
        <f>_xll.qlIndexFixing(Currency&amp;IborType&amp;"3M",_xll.qlInterestRateIndexFixingDate(Currency&amp;IborType&amp;"3M",M320),TRUE,AllTriggers)</f>
        <v>4.7478233581950267E-2</v>
      </c>
      <c r="R320" s="188">
        <f>_xll.qlOvernightIndexedSwapFairRate(O320,AllTriggers)</f>
        <v>4.477343393924077E-2</v>
      </c>
      <c r="S320" s="190">
        <f t="shared" si="6"/>
        <v>2.7047996427094975E-3</v>
      </c>
    </row>
    <row r="321" spans="5:19" ht="11.25" customHeight="1" x14ac:dyDescent="0.2">
      <c r="E321" s="182"/>
      <c r="F321" s="182"/>
      <c r="G321" s="181"/>
      <c r="J321" s="181"/>
      <c r="K321" s="181"/>
      <c r="M321" s="196">
        <f>_xll.qlCalendarAdvance(Calendar,M320,"1M","f",,Trigger)</f>
        <v>51839</v>
      </c>
      <c r="N321" s="187">
        <f>_xll.qlInterestRateIndexMaturity("AUDBBSW3M",M321)</f>
        <v>51929</v>
      </c>
      <c r="O321" s="189" t="str">
        <f>_xll.qlMakeDatedOIS(,M321,N321,OvernightIndex,0,,,,EvaluationDate)</f>
        <v>obj_00342#0000</v>
      </c>
      <c r="P321" s="189" t="b">
        <f>_xll.qlInstrumentSetPricingEngine(O321,OisEngine)</f>
        <v>1</v>
      </c>
      <c r="Q321" s="188">
        <f>_xll.qlIndexFixing(Currency&amp;IborType&amp;"3M",_xll.qlInterestRateIndexFixingDate(Currency&amp;IborType&amp;"3M",M321),TRUE,AllTriggers)</f>
        <v>4.7467504962882844E-2</v>
      </c>
      <c r="R321" s="188">
        <f>_xll.qlOvernightIndexedSwapFairRate(O321,AllTriggers)</f>
        <v>4.4772566504673428E-2</v>
      </c>
      <c r="S321" s="190">
        <f t="shared" si="6"/>
        <v>2.6949384582094157E-3</v>
      </c>
    </row>
    <row r="322" spans="5:19" ht="11.25" customHeight="1" x14ac:dyDescent="0.2">
      <c r="E322" s="182"/>
      <c r="F322" s="182"/>
      <c r="G322" s="181"/>
      <c r="J322" s="181"/>
      <c r="K322" s="181"/>
      <c r="M322" s="196">
        <f>_xll.qlCalendarAdvance(Calendar,M321,"1M","f",,Trigger)</f>
        <v>51872</v>
      </c>
      <c r="N322" s="187">
        <f>_xll.qlInterestRateIndexMaturity("AUDBBSW3M",M322)</f>
        <v>51964</v>
      </c>
      <c r="O322" s="189" t="str">
        <f>_xll.qlMakeDatedOIS(,M322,N322,OvernightIndex,0,,,,EvaluationDate)</f>
        <v>obj_00331#0000</v>
      </c>
      <c r="P322" s="189" t="b">
        <f>_xll.qlInstrumentSetPricingEngine(O322,OisEngine)</f>
        <v>1</v>
      </c>
      <c r="Q322" s="188">
        <f>_xll.qlIndexFixing(Currency&amp;IborType&amp;"3M",_xll.qlInterestRateIndexFixingDate(Currency&amp;IborType&amp;"3M",M322),TRUE,AllTriggers)</f>
        <v>4.7468463467762838E-2</v>
      </c>
      <c r="R322" s="188">
        <f>_xll.qlOvernightIndexedSwapFairRate(O322,AllTriggers)</f>
        <v>4.4783420995149981E-2</v>
      </c>
      <c r="S322" s="190">
        <f t="shared" si="6"/>
        <v>2.6850424726128572E-3</v>
      </c>
    </row>
    <row r="323" spans="5:19" ht="11.25" customHeight="1" x14ac:dyDescent="0.2">
      <c r="E323" s="182"/>
      <c r="F323" s="182"/>
      <c r="G323" s="181"/>
      <c r="J323" s="181"/>
      <c r="K323" s="181"/>
      <c r="M323" s="196">
        <f>_xll.qlCalendarAdvance(Calendar,M322,"1M","f",,Trigger)</f>
        <v>51903</v>
      </c>
      <c r="N323" s="187">
        <f>_xll.qlInterestRateIndexMaturity("AUDBBSW3M",M323)</f>
        <v>51992</v>
      </c>
      <c r="O323" s="189" t="str">
        <f>_xll.qlMakeDatedOIS(,M323,N323,OvernightIndex,0,,,,EvaluationDate)</f>
        <v>obj_0037e#0000</v>
      </c>
      <c r="P323" s="189" t="b">
        <f>_xll.qlInstrumentSetPricingEngine(O323,OisEngine)</f>
        <v>1</v>
      </c>
      <c r="Q323" s="188">
        <f>_xll.qlIndexFixing(Currency&amp;IborType&amp;"3M",_xll.qlInterestRateIndexFixingDate(Currency&amp;IborType&amp;"3M",M323),TRUE,AllTriggers)</f>
        <v>4.7454883739094449E-2</v>
      </c>
      <c r="R323" s="188">
        <f>_xll.qlOvernightIndexedSwapFairRate(O323,AllTriggers)</f>
        <v>4.4779551777679012E-2</v>
      </c>
      <c r="S323" s="190">
        <f t="shared" ref="S323:S350" si="7">Q323-R323</f>
        <v>2.6753319614154364E-3</v>
      </c>
    </row>
    <row r="324" spans="5:19" ht="11.25" customHeight="1" x14ac:dyDescent="0.2">
      <c r="E324" s="182"/>
      <c r="F324" s="182"/>
      <c r="G324" s="181"/>
      <c r="J324" s="181"/>
      <c r="K324" s="181"/>
      <c r="M324" s="196">
        <f>_xll.qlCalendarAdvance(Calendar,M323,"1M","f",,Trigger)</f>
        <v>51931</v>
      </c>
      <c r="N324" s="187">
        <f>_xll.qlInterestRateIndexMaturity("AUDBBSW3M",M324)</f>
        <v>52023</v>
      </c>
      <c r="O324" s="189" t="str">
        <f>_xll.qlMakeDatedOIS(,M324,N324,OvernightIndex,0,,,,EvaluationDate)</f>
        <v>obj_002f9#0000</v>
      </c>
      <c r="P324" s="189" t="b">
        <f>_xll.qlInstrumentSetPricingEngine(O324,OisEngine)</f>
        <v>1</v>
      </c>
      <c r="Q324" s="188">
        <f>_xll.qlIndexFixing(Currency&amp;IborType&amp;"3M",_xll.qlInterestRateIndexFixingDate(Currency&amp;IborType&amp;"3M",M324),TRUE,AllTriggers)</f>
        <v>4.7459891778814975E-2</v>
      </c>
      <c r="R324" s="188">
        <f>_xll.qlOvernightIndexedSwapFairRate(O324,AllTriggers)</f>
        <v>4.4792183056002507E-2</v>
      </c>
      <c r="S324" s="190">
        <f t="shared" si="7"/>
        <v>2.6677087228124674E-3</v>
      </c>
    </row>
    <row r="325" spans="5:19" ht="11.25" customHeight="1" x14ac:dyDescent="0.2">
      <c r="E325" s="182"/>
      <c r="F325" s="182"/>
      <c r="G325" s="181"/>
      <c r="J325" s="181"/>
      <c r="K325" s="181"/>
      <c r="M325" s="196">
        <f>_xll.qlCalendarAdvance(Calendar,M324,"1M","f",,Trigger)</f>
        <v>51964</v>
      </c>
      <c r="N325" s="187">
        <f>_xll.qlInterestRateIndexMaturity("AUDBBSW3M",M325)</f>
        <v>52055</v>
      </c>
      <c r="O325" s="189" t="str">
        <f>_xll.qlMakeDatedOIS(,M325,N325,OvernightIndex,0,,,,EvaluationDate)</f>
        <v>obj_0028b#0000</v>
      </c>
      <c r="P325" s="189" t="b">
        <f>_xll.qlInstrumentSetPricingEngine(O325,OisEngine)</f>
        <v>1</v>
      </c>
      <c r="Q325" s="188">
        <f>_xll.qlIndexFixing(Currency&amp;IborType&amp;"3M",_xll.qlInterestRateIndexFixingDate(Currency&amp;IborType&amp;"3M",M325),TRUE,AllTriggers)</f>
        <v>4.7452335100071942E-2</v>
      </c>
      <c r="R325" s="188">
        <f>_xll.qlOvernightIndexedSwapFairRate(O325,AllTriggers)</f>
        <v>4.4793990281968753E-2</v>
      </c>
      <c r="S325" s="190">
        <f t="shared" si="7"/>
        <v>2.6583448181031893E-3</v>
      </c>
    </row>
    <row r="326" spans="5:19" ht="11.25" customHeight="1" x14ac:dyDescent="0.2">
      <c r="E326" s="182"/>
      <c r="F326" s="182"/>
      <c r="G326" s="181"/>
      <c r="J326" s="181"/>
      <c r="K326" s="181"/>
      <c r="M326" s="196">
        <f>_xll.qlCalendarAdvance(Calendar,M325,"1M","f",,Trigger)</f>
        <v>51994</v>
      </c>
      <c r="N326" s="187">
        <f>_xll.qlInterestRateIndexMaturity("AUDBBSW3M",M326)</f>
        <v>52086</v>
      </c>
      <c r="O326" s="189" t="str">
        <f>_xll.qlMakeDatedOIS(,M326,N326,OvernightIndex,0,,,,EvaluationDate)</f>
        <v>obj_0036d#0000</v>
      </c>
      <c r="P326" s="189" t="b">
        <f>_xll.qlInstrumentSetPricingEngine(O326,OisEngine)</f>
        <v>1</v>
      </c>
      <c r="Q326" s="188">
        <f>_xll.qlIndexFixing(Currency&amp;IborType&amp;"3M",_xll.qlInterestRateIndexFixingDate(Currency&amp;IborType&amp;"3M",M326),TRUE,AllTriggers)</f>
        <v>4.7451356248068899E-2</v>
      </c>
      <c r="R326" s="188">
        <f>_xll.qlOvernightIndexedSwapFairRate(O326,AllTriggers)</f>
        <v>4.4800908193468943E-2</v>
      </c>
      <c r="S326" s="190">
        <f t="shared" si="7"/>
        <v>2.6504480545999562E-3</v>
      </c>
    </row>
    <row r="327" spans="5:19" ht="11.25" customHeight="1" x14ac:dyDescent="0.2">
      <c r="E327" s="182"/>
      <c r="F327" s="182"/>
      <c r="G327" s="181"/>
      <c r="J327" s="181"/>
      <c r="K327" s="181"/>
      <c r="M327" s="196">
        <f>_xll.qlCalendarAdvance(Calendar,M326,"1M","f",,Trigger)</f>
        <v>52027</v>
      </c>
      <c r="N327" s="187">
        <f>_xll.qlInterestRateIndexMaturity("AUDBBSW3M",M327)</f>
        <v>52119</v>
      </c>
      <c r="O327" s="189" t="str">
        <f>_xll.qlMakeDatedOIS(,M327,N327,OvernightIndex,0,,,,EvaluationDate)</f>
        <v>obj_002de#0000</v>
      </c>
      <c r="P327" s="189" t="b">
        <f>_xll.qlInstrumentSetPricingEngine(O327,OisEngine)</f>
        <v>1</v>
      </c>
      <c r="Q327" s="188">
        <f>_xll.qlIndexFixing(Currency&amp;IborType&amp;"3M",_xll.qlInterestRateIndexFixingDate(Currency&amp;IborType&amp;"3M",M327),TRUE,AllTriggers)</f>
        <v>4.7447139687636961E-2</v>
      </c>
      <c r="R327" s="188">
        <f>_xll.qlOvernightIndexedSwapFairRate(O327,AllTriggers)</f>
        <v>4.4805218433744076E-2</v>
      </c>
      <c r="S327" s="190">
        <f t="shared" si="7"/>
        <v>2.6419212538928843E-3</v>
      </c>
    </row>
    <row r="328" spans="5:19" ht="11.25" customHeight="1" x14ac:dyDescent="0.2">
      <c r="E328" s="182"/>
      <c r="F328" s="182"/>
      <c r="G328" s="181"/>
      <c r="J328" s="181"/>
      <c r="K328" s="181"/>
      <c r="M328" s="196">
        <f>_xll.qlCalendarAdvance(Calendar,M327,"1M","f",,Trigger)</f>
        <v>52057</v>
      </c>
      <c r="N328" s="187">
        <f>_xll.qlInterestRateIndexMaturity("AUDBBSW3M",M328)</f>
        <v>52149</v>
      </c>
      <c r="O328" s="189" t="str">
        <f>_xll.qlMakeDatedOIS(,M328,N328,OvernightIndex,0,,,,EvaluationDate)</f>
        <v>obj_003ab#0000</v>
      </c>
      <c r="P328" s="189" t="b">
        <f>_xll.qlInstrumentSetPricingEngine(O328,OisEngine)</f>
        <v>1</v>
      </c>
      <c r="Q328" s="188">
        <f>_xll.qlIndexFixing(Currency&amp;IborType&amp;"3M",_xll.qlInterestRateIndexFixingDate(Currency&amp;IborType&amp;"3M",M328),TRUE,AllTriggers)</f>
        <v>4.7443458242005236E-2</v>
      </c>
      <c r="R328" s="188">
        <f>_xll.qlOvernightIndexedSwapFairRate(O328,AllTriggers)</f>
        <v>4.4808981678048941E-2</v>
      </c>
      <c r="S328" s="190">
        <f t="shared" si="7"/>
        <v>2.634476563956295E-3</v>
      </c>
    </row>
    <row r="329" spans="5:19" ht="11.25" customHeight="1" x14ac:dyDescent="0.2">
      <c r="E329" s="182"/>
      <c r="F329" s="182"/>
      <c r="G329" s="181"/>
      <c r="J329" s="181"/>
      <c r="K329" s="181"/>
      <c r="M329" s="196">
        <f>_xll.qlCalendarAdvance(Calendar,M328,"1M","f",,Trigger)</f>
        <v>52089</v>
      </c>
      <c r="N329" s="187">
        <f>_xll.qlInterestRateIndexMaturity("AUDBBSW3M",M329)</f>
        <v>52181</v>
      </c>
      <c r="O329" s="189" t="str">
        <f>_xll.qlMakeDatedOIS(,M329,N329,OvernightIndex,0,,,,EvaluationDate)</f>
        <v>obj_003ac#0000</v>
      </c>
      <c r="P329" s="189" t="b">
        <f>_xll.qlInstrumentSetPricingEngine(O329,OisEngine)</f>
        <v>1</v>
      </c>
      <c r="Q329" s="188">
        <f>_xll.qlIndexFixing(Currency&amp;IborType&amp;"3M",_xll.qlInterestRateIndexFixingDate(Currency&amp;IborType&amp;"3M",M329),TRUE,AllTriggers)</f>
        <v>4.7439690706724498E-2</v>
      </c>
      <c r="R329" s="188">
        <f>_xll.qlOvernightIndexedSwapFairRate(O329,AllTriggers)</f>
        <v>4.4812832932121988E-2</v>
      </c>
      <c r="S329" s="190">
        <f t="shared" si="7"/>
        <v>2.6268577746025104E-3</v>
      </c>
    </row>
    <row r="330" spans="5:19" ht="11.25" customHeight="1" x14ac:dyDescent="0.2">
      <c r="E330" s="182"/>
      <c r="F330" s="182"/>
      <c r="G330" s="181"/>
      <c r="J330" s="181"/>
      <c r="K330" s="181"/>
      <c r="M330" s="196">
        <f>_xll.qlCalendarAdvance(Calendar,M329,"1M","f",,Trigger)</f>
        <v>52120</v>
      </c>
      <c r="N330" s="187">
        <f>_xll.qlInterestRateIndexMaturity("AUDBBSW3M",M330)</f>
        <v>52211</v>
      </c>
      <c r="O330" s="189" t="str">
        <f>_xll.qlMakeDatedOIS(,M330,N330,OvernightIndex,0,,,,EvaluationDate)</f>
        <v>obj_00341#0000</v>
      </c>
      <c r="P330" s="189" t="b">
        <f>_xll.qlInstrumentSetPricingEngine(O330,OisEngine)</f>
        <v>1</v>
      </c>
      <c r="Q330" s="188">
        <f>_xll.qlIndexFixing(Currency&amp;IborType&amp;"3M",_xll.qlInterestRateIndexFixingDate(Currency&amp;IborType&amp;"3M",M330),TRUE,AllTriggers)</f>
        <v>4.7433181526909875E-2</v>
      </c>
      <c r="R330" s="188">
        <f>_xll.qlOvernightIndexedSwapFairRate(O330,AllTriggers)</f>
        <v>4.4813569533336206E-2</v>
      </c>
      <c r="S330" s="190">
        <f t="shared" si="7"/>
        <v>2.6196119935736686E-3</v>
      </c>
    </row>
    <row r="331" spans="5:19" ht="11.25" customHeight="1" x14ac:dyDescent="0.2">
      <c r="E331" s="182"/>
      <c r="F331" s="182"/>
      <c r="G331" s="181"/>
      <c r="J331" s="181"/>
      <c r="K331" s="181"/>
      <c r="M331" s="196">
        <f>_xll.qlCalendarAdvance(Calendar,M330,"1M","f",,Trigger)</f>
        <v>52152</v>
      </c>
      <c r="N331" s="187">
        <f>_xll.qlInterestRateIndexMaturity("AUDBBSW3M",M331)</f>
        <v>52244</v>
      </c>
      <c r="O331" s="189" t="str">
        <f>_xll.qlMakeDatedOIS(,M331,N331,OvernightIndex,0,,,,EvaluationDate)</f>
        <v>obj_0038e#0000</v>
      </c>
      <c r="P331" s="189" t="b">
        <f>_xll.qlInstrumentSetPricingEngine(O331,OisEngine)</f>
        <v>1</v>
      </c>
      <c r="Q331" s="188">
        <f>_xll.qlIndexFixing(Currency&amp;IborType&amp;"3M",_xll.qlInterestRateIndexFixingDate(Currency&amp;IborType&amp;"3M",M331),TRUE,AllTriggers)</f>
        <v>4.7432754040391503E-2</v>
      </c>
      <c r="R331" s="188">
        <f>_xll.qlOvernightIndexedSwapFairRate(O331,AllTriggers)</f>
        <v>4.4819923758089249E-2</v>
      </c>
      <c r="S331" s="190">
        <f t="shared" si="7"/>
        <v>2.6128302823022545E-3</v>
      </c>
    </row>
    <row r="332" spans="5:19" ht="11.25" customHeight="1" x14ac:dyDescent="0.2">
      <c r="E332" s="182"/>
      <c r="F332" s="182"/>
      <c r="G332" s="181"/>
      <c r="J332" s="181"/>
      <c r="K332" s="181"/>
      <c r="M332" s="196">
        <f>_xll.qlCalendarAdvance(Calendar,M331,"1M","f",,Trigger)</f>
        <v>52183</v>
      </c>
      <c r="N332" s="187">
        <f>_xll.qlInterestRateIndexMaturity("AUDBBSW3M",M332)</f>
        <v>52275</v>
      </c>
      <c r="O332" s="189" t="str">
        <f>_xll.qlMakeDatedOIS(,M332,N332,OvernightIndex,0,,,,EvaluationDate)</f>
        <v>obj_0037d#0000</v>
      </c>
      <c r="P332" s="189" t="b">
        <f>_xll.qlInstrumentSetPricingEngine(O332,OisEngine)</f>
        <v>1</v>
      </c>
      <c r="Q332" s="188">
        <f>_xll.qlIndexFixing(Currency&amp;IborType&amp;"3M",_xll.qlInterestRateIndexFixingDate(Currency&amp;IborType&amp;"3M",M332),TRUE,AllTriggers)</f>
        <v>4.7429574789188841E-2</v>
      </c>
      <c r="R332" s="188">
        <f>_xll.qlOvernightIndexedSwapFairRate(O332,AllTriggers)</f>
        <v>4.4823173672927361E-2</v>
      </c>
      <c r="S332" s="190">
        <f t="shared" si="7"/>
        <v>2.6064011162614809E-3</v>
      </c>
    </row>
    <row r="333" spans="5:19" ht="11.25" customHeight="1" x14ac:dyDescent="0.2">
      <c r="E333" s="182"/>
      <c r="F333" s="182"/>
      <c r="G333" s="181"/>
      <c r="J333" s="181"/>
      <c r="K333" s="181"/>
      <c r="M333" s="196">
        <f>_xll.qlCalendarAdvance(Calendar,M332,"1M","f",,Trigger)</f>
        <v>52215</v>
      </c>
      <c r="N333" s="187">
        <f>_xll.qlInterestRateIndexMaturity("AUDBBSW3M",M333)</f>
        <v>52303</v>
      </c>
      <c r="O333" s="189" t="str">
        <f>_xll.qlMakeDatedOIS(,M333,N333,OvernightIndex,0,,,,EvaluationDate)</f>
        <v>obj_002f8#0000</v>
      </c>
      <c r="P333" s="189" t="b">
        <f>_xll.qlInstrumentSetPricingEngine(O333,OisEngine)</f>
        <v>1</v>
      </c>
      <c r="Q333" s="188">
        <f>_xll.qlIndexFixing(Currency&amp;IborType&amp;"3M",_xll.qlInterestRateIndexFixingDate(Currency&amp;IborType&amp;"3M",M333),TRUE,AllTriggers)</f>
        <v>4.7414366325811301E-2</v>
      </c>
      <c r="R333" s="188">
        <f>_xll.qlOvernightIndexedSwapFairRate(O333,AllTriggers)</f>
        <v>4.481505441255574E-2</v>
      </c>
      <c r="S333" s="190">
        <f t="shared" si="7"/>
        <v>2.5993119132555614E-3</v>
      </c>
    </row>
    <row r="334" spans="5:19" ht="11.25" customHeight="1" x14ac:dyDescent="0.2">
      <c r="E334" s="182"/>
      <c r="F334" s="182"/>
      <c r="G334" s="181"/>
      <c r="J334" s="181"/>
      <c r="K334" s="181"/>
      <c r="M334" s="196">
        <f>_xll.qlCalendarAdvance(Calendar,M333,"1M","f",,Trigger)</f>
        <v>52246</v>
      </c>
      <c r="N334" s="187">
        <f>_xll.qlInterestRateIndexMaturity("AUDBBSW3M",M334)</f>
        <v>52336</v>
      </c>
      <c r="O334" s="189" t="str">
        <f>_xll.qlMakeDatedOIS(,M334,N334,OvernightIndex,0,,,,EvaluationDate)</f>
        <v>obj_0028a#0000</v>
      </c>
      <c r="P334" s="189" t="b">
        <f>_xll.qlInstrumentSetPricingEngine(O334,OisEngine)</f>
        <v>1</v>
      </c>
      <c r="Q334" s="188">
        <f>_xll.qlIndexFixing(Currency&amp;IborType&amp;"3M",_xll.qlInterestRateIndexFixingDate(Currency&amp;IborType&amp;"3M",M334),TRUE,AllTriggers)</f>
        <v>4.7417540203823223E-2</v>
      </c>
      <c r="R334" s="188">
        <f>_xll.qlOvernightIndexedSwapFairRate(O334,AllTriggers)</f>
        <v>4.4823641911601264E-2</v>
      </c>
      <c r="S334" s="190">
        <f t="shared" si="7"/>
        <v>2.5938982922219592E-3</v>
      </c>
    </row>
    <row r="335" spans="5:19" ht="11.25" customHeight="1" x14ac:dyDescent="0.2">
      <c r="E335" s="182"/>
      <c r="F335" s="182"/>
      <c r="G335" s="181"/>
      <c r="J335" s="181"/>
      <c r="K335" s="181"/>
      <c r="M335" s="196">
        <f>_xll.qlCalendarAdvance(Calendar,M334,"1M","f",,Trigger)</f>
        <v>52278</v>
      </c>
      <c r="N335" s="187">
        <f>_xll.qlInterestRateIndexMaturity("AUDBBSW3M",M335)</f>
        <v>52369</v>
      </c>
      <c r="O335" s="189" t="str">
        <f>_xll.qlMakeDatedOIS(,M335,N335,OvernightIndex,0,,,,EvaluationDate)</f>
        <v>obj_002ea#0000</v>
      </c>
      <c r="P335" s="189" t="b">
        <f>_xll.qlInstrumentSetPricingEngine(O335,OisEngine)</f>
        <v>1</v>
      </c>
      <c r="Q335" s="188">
        <f>_xll.qlIndexFixing(Currency&amp;IborType&amp;"3M",_xll.qlInterestRateIndexFixingDate(Currency&amp;IborType&amp;"3M",M335),TRUE,AllTriggers)</f>
        <v>4.7417766324328925E-2</v>
      </c>
      <c r="R335" s="188">
        <f>_xll.qlOvernightIndexedSwapFairRate(O335,AllTriggers)</f>
        <v>4.4829327467478801E-2</v>
      </c>
      <c r="S335" s="190">
        <f t="shared" si="7"/>
        <v>2.588438856850124E-3</v>
      </c>
    </row>
    <row r="336" spans="5:19" ht="11.25" customHeight="1" x14ac:dyDescent="0.2">
      <c r="E336" s="182"/>
      <c r="F336" s="182"/>
      <c r="G336" s="181"/>
      <c r="J336" s="181"/>
      <c r="K336" s="181"/>
      <c r="M336" s="196">
        <f>_xll.qlCalendarAdvance(Calendar,M335,"1M","f",,Trigger)</f>
        <v>52306</v>
      </c>
      <c r="N336" s="187">
        <f>_xll.qlInterestRateIndexMaturity("AUDBBSW3M",M336)</f>
        <v>52398</v>
      </c>
      <c r="O336" s="189" t="str">
        <f>_xll.qlMakeDatedOIS(,M336,N336,OvernightIndex,0,,,,EvaluationDate)</f>
        <v>obj_0035e#0000</v>
      </c>
      <c r="P336" s="189" t="b">
        <f>_xll.qlInstrumentSetPricingEngine(O336,OisEngine)</f>
        <v>1</v>
      </c>
      <c r="Q336" s="188">
        <f>_xll.qlIndexFixing(Currency&amp;IborType&amp;"3M",_xll.qlInterestRateIndexFixingDate(Currency&amp;IborType&amp;"3M",M336),TRUE,AllTriggers)</f>
        <v>4.7418481601806485E-2</v>
      </c>
      <c r="R336" s="188">
        <f>_xll.qlOvernightIndexedSwapFairRate(O336,AllTriggers)</f>
        <v>4.4834513464122115E-2</v>
      </c>
      <c r="S336" s="190">
        <f t="shared" si="7"/>
        <v>2.5839681376843698E-3</v>
      </c>
    </row>
    <row r="337" spans="5:19" ht="11.25" customHeight="1" x14ac:dyDescent="0.2">
      <c r="E337" s="182"/>
      <c r="F337" s="182"/>
      <c r="G337" s="181"/>
      <c r="J337" s="181"/>
      <c r="K337" s="181"/>
      <c r="M337" s="196">
        <f>_xll.qlCalendarAdvance(Calendar,M336,"1M","f",,Trigger)</f>
        <v>52337</v>
      </c>
      <c r="N337" s="187">
        <f>_xll.qlInterestRateIndexMaturity("AUDBBSW3M",M337)</f>
        <v>52428</v>
      </c>
      <c r="O337" s="189" t="str">
        <f>_xll.qlMakeDatedOIS(,M337,N337,OvernightIndex,0,,,,EvaluationDate)</f>
        <v>obj_002d0#0000</v>
      </c>
      <c r="P337" s="189" t="b">
        <f>_xll.qlInstrumentSetPricingEngine(O337,OisEngine)</f>
        <v>1</v>
      </c>
      <c r="Q337" s="188">
        <f>_xll.qlIndexFixing(Currency&amp;IborType&amp;"3M",_xll.qlInterestRateIndexFixingDate(Currency&amp;IborType&amp;"3M",M337),TRUE,AllTriggers)</f>
        <v>4.7413038107910366E-2</v>
      </c>
      <c r="R337" s="188">
        <f>_xll.qlOvernightIndexedSwapFairRate(O337,AllTriggers)</f>
        <v>4.4834160832409951E-2</v>
      </c>
      <c r="S337" s="190">
        <f t="shared" si="7"/>
        <v>2.5788772755004144E-3</v>
      </c>
    </row>
    <row r="338" spans="5:19" ht="11.25" customHeight="1" x14ac:dyDescent="0.2">
      <c r="E338" s="182"/>
      <c r="F338" s="182"/>
      <c r="G338" s="181"/>
      <c r="J338" s="181"/>
      <c r="K338" s="181"/>
      <c r="M338" s="196">
        <f>_xll.qlCalendarAdvance(Calendar,M337,"1M","f",,Trigger)</f>
        <v>52369</v>
      </c>
      <c r="N338" s="187">
        <f>_xll.qlInterestRateIndexMaturity("AUDBBSW3M",M338)</f>
        <v>52461</v>
      </c>
      <c r="O338" s="189" t="str">
        <f>_xll.qlMakeDatedOIS(,M338,N338,OvernightIndex,0,,,,EvaluationDate)</f>
        <v>obj_0039c#0000</v>
      </c>
      <c r="P338" s="189" t="b">
        <f>_xll.qlInstrumentSetPricingEngine(O338,OisEngine)</f>
        <v>1</v>
      </c>
      <c r="Q338" s="188">
        <f>_xll.qlIndexFixing(Currency&amp;IborType&amp;"3M",_xll.qlInterestRateIndexFixingDate(Currency&amp;IborType&amp;"3M",M338),TRUE,AllTriggers)</f>
        <v>4.7413740811292467E-2</v>
      </c>
      <c r="R338" s="188">
        <f>_xll.qlOvernightIndexedSwapFairRate(O338,AllTriggers)</f>
        <v>4.4839359662840958E-2</v>
      </c>
      <c r="S338" s="190">
        <f t="shared" si="7"/>
        <v>2.5743811484515086E-3</v>
      </c>
    </row>
    <row r="339" spans="5:19" ht="11.25" customHeight="1" x14ac:dyDescent="0.2">
      <c r="E339" s="182"/>
      <c r="F339" s="182"/>
      <c r="G339" s="181"/>
      <c r="J339" s="181"/>
      <c r="K339" s="181"/>
      <c r="M339" s="196">
        <f>_xll.qlCalendarAdvance(Calendar,M338,"1M","f",,Trigger)</f>
        <v>52400</v>
      </c>
      <c r="N339" s="187">
        <f>_xll.qlInterestRateIndexMaturity("AUDBBSW3M",M339)</f>
        <v>52492</v>
      </c>
      <c r="O339" s="189" t="str">
        <f>_xll.qlMakeDatedOIS(,M339,N339,OvernightIndex,0,,,,EvaluationDate)</f>
        <v>obj_00330#0000</v>
      </c>
      <c r="P339" s="189" t="b">
        <f>_xll.qlInstrumentSetPricingEngine(O339,OisEngine)</f>
        <v>1</v>
      </c>
      <c r="Q339" s="188">
        <f>_xll.qlIndexFixing(Currency&amp;IborType&amp;"3M",_xll.qlInterestRateIndexFixingDate(Currency&amp;IborType&amp;"3M",M339),TRUE,AllTriggers)</f>
        <v>4.7411642067021101E-2</v>
      </c>
      <c r="R339" s="188">
        <f>_xll.qlOvernightIndexedSwapFairRate(O339,AllTriggers)</f>
        <v>4.4841505074962831E-2</v>
      </c>
      <c r="S339" s="190">
        <f t="shared" si="7"/>
        <v>2.5701369920582695E-3</v>
      </c>
    </row>
    <row r="340" spans="5:19" ht="11.25" customHeight="1" x14ac:dyDescent="0.2">
      <c r="E340" s="182"/>
      <c r="F340" s="182"/>
      <c r="G340" s="181"/>
      <c r="J340" s="181"/>
      <c r="K340" s="181"/>
      <c r="M340" s="196">
        <f>_xll.qlCalendarAdvance(Calendar,M339,"1M","f",,Trigger)</f>
        <v>52432</v>
      </c>
      <c r="N340" s="187">
        <f>_xll.qlInterestRateIndexMaturity("AUDBBSW3M",M340)</f>
        <v>52524</v>
      </c>
      <c r="O340" s="189" t="str">
        <f>_xll.qlMakeDatedOIS(,M340,N340,OvernightIndex,0,,,,EvaluationDate)</f>
        <v>obj_0037c#0000</v>
      </c>
      <c r="P340" s="189" t="b">
        <f>_xll.qlInstrumentSetPricingEngine(O340,OisEngine)</f>
        <v>1</v>
      </c>
      <c r="Q340" s="188">
        <f>_xll.qlIndexFixing(Currency&amp;IborType&amp;"3M",_xll.qlInterestRateIndexFixingDate(Currency&amp;IborType&amp;"3M",M340),TRUE,AllTriggers)</f>
        <v>4.7409637527543465E-2</v>
      </c>
      <c r="R340" s="188">
        <f>_xll.qlOvernightIndexedSwapFairRate(O340,AllTriggers)</f>
        <v>4.4843554189681598E-2</v>
      </c>
      <c r="S340" s="190">
        <f t="shared" si="7"/>
        <v>2.5660833378618672E-3</v>
      </c>
    </row>
    <row r="341" spans="5:19" ht="11.25" customHeight="1" x14ac:dyDescent="0.2">
      <c r="E341" s="182"/>
      <c r="F341" s="182"/>
      <c r="G341" s="181"/>
      <c r="J341" s="181"/>
      <c r="K341" s="181"/>
      <c r="M341" s="196">
        <f>_xll.qlCalendarAdvance(Calendar,M340,"1M","f",,Trigger)</f>
        <v>52463</v>
      </c>
      <c r="N341" s="187">
        <f>_xll.qlInterestRateIndexMaturity("AUDBBSW3M",M341)</f>
        <v>52555</v>
      </c>
      <c r="O341" s="189" t="str">
        <f>_xll.qlMakeDatedOIS(,M341,N341,OvernightIndex,0,,,,EvaluationDate)</f>
        <v>obj_002f7#0000</v>
      </c>
      <c r="P341" s="189" t="b">
        <f>_xll.qlInstrumentSetPricingEngine(O341,OisEngine)</f>
        <v>1</v>
      </c>
      <c r="Q341" s="188">
        <f>_xll.qlIndexFixing(Currency&amp;IborType&amp;"3M",_xll.qlInterestRateIndexFixingDate(Currency&amp;IborType&amp;"3M",M341),TRUE,AllTriggers)</f>
        <v>4.7407852476342868E-2</v>
      </c>
      <c r="R341" s="188">
        <f>_xll.qlOvernightIndexedSwapFairRate(O341,AllTriggers)</f>
        <v>4.4845378937083478E-2</v>
      </c>
      <c r="S341" s="190">
        <f t="shared" si="7"/>
        <v>2.5624735392593898E-3</v>
      </c>
    </row>
    <row r="342" spans="5:19" ht="11.25" customHeight="1" x14ac:dyDescent="0.2">
      <c r="E342" s="182"/>
      <c r="F342" s="182"/>
      <c r="G342" s="181"/>
      <c r="J342" s="181"/>
      <c r="K342" s="181"/>
      <c r="M342" s="196">
        <f>_xll.qlCalendarAdvance(Calendar,M341,"1M","f",,Trigger)</f>
        <v>52495</v>
      </c>
      <c r="N342" s="187">
        <f>_xll.qlInterestRateIndexMaturity("AUDBBSW3M",M342)</f>
        <v>52586</v>
      </c>
      <c r="O342" s="189" t="str">
        <f>_xll.qlMakeDatedOIS(,M342,N342,OvernightIndex,0,,,,EvaluationDate)</f>
        <v>obj_00289#0000</v>
      </c>
      <c r="P342" s="189" t="b">
        <f>_xll.qlInstrumentSetPricingEngine(O342,OisEngine)</f>
        <v>1</v>
      </c>
      <c r="Q342" s="188">
        <f>_xll.qlIndexFixing(Currency&amp;IborType&amp;"3M",_xll.qlInterestRateIndexFixingDate(Currency&amp;IborType&amp;"3M",M342),TRUE,AllTriggers)</f>
        <v>4.7403129283525122E-2</v>
      </c>
      <c r="R342" s="188">
        <f>_xll.qlOvernightIndexedSwapFairRate(O342,AllTriggers)</f>
        <v>4.4844290051546373E-2</v>
      </c>
      <c r="S342" s="190">
        <f t="shared" si="7"/>
        <v>2.558839231978749E-3</v>
      </c>
    </row>
    <row r="343" spans="5:19" ht="11.25" customHeight="1" x14ac:dyDescent="0.2">
      <c r="E343" s="182"/>
      <c r="F343" s="182"/>
      <c r="G343" s="181"/>
      <c r="J343" s="181"/>
      <c r="K343" s="181"/>
      <c r="M343" s="196">
        <f>_xll.qlCalendarAdvance(Calendar,M342,"1M","f",,Trigger)</f>
        <v>52525</v>
      </c>
      <c r="N343" s="187">
        <f>_xll.qlInterestRateIndexMaturity("AUDBBSW3M",M343)</f>
        <v>52617</v>
      </c>
      <c r="O343" s="189" t="str">
        <f>_xll.qlMakeDatedOIS(,M343,N343,OvernightIndex,0,,,,EvaluationDate)</f>
        <v>obj_003c9#0000</v>
      </c>
      <c r="P343" s="189" t="b">
        <f>_xll.qlInstrumentSetPricingEngine(O343,OisEngine)</f>
        <v>1</v>
      </c>
      <c r="Q343" s="188">
        <f>_xll.qlIndexFixing(Currency&amp;IborType&amp;"3M",_xll.qlInterestRateIndexFixingDate(Currency&amp;IborType&amp;"3M",M343),TRUE,AllTriggers)</f>
        <v>4.7404745443509484E-2</v>
      </c>
      <c r="R343" s="188">
        <f>_xll.qlOvernightIndexedSwapFairRate(O343,AllTriggers)</f>
        <v>4.4848555068457911E-2</v>
      </c>
      <c r="S343" s="190">
        <f t="shared" si="7"/>
        <v>2.556190375051573E-3</v>
      </c>
    </row>
    <row r="344" spans="5:19" ht="11.25" customHeight="1" x14ac:dyDescent="0.2">
      <c r="E344" s="182"/>
      <c r="F344" s="182"/>
      <c r="G344" s="181"/>
      <c r="J344" s="181"/>
      <c r="K344" s="181"/>
      <c r="M344" s="196">
        <f>_xll.qlCalendarAdvance(Calendar,M343,"1M","f",,Trigger)</f>
        <v>52558</v>
      </c>
      <c r="N344" s="187">
        <f>_xll.qlInterestRateIndexMaturity("AUDBBSW3M",M344)</f>
        <v>52650</v>
      </c>
      <c r="O344" s="189" t="str">
        <f>_xll.qlMakeDatedOIS(,M344,N344,OvernightIndex,0,,,,EvaluationDate)</f>
        <v>obj_003bb#0000</v>
      </c>
      <c r="P344" s="189" t="b">
        <f>_xll.qlInstrumentSetPricingEngine(O344,OisEngine)</f>
        <v>1</v>
      </c>
      <c r="Q344" s="188">
        <f>_xll.qlIndexFixing(Currency&amp;IborType&amp;"3M",_xll.qlInterestRateIndexFixingDate(Currency&amp;IborType&amp;"3M",M344),TRUE,AllTriggers)</f>
        <v>4.7403343472828777E-2</v>
      </c>
      <c r="R344" s="188">
        <f>_xll.qlOvernightIndexedSwapFairRate(O344,AllTriggers)</f>
        <v>4.4849988219763361E-2</v>
      </c>
      <c r="S344" s="190">
        <f t="shared" si="7"/>
        <v>2.5533552530654161E-3</v>
      </c>
    </row>
    <row r="345" spans="5:19" ht="11.25" customHeight="1" x14ac:dyDescent="0.2">
      <c r="E345" s="182"/>
      <c r="F345" s="182"/>
      <c r="G345" s="181"/>
      <c r="J345" s="181"/>
      <c r="K345" s="181"/>
      <c r="M345" s="196">
        <f>_xll.qlCalendarAdvance(Calendar,M344,"1M","f",,Trigger)</f>
        <v>52588</v>
      </c>
      <c r="N345" s="187">
        <f>_xll.qlInterestRateIndexMaturity("AUDBBSW3M",M345)</f>
        <v>52679</v>
      </c>
      <c r="O345" s="189" t="str">
        <f>_xll.qlMakeDatedOIS(,M345,N345,OvernightIndex,0,,,,EvaluationDate)</f>
        <v>obj_00351#0000</v>
      </c>
      <c r="P345" s="189" t="b">
        <f>_xll.qlInstrumentSetPricingEngine(O345,OisEngine)</f>
        <v>1</v>
      </c>
      <c r="Q345" s="188">
        <f>_xll.qlIndexFixing(Currency&amp;IborType&amp;"3M",_xll.qlInterestRateIndexFixingDate(Currency&amp;IborType&amp;"3M",M345),TRUE,AllTriggers)</f>
        <v>4.7399171317274016E-2</v>
      </c>
      <c r="R345" s="188">
        <f>_xll.qlOvernightIndexedSwapFairRate(O345,AllTriggers)</f>
        <v>4.4848336066032453E-2</v>
      </c>
      <c r="S345" s="190">
        <f t="shared" si="7"/>
        <v>2.5508352512415636E-3</v>
      </c>
    </row>
    <row r="346" spans="5:19" ht="11.25" customHeight="1" x14ac:dyDescent="0.2">
      <c r="E346" s="182"/>
      <c r="F346" s="182"/>
      <c r="G346" s="181"/>
      <c r="J346" s="181"/>
      <c r="K346" s="181"/>
      <c r="M346" s="196">
        <f>_xll.qlCalendarAdvance(Calendar,M345,"1M","f",,Trigger)</f>
        <v>52621</v>
      </c>
      <c r="N346" s="187">
        <f>_xll.qlInterestRateIndexMaturity("AUDBBSW3M",M346)</f>
        <v>52713</v>
      </c>
      <c r="O346" s="189" t="str">
        <f>_xll.qlMakeDatedOIS(,M346,N346,OvernightIndex,0,,,,EvaluationDate)</f>
        <v>obj_00340#0000</v>
      </c>
      <c r="P346" s="189" t="b">
        <f>_xll.qlInstrumentSetPricingEngine(O346,OisEngine)</f>
        <v>1</v>
      </c>
      <c r="Q346" s="188">
        <f>_xll.qlIndexFixing(Currency&amp;IborType&amp;"3M",_xll.qlInterestRateIndexFixingDate(Currency&amp;IborType&amp;"3M",M346),TRUE,AllTriggers)</f>
        <v>4.7401152698863497E-2</v>
      </c>
      <c r="R346" s="188">
        <f>_xll.qlOvernightIndexedSwapFairRate(O346,AllTriggers)</f>
        <v>4.4852227719825284E-2</v>
      </c>
      <c r="S346" s="190">
        <f t="shared" si="7"/>
        <v>2.5489249790382126E-3</v>
      </c>
    </row>
    <row r="347" spans="5:19" ht="11.25" customHeight="1" x14ac:dyDescent="0.2">
      <c r="E347" s="182"/>
      <c r="F347" s="182"/>
      <c r="G347" s="181"/>
      <c r="J347" s="181"/>
      <c r="K347" s="181"/>
      <c r="M347" s="196">
        <f>_xll.qlCalendarAdvance(Calendar,M346,"1M","f",,Trigger)</f>
        <v>52652</v>
      </c>
      <c r="N347" s="187">
        <f>_xll.qlInterestRateIndexMaturity("AUDBBSW3M",M347)</f>
        <v>52742</v>
      </c>
      <c r="O347" s="189" t="str">
        <f>_xll.qlMakeDatedOIS(,M347,N347,OvernightIndex,0,,,,EvaluationDate)</f>
        <v>obj_002ba#0000</v>
      </c>
      <c r="P347" s="189" t="b">
        <f>_xll.qlInstrumentSetPricingEngine(O347,OisEngine)</f>
        <v>1</v>
      </c>
      <c r="Q347" s="188">
        <f>_xll.qlIndexFixing(Currency&amp;IborType&amp;"3M",_xll.qlInterestRateIndexFixingDate(Currency&amp;IborType&amp;"3M",M347),TRUE,AllTriggers)</f>
        <v>4.7394200406568825E-2</v>
      </c>
      <c r="R347" s="188">
        <f>_xll.qlOvernightIndexedSwapFairRate(O347,AllTriggers)</f>
        <v>4.4847500954582564E-2</v>
      </c>
      <c r="S347" s="190">
        <f t="shared" si="7"/>
        <v>2.5466994519862604E-3</v>
      </c>
    </row>
    <row r="348" spans="5:19" ht="11.25" customHeight="1" x14ac:dyDescent="0.2">
      <c r="E348" s="182"/>
      <c r="F348" s="182"/>
      <c r="G348" s="181"/>
      <c r="J348" s="181"/>
      <c r="K348" s="181"/>
      <c r="M348" s="196">
        <f>_xll.qlCalendarAdvance(Calendar,M347,"1M","f",,Trigger)</f>
        <v>52681</v>
      </c>
      <c r="N348" s="187">
        <f>_xll.qlInterestRateIndexMaturity("AUDBBSW3M",M348)</f>
        <v>52775</v>
      </c>
      <c r="O348" s="189" t="str">
        <f>_xll.qlMakeDatedOIS(,M348,N348,OvernightIndex,0,,,,EvaluationDate)</f>
        <v>obj_0037b#0000</v>
      </c>
      <c r="P348" s="189" t="b">
        <f>_xll.qlInstrumentSetPricingEngine(O348,OisEngine)</f>
        <v>1</v>
      </c>
      <c r="Q348" s="188">
        <f>_xll.qlIndexFixing(Currency&amp;IborType&amp;"3M",_xll.qlInterestRateIndexFixingDate(Currency&amp;IborType&amp;"3M",M348),TRUE,AllTriggers)</f>
        <v>4.7405773001501721E-2</v>
      </c>
      <c r="R348" s="188">
        <f>_xll.qlOvernightIndexedSwapFairRate(O348,AllTriggers)</f>
        <v>4.4859340336732147E-2</v>
      </c>
      <c r="S348" s="190">
        <f t="shared" si="7"/>
        <v>2.546432664769574E-3</v>
      </c>
    </row>
    <row r="349" spans="5:19" ht="11.25" customHeight="1" x14ac:dyDescent="0.2">
      <c r="E349" s="182"/>
      <c r="F349" s="182"/>
      <c r="G349" s="181"/>
      <c r="J349" s="181"/>
      <c r="K349" s="181"/>
      <c r="M349" s="196">
        <f>_xll.qlCalendarAdvance(Calendar,M348,"1M","f",,Trigger)</f>
        <v>52713</v>
      </c>
      <c r="N349" s="187">
        <f>_xll.qlInterestRateIndexMaturity("AUDBBSW3M",M349)</f>
        <v>52804</v>
      </c>
      <c r="O349" s="189" t="str">
        <f>_xll.qlMakeDatedOIS(,M349,N349,OvernightIndex,0,,,,EvaluationDate)</f>
        <v>obj_00288#0000</v>
      </c>
      <c r="P349" s="189" t="b">
        <f>_xll.qlInstrumentSetPricingEngine(O349,OisEngine)</f>
        <v>1</v>
      </c>
      <c r="Q349" s="188">
        <f>_xll.qlIndexFixing(Currency&amp;IborType&amp;"3M",_xll.qlInterestRateIndexFixingDate(Currency&amp;IborType&amp;"3M",M349),TRUE,AllTriggers)</f>
        <v>4.7396039636425927E-2</v>
      </c>
      <c r="R349" s="188">
        <f>_xll.qlOvernightIndexedSwapFairRate(O349,AllTriggers)</f>
        <v>4.4851537419408255E-2</v>
      </c>
      <c r="S349" s="190">
        <f t="shared" si="7"/>
        <v>2.5445022170176718E-3</v>
      </c>
    </row>
    <row r="350" spans="5:19" ht="11.25" customHeight="1" x14ac:dyDescent="0.2">
      <c r="E350" s="182"/>
      <c r="F350" s="182"/>
      <c r="G350" s="181"/>
      <c r="J350" s="181"/>
      <c r="K350" s="181"/>
      <c r="M350" s="196">
        <f>_xll.qlCalendarAdvance(Calendar,M349,"1M","f",,Trigger)</f>
        <v>52743</v>
      </c>
      <c r="N350" s="187">
        <f>_xll.qlInterestRateIndexMaturity("AUDBBSW3M",M350)</f>
        <v>52835</v>
      </c>
      <c r="O350" s="189" t="str">
        <f>_xll.qlMakeDatedOIS(,M350,N350,OvernightIndex,0,,,,EvaluationDate)</f>
        <v>obj_002f6#0000</v>
      </c>
      <c r="P350" s="189" t="b">
        <f>_xll.qlInstrumentSetPricingEngine(O350,OisEngine)</f>
        <v>1</v>
      </c>
      <c r="Q350" s="188">
        <f>_xll.qlIndexFixing(Currency&amp;IborType&amp;"3M",_xll.qlInterestRateIndexFixingDate(Currency&amp;IborType&amp;"3M",M350),TRUE,AllTriggers)</f>
        <v>4.7398722843703937E-2</v>
      </c>
      <c r="R350" s="188">
        <f>_xll.qlOvernightIndexedSwapFairRate(O350,AllTriggers)</f>
        <v>4.4854711621520035E-2</v>
      </c>
      <c r="S350" s="190">
        <f t="shared" si="7"/>
        <v>2.544011222183902E-3</v>
      </c>
    </row>
    <row r="351" spans="5:19" ht="11.25" customHeight="1" x14ac:dyDescent="0.2">
      <c r="E351" s="182"/>
      <c r="F351" s="182"/>
      <c r="G351" s="181"/>
      <c r="J351" s="181"/>
      <c r="K351" s="181"/>
    </row>
    <row r="352" spans="5:19" ht="11.25" customHeight="1" x14ac:dyDescent="0.2">
      <c r="E352" s="182"/>
      <c r="F352" s="182"/>
      <c r="G352" s="181"/>
      <c r="J352" s="181"/>
      <c r="K352" s="181"/>
    </row>
    <row r="353" spans="5:11" ht="11.25" customHeight="1" x14ac:dyDescent="0.2">
      <c r="E353" s="182"/>
      <c r="F353" s="182"/>
      <c r="G353" s="181"/>
      <c r="J353" s="181"/>
      <c r="K353" s="181"/>
    </row>
    <row r="354" spans="5:11" ht="11.25" customHeight="1" x14ac:dyDescent="0.2">
      <c r="E354" s="182"/>
      <c r="F354" s="182"/>
      <c r="G354" s="181"/>
      <c r="J354" s="181"/>
      <c r="K354" s="181"/>
    </row>
    <row r="355" spans="5:11" ht="11.25" customHeight="1" x14ac:dyDescent="0.2">
      <c r="E355" s="182"/>
      <c r="F355" s="182"/>
      <c r="G355" s="181"/>
      <c r="J355" s="181"/>
      <c r="K355" s="181"/>
    </row>
    <row r="356" spans="5:11" ht="11.25" customHeight="1" x14ac:dyDescent="0.2">
      <c r="E356" s="182"/>
      <c r="F356" s="182"/>
      <c r="G356" s="181"/>
      <c r="J356" s="181"/>
      <c r="K356" s="181"/>
    </row>
    <row r="357" spans="5:11" ht="11.25" customHeight="1" x14ac:dyDescent="0.2">
      <c r="E357" s="182"/>
      <c r="F357" s="182"/>
      <c r="G357" s="181"/>
      <c r="J357" s="181"/>
      <c r="K357" s="181"/>
    </row>
    <row r="358" spans="5:11" ht="11.25" customHeight="1" x14ac:dyDescent="0.2">
      <c r="E358" s="182"/>
      <c r="F358" s="182"/>
      <c r="G358" s="181"/>
      <c r="J358" s="181"/>
      <c r="K358" s="181"/>
    </row>
    <row r="359" spans="5:11" ht="11.25" customHeight="1" x14ac:dyDescent="0.2">
      <c r="E359" s="182"/>
      <c r="F359" s="182"/>
      <c r="G359" s="181"/>
      <c r="J359" s="181"/>
      <c r="K359" s="181"/>
    </row>
    <row r="360" spans="5:11" ht="11.25" customHeight="1" x14ac:dyDescent="0.2">
      <c r="E360" s="182"/>
      <c r="F360" s="182"/>
      <c r="G360" s="181"/>
      <c r="J360" s="181"/>
      <c r="K360" s="181"/>
    </row>
    <row r="361" spans="5:11" ht="11.25" customHeight="1" x14ac:dyDescent="0.2">
      <c r="E361" s="182"/>
      <c r="F361" s="182"/>
      <c r="G361" s="181"/>
      <c r="J361" s="181"/>
      <c r="K361" s="181"/>
    </row>
    <row r="362" spans="5:11" ht="11.25" customHeight="1" x14ac:dyDescent="0.2">
      <c r="E362" s="182"/>
      <c r="F362" s="182"/>
      <c r="G362" s="181"/>
      <c r="J362" s="181"/>
      <c r="K362" s="181"/>
    </row>
    <row r="363" spans="5:11" ht="11.25" customHeight="1" x14ac:dyDescent="0.2">
      <c r="E363" s="182"/>
      <c r="F363" s="182"/>
      <c r="G363" s="181"/>
      <c r="J363" s="181"/>
      <c r="K363" s="181"/>
    </row>
    <row r="364" spans="5:11" ht="11.25" customHeight="1" x14ac:dyDescent="0.2">
      <c r="E364" s="182"/>
      <c r="F364" s="182"/>
      <c r="G364" s="181"/>
      <c r="J364" s="181"/>
      <c r="K364" s="181"/>
    </row>
    <row r="365" spans="5:11" ht="11.25" customHeight="1" x14ac:dyDescent="0.2">
      <c r="E365" s="182"/>
      <c r="F365" s="182"/>
      <c r="G365" s="181"/>
      <c r="J365" s="181"/>
      <c r="K365" s="181"/>
    </row>
    <row r="366" spans="5:11" ht="11.25" customHeight="1" x14ac:dyDescent="0.2">
      <c r="E366" s="182"/>
      <c r="F366" s="182"/>
      <c r="G366" s="181"/>
      <c r="J366" s="181"/>
      <c r="K366" s="181"/>
    </row>
    <row r="367" spans="5:11" ht="11.25" customHeight="1" x14ac:dyDescent="0.2">
      <c r="E367" s="182"/>
      <c r="F367" s="182"/>
      <c r="G367" s="181"/>
      <c r="J367" s="181"/>
      <c r="K367" s="181"/>
    </row>
    <row r="368" spans="5:11" ht="11.25" customHeight="1" x14ac:dyDescent="0.2">
      <c r="E368" s="182"/>
      <c r="F368" s="182"/>
      <c r="G368" s="181"/>
      <c r="J368" s="181"/>
      <c r="K368" s="181"/>
    </row>
    <row r="369" spans="5:11" ht="11.25" customHeight="1" x14ac:dyDescent="0.2">
      <c r="E369" s="182"/>
      <c r="F369" s="182"/>
      <c r="G369" s="181"/>
      <c r="J369" s="181"/>
      <c r="K369" s="181"/>
    </row>
    <row r="370" spans="5:11" ht="11.25" customHeight="1" x14ac:dyDescent="0.2">
      <c r="E370" s="182"/>
      <c r="F370" s="182"/>
      <c r="G370" s="181"/>
      <c r="J370" s="181"/>
      <c r="K370" s="181"/>
    </row>
    <row r="371" spans="5:11" ht="11.25" customHeight="1" x14ac:dyDescent="0.2">
      <c r="E371" s="182"/>
      <c r="F371" s="182"/>
      <c r="G371" s="181"/>
      <c r="J371" s="181"/>
      <c r="K371" s="181"/>
    </row>
    <row r="372" spans="5:11" ht="11.25" customHeight="1" x14ac:dyDescent="0.2">
      <c r="E372" s="182"/>
      <c r="F372" s="182"/>
      <c r="G372" s="181"/>
      <c r="J372" s="181"/>
      <c r="K372" s="181"/>
    </row>
    <row r="373" spans="5:11" ht="11.25" customHeight="1" x14ac:dyDescent="0.2">
      <c r="E373" s="182"/>
      <c r="F373" s="182"/>
      <c r="G373" s="181"/>
      <c r="J373" s="181"/>
      <c r="K373" s="181"/>
    </row>
    <row r="374" spans="5:11" ht="11.25" customHeight="1" x14ac:dyDescent="0.2">
      <c r="E374" s="182"/>
      <c r="F374" s="182"/>
      <c r="G374" s="181"/>
      <c r="J374" s="181"/>
      <c r="K374" s="181"/>
    </row>
    <row r="375" spans="5:11" ht="11.25" customHeight="1" x14ac:dyDescent="0.2">
      <c r="E375" s="182"/>
      <c r="F375" s="182"/>
      <c r="G375" s="181"/>
      <c r="J375" s="181"/>
      <c r="K375" s="181"/>
    </row>
    <row r="376" spans="5:11" ht="11.25" customHeight="1" x14ac:dyDescent="0.2">
      <c r="E376" s="182"/>
      <c r="F376" s="182"/>
      <c r="G376" s="181"/>
      <c r="J376" s="181"/>
      <c r="K376" s="181"/>
    </row>
    <row r="377" spans="5:11" ht="11.25" customHeight="1" x14ac:dyDescent="0.2">
      <c r="E377" s="182"/>
      <c r="F377" s="182"/>
      <c r="G377" s="181"/>
      <c r="J377" s="181"/>
      <c r="K377" s="181"/>
    </row>
    <row r="378" spans="5:11" ht="11.25" customHeight="1" x14ac:dyDescent="0.2">
      <c r="E378" s="182"/>
      <c r="F378" s="182"/>
      <c r="G378" s="181"/>
      <c r="J378" s="181"/>
      <c r="K378" s="181"/>
    </row>
    <row r="379" spans="5:11" ht="11.25" customHeight="1" x14ac:dyDescent="0.2">
      <c r="E379" s="182"/>
      <c r="F379" s="182"/>
      <c r="G379" s="181"/>
      <c r="J379" s="181"/>
      <c r="K379" s="181"/>
    </row>
    <row r="380" spans="5:11" ht="11.25" customHeight="1" x14ac:dyDescent="0.2">
      <c r="E380" s="182"/>
      <c r="F380" s="182"/>
      <c r="G380" s="181"/>
      <c r="J380" s="181"/>
      <c r="K380" s="181"/>
    </row>
    <row r="381" spans="5:11" ht="11.25" customHeight="1" x14ac:dyDescent="0.2">
      <c r="E381" s="182"/>
      <c r="F381" s="182"/>
      <c r="G381" s="181"/>
      <c r="J381" s="181"/>
      <c r="K381" s="181"/>
    </row>
    <row r="382" spans="5:11" ht="11.25" customHeight="1" x14ac:dyDescent="0.2">
      <c r="E382" s="182"/>
      <c r="F382" s="182"/>
      <c r="G382" s="181"/>
      <c r="J382" s="181"/>
      <c r="K382" s="181"/>
    </row>
    <row r="383" spans="5:11" ht="11.25" customHeight="1" x14ac:dyDescent="0.2">
      <c r="E383" s="182"/>
      <c r="F383" s="182"/>
      <c r="G383" s="181"/>
      <c r="J383" s="181"/>
      <c r="K383" s="181"/>
    </row>
    <row r="384" spans="5:11" ht="11.25" customHeight="1" x14ac:dyDescent="0.2">
      <c r="E384" s="182"/>
      <c r="F384" s="182"/>
      <c r="G384" s="181"/>
      <c r="J384" s="181"/>
      <c r="K384" s="181"/>
    </row>
    <row r="385" spans="5:11" ht="11.25" customHeight="1" x14ac:dyDescent="0.2">
      <c r="E385" s="182"/>
      <c r="F385" s="182"/>
      <c r="G385" s="181"/>
      <c r="J385" s="181"/>
      <c r="K385" s="181"/>
    </row>
    <row r="386" spans="5:11" ht="11.25" customHeight="1" x14ac:dyDescent="0.2">
      <c r="E386" s="182"/>
      <c r="F386" s="182"/>
      <c r="G386" s="181"/>
      <c r="J386" s="181"/>
      <c r="K386" s="181"/>
    </row>
    <row r="387" spans="5:11" ht="11.25" customHeight="1" x14ac:dyDescent="0.2">
      <c r="E387" s="182"/>
      <c r="F387" s="182"/>
      <c r="G387" s="181"/>
      <c r="J387" s="181"/>
      <c r="K387" s="181"/>
    </row>
    <row r="388" spans="5:11" ht="11.25" customHeight="1" x14ac:dyDescent="0.2">
      <c r="E388" s="182"/>
      <c r="F388" s="182"/>
      <c r="G388" s="181"/>
      <c r="J388" s="181"/>
      <c r="K388" s="181"/>
    </row>
    <row r="389" spans="5:11" ht="11.25" customHeight="1" x14ac:dyDescent="0.2">
      <c r="E389" s="182"/>
      <c r="F389" s="182"/>
      <c r="G389" s="181"/>
      <c r="J389" s="181"/>
      <c r="K389" s="181"/>
    </row>
    <row r="390" spans="5:11" ht="11.25" customHeight="1" x14ac:dyDescent="0.2">
      <c r="E390" s="182"/>
      <c r="F390" s="182"/>
      <c r="G390" s="181"/>
      <c r="J390" s="181"/>
      <c r="K390" s="181"/>
    </row>
    <row r="391" spans="5:11" ht="11.25" customHeight="1" x14ac:dyDescent="0.2">
      <c r="E391" s="182"/>
      <c r="F391" s="182"/>
      <c r="G391" s="181"/>
      <c r="J391" s="181"/>
      <c r="K391" s="181"/>
    </row>
    <row r="392" spans="5:11" ht="11.25" customHeight="1" x14ac:dyDescent="0.2">
      <c r="E392" s="182"/>
      <c r="F392" s="182"/>
      <c r="G392" s="181"/>
      <c r="J392" s="181"/>
      <c r="K392" s="181"/>
    </row>
    <row r="393" spans="5:11" ht="11.25" customHeight="1" x14ac:dyDescent="0.2">
      <c r="E393" s="182"/>
      <c r="F393" s="182"/>
      <c r="G393" s="181"/>
      <c r="J393" s="181"/>
      <c r="K393" s="181"/>
    </row>
    <row r="394" spans="5:11" ht="11.25" customHeight="1" x14ac:dyDescent="0.2">
      <c r="E394" s="182"/>
      <c r="F394" s="182"/>
      <c r="G394" s="181"/>
      <c r="J394" s="181"/>
      <c r="K394" s="181"/>
    </row>
    <row r="395" spans="5:11" ht="11.25" customHeight="1" x14ac:dyDescent="0.2">
      <c r="E395" s="182"/>
      <c r="F395" s="182"/>
      <c r="G395" s="181"/>
      <c r="J395" s="181"/>
      <c r="K395" s="181"/>
    </row>
    <row r="396" spans="5:11" ht="11.25" customHeight="1" x14ac:dyDescent="0.2">
      <c r="E396" s="182"/>
      <c r="F396" s="182"/>
      <c r="G396" s="181"/>
      <c r="J396" s="181"/>
      <c r="K396" s="181"/>
    </row>
    <row r="397" spans="5:11" ht="11.25" customHeight="1" x14ac:dyDescent="0.2">
      <c r="E397" s="182"/>
      <c r="F397" s="182"/>
      <c r="G397" s="181"/>
      <c r="J397" s="181"/>
      <c r="K397" s="181"/>
    </row>
    <row r="398" spans="5:11" ht="11.25" customHeight="1" x14ac:dyDescent="0.2">
      <c r="E398" s="182"/>
      <c r="F398" s="182"/>
      <c r="G398" s="181"/>
      <c r="J398" s="181"/>
      <c r="K398" s="181"/>
    </row>
    <row r="399" spans="5:11" ht="11.25" customHeight="1" x14ac:dyDescent="0.2">
      <c r="E399" s="182"/>
      <c r="F399" s="182"/>
      <c r="G399" s="181"/>
      <c r="J399" s="181"/>
      <c r="K399" s="181"/>
    </row>
    <row r="400" spans="5:11" ht="11.25" customHeight="1" x14ac:dyDescent="0.2">
      <c r="E400" s="182"/>
      <c r="F400" s="182"/>
      <c r="G400" s="181"/>
      <c r="J400" s="181"/>
      <c r="K400" s="181"/>
    </row>
    <row r="401" spans="5:11" ht="11.25" customHeight="1" x14ac:dyDescent="0.2">
      <c r="E401" s="182"/>
      <c r="F401" s="182"/>
      <c r="G401" s="181"/>
      <c r="J401" s="181"/>
      <c r="K401" s="181"/>
    </row>
    <row r="402" spans="5:11" ht="11.25" customHeight="1" x14ac:dyDescent="0.2">
      <c r="E402" s="182"/>
      <c r="F402" s="182"/>
      <c r="G402" s="181"/>
      <c r="J402" s="181"/>
      <c r="K402" s="181"/>
    </row>
    <row r="403" spans="5:11" ht="11.25" customHeight="1" x14ac:dyDescent="0.2">
      <c r="E403" s="182"/>
      <c r="F403" s="182"/>
      <c r="G403" s="181"/>
      <c r="J403" s="181"/>
      <c r="K403" s="181"/>
    </row>
    <row r="404" spans="5:11" ht="11.25" customHeight="1" x14ac:dyDescent="0.2">
      <c r="E404" s="182"/>
      <c r="F404" s="182"/>
      <c r="G404" s="181"/>
      <c r="J404" s="181"/>
      <c r="K404" s="181"/>
    </row>
    <row r="405" spans="5:11" ht="11.25" customHeight="1" x14ac:dyDescent="0.2">
      <c r="E405" s="182"/>
      <c r="F405" s="182"/>
      <c r="G405" s="181"/>
      <c r="J405" s="181"/>
      <c r="K405" s="181"/>
    </row>
    <row r="406" spans="5:11" ht="11.25" customHeight="1" x14ac:dyDescent="0.2">
      <c r="E406" s="182"/>
      <c r="F406" s="182"/>
      <c r="G406" s="181"/>
      <c r="J406" s="181"/>
      <c r="K406" s="181"/>
    </row>
    <row r="407" spans="5:11" ht="11.25" customHeight="1" x14ac:dyDescent="0.2">
      <c r="E407" s="182"/>
      <c r="F407" s="182"/>
      <c r="G407" s="181"/>
      <c r="J407" s="181"/>
      <c r="K407" s="181"/>
    </row>
    <row r="408" spans="5:11" ht="11.25" customHeight="1" x14ac:dyDescent="0.2">
      <c r="E408" s="182"/>
      <c r="F408" s="182"/>
      <c r="G408" s="181"/>
      <c r="J408" s="181"/>
      <c r="K408" s="181"/>
    </row>
    <row r="409" spans="5:11" ht="11.25" customHeight="1" x14ac:dyDescent="0.2">
      <c r="E409" s="182"/>
      <c r="F409" s="182"/>
      <c r="G409" s="181"/>
      <c r="J409" s="181"/>
      <c r="K409" s="181"/>
    </row>
    <row r="410" spans="5:11" ht="11.25" customHeight="1" x14ac:dyDescent="0.2">
      <c r="E410" s="182"/>
      <c r="F410" s="182"/>
      <c r="G410" s="181"/>
      <c r="J410" s="181"/>
      <c r="K410" s="181"/>
    </row>
    <row r="411" spans="5:11" ht="11.25" customHeight="1" x14ac:dyDescent="0.2">
      <c r="E411" s="182"/>
      <c r="F411" s="182"/>
      <c r="G411" s="181"/>
      <c r="J411" s="181"/>
      <c r="K411" s="181"/>
    </row>
    <row r="412" spans="5:11" ht="11.25" customHeight="1" x14ac:dyDescent="0.2">
      <c r="E412" s="182"/>
      <c r="F412" s="182"/>
      <c r="G412" s="181"/>
      <c r="J412" s="181"/>
      <c r="K412" s="181"/>
    </row>
    <row r="413" spans="5:11" ht="11.25" customHeight="1" x14ac:dyDescent="0.2">
      <c r="E413" s="182"/>
      <c r="F413" s="182"/>
      <c r="G413" s="181"/>
      <c r="J413" s="181"/>
      <c r="K413" s="181"/>
    </row>
    <row r="414" spans="5:11" ht="11.25" customHeight="1" x14ac:dyDescent="0.2">
      <c r="E414" s="182"/>
      <c r="F414" s="182"/>
      <c r="G414" s="181"/>
      <c r="J414" s="181"/>
      <c r="K414" s="181"/>
    </row>
    <row r="415" spans="5:11" ht="11.25" customHeight="1" x14ac:dyDescent="0.2">
      <c r="E415" s="182"/>
      <c r="F415" s="182"/>
      <c r="G415" s="181"/>
      <c r="J415" s="181"/>
      <c r="K415" s="181"/>
    </row>
    <row r="416" spans="5:11" ht="11.25" customHeight="1" x14ac:dyDescent="0.2">
      <c r="E416" s="182"/>
      <c r="F416" s="182"/>
      <c r="G416" s="181"/>
      <c r="J416" s="181"/>
      <c r="K416" s="181"/>
    </row>
    <row r="417" spans="5:11" ht="11.25" customHeight="1" x14ac:dyDescent="0.2">
      <c r="E417" s="182"/>
      <c r="F417" s="182"/>
      <c r="G417" s="181"/>
      <c r="J417" s="181"/>
      <c r="K417" s="181"/>
    </row>
    <row r="418" spans="5:11" ht="11.25" customHeight="1" x14ac:dyDescent="0.2">
      <c r="E418" s="182"/>
      <c r="F418" s="182"/>
      <c r="G418" s="181"/>
      <c r="J418" s="181"/>
      <c r="K418" s="181"/>
    </row>
    <row r="419" spans="5:11" ht="11.25" customHeight="1" x14ac:dyDescent="0.2">
      <c r="E419" s="182"/>
      <c r="F419" s="182"/>
      <c r="G419" s="181"/>
      <c r="J419" s="181"/>
      <c r="K419" s="181"/>
    </row>
    <row r="420" spans="5:11" ht="11.25" customHeight="1" x14ac:dyDescent="0.2">
      <c r="E420" s="182"/>
      <c r="F420" s="182"/>
      <c r="G420" s="181"/>
      <c r="J420" s="181"/>
      <c r="K420" s="181"/>
    </row>
    <row r="421" spans="5:11" ht="11.25" customHeight="1" x14ac:dyDescent="0.2">
      <c r="E421" s="182"/>
      <c r="F421" s="182"/>
      <c r="G421" s="181"/>
      <c r="J421" s="181"/>
      <c r="K421" s="181"/>
    </row>
    <row r="422" spans="5:11" ht="11.25" customHeight="1" x14ac:dyDescent="0.2">
      <c r="E422" s="182"/>
      <c r="F422" s="182"/>
      <c r="G422" s="181"/>
      <c r="J422" s="181"/>
      <c r="K422" s="181"/>
    </row>
    <row r="423" spans="5:11" ht="11.25" customHeight="1" x14ac:dyDescent="0.2">
      <c r="E423" s="182"/>
      <c r="F423" s="182"/>
      <c r="G423" s="181"/>
      <c r="J423" s="181"/>
      <c r="K423" s="181"/>
    </row>
    <row r="424" spans="5:11" ht="11.25" customHeight="1" x14ac:dyDescent="0.2">
      <c r="E424" s="182"/>
      <c r="F424" s="182"/>
      <c r="G424" s="181"/>
      <c r="J424" s="181"/>
      <c r="K424" s="181"/>
    </row>
    <row r="425" spans="5:11" ht="11.25" customHeight="1" x14ac:dyDescent="0.2">
      <c r="E425" s="182"/>
      <c r="F425" s="182"/>
      <c r="G425" s="181"/>
      <c r="J425" s="181"/>
      <c r="K425" s="181"/>
    </row>
    <row r="426" spans="5:11" ht="11.25" customHeight="1" x14ac:dyDescent="0.2">
      <c r="E426" s="182"/>
      <c r="F426" s="182"/>
      <c r="G426" s="181"/>
      <c r="J426" s="181"/>
      <c r="K426" s="181"/>
    </row>
    <row r="427" spans="5:11" ht="11.25" customHeight="1" x14ac:dyDescent="0.2">
      <c r="E427" s="182"/>
      <c r="F427" s="182"/>
      <c r="G427" s="181"/>
      <c r="J427" s="181"/>
      <c r="K427" s="181"/>
    </row>
    <row r="428" spans="5:11" ht="11.25" customHeight="1" x14ac:dyDescent="0.2">
      <c r="E428" s="182"/>
      <c r="F428" s="182"/>
      <c r="G428" s="181"/>
      <c r="J428" s="181"/>
      <c r="K428" s="181"/>
    </row>
    <row r="429" spans="5:11" ht="11.25" customHeight="1" x14ac:dyDescent="0.2">
      <c r="E429" s="182"/>
      <c r="F429" s="182"/>
      <c r="G429" s="181"/>
      <c r="J429" s="181"/>
      <c r="K429" s="181"/>
    </row>
    <row r="430" spans="5:11" ht="11.25" customHeight="1" x14ac:dyDescent="0.2">
      <c r="E430" s="182"/>
      <c r="F430" s="182"/>
      <c r="G430" s="181"/>
      <c r="J430" s="181"/>
      <c r="K430" s="181"/>
    </row>
    <row r="431" spans="5:11" ht="11.25" customHeight="1" x14ac:dyDescent="0.2">
      <c r="E431" s="182"/>
      <c r="F431" s="182"/>
      <c r="G431" s="181"/>
      <c r="J431" s="181"/>
      <c r="K431" s="181"/>
    </row>
    <row r="432" spans="5:11" ht="11.25" customHeight="1" x14ac:dyDescent="0.2">
      <c r="E432" s="182"/>
      <c r="F432" s="182"/>
      <c r="G432" s="181"/>
      <c r="J432" s="181"/>
      <c r="K432" s="181"/>
    </row>
    <row r="433" spans="5:11" ht="11.25" customHeight="1" x14ac:dyDescent="0.2">
      <c r="E433" s="182"/>
      <c r="F433" s="182"/>
      <c r="G433" s="181"/>
      <c r="J433" s="181"/>
      <c r="K433" s="181"/>
    </row>
    <row r="434" spans="5:11" ht="11.25" customHeight="1" x14ac:dyDescent="0.2">
      <c r="E434" s="182"/>
      <c r="F434" s="182"/>
      <c r="G434" s="181"/>
      <c r="J434" s="181"/>
      <c r="K434" s="181"/>
    </row>
    <row r="435" spans="5:11" ht="11.25" customHeight="1" x14ac:dyDescent="0.2">
      <c r="E435" s="182"/>
      <c r="F435" s="182"/>
      <c r="G435" s="181"/>
      <c r="J435" s="181"/>
      <c r="K435" s="181"/>
    </row>
    <row r="436" spans="5:11" ht="11.25" customHeight="1" x14ac:dyDescent="0.2">
      <c r="E436" s="182"/>
      <c r="F436" s="182"/>
      <c r="G436" s="181"/>
      <c r="J436" s="181"/>
      <c r="K436" s="181"/>
    </row>
    <row r="437" spans="5:11" ht="11.25" customHeight="1" x14ac:dyDescent="0.2">
      <c r="E437" s="182"/>
      <c r="F437" s="182"/>
      <c r="G437" s="181"/>
      <c r="J437" s="181"/>
      <c r="K437" s="181"/>
    </row>
    <row r="438" spans="5:11" ht="11.25" customHeight="1" x14ac:dyDescent="0.2">
      <c r="E438" s="182"/>
      <c r="F438" s="182"/>
      <c r="G438" s="181"/>
      <c r="J438" s="181"/>
      <c r="K438" s="181"/>
    </row>
    <row r="439" spans="5:11" ht="11.25" customHeight="1" x14ac:dyDescent="0.2">
      <c r="E439" s="182"/>
      <c r="F439" s="182"/>
      <c r="G439" s="181"/>
      <c r="J439" s="181"/>
      <c r="K439" s="181"/>
    </row>
    <row r="440" spans="5:11" ht="11.25" customHeight="1" x14ac:dyDescent="0.2">
      <c r="E440" s="182"/>
      <c r="F440" s="182"/>
      <c r="G440" s="181"/>
      <c r="J440" s="181"/>
      <c r="K440" s="181"/>
    </row>
    <row r="441" spans="5:11" ht="11.25" customHeight="1" x14ac:dyDescent="0.2">
      <c r="E441" s="182"/>
      <c r="F441" s="182"/>
      <c r="G441" s="181"/>
      <c r="J441" s="181"/>
      <c r="K441" s="181"/>
    </row>
    <row r="442" spans="5:11" ht="11.25" customHeight="1" x14ac:dyDescent="0.2">
      <c r="E442" s="182"/>
      <c r="F442" s="182"/>
      <c r="G442" s="181"/>
      <c r="J442" s="181"/>
      <c r="K442" s="181"/>
    </row>
    <row r="443" spans="5:11" ht="11.25" customHeight="1" x14ac:dyDescent="0.2">
      <c r="E443" s="182"/>
      <c r="F443" s="182"/>
      <c r="G443" s="181"/>
      <c r="J443" s="181"/>
      <c r="K443" s="181"/>
    </row>
    <row r="444" spans="5:11" ht="11.25" customHeight="1" x14ac:dyDescent="0.2">
      <c r="E444" s="182"/>
      <c r="F444" s="182"/>
      <c r="G444" s="181"/>
      <c r="J444" s="181"/>
      <c r="K444" s="181"/>
    </row>
    <row r="445" spans="5:11" ht="11.25" customHeight="1" x14ac:dyDescent="0.2">
      <c r="E445" s="182"/>
      <c r="F445" s="182"/>
      <c r="G445" s="181"/>
      <c r="J445" s="181"/>
      <c r="K445" s="181"/>
    </row>
    <row r="446" spans="5:11" ht="11.25" customHeight="1" x14ac:dyDescent="0.2">
      <c r="E446" s="182"/>
      <c r="F446" s="182"/>
      <c r="G446" s="181"/>
      <c r="J446" s="181"/>
      <c r="K446" s="181"/>
    </row>
    <row r="447" spans="5:11" ht="11.25" customHeight="1" x14ac:dyDescent="0.2">
      <c r="E447" s="182"/>
      <c r="F447" s="182"/>
      <c r="G447" s="181"/>
      <c r="J447" s="181"/>
      <c r="K447" s="181"/>
    </row>
    <row r="448" spans="5:11" ht="11.25" customHeight="1" x14ac:dyDescent="0.2">
      <c r="E448" s="182"/>
      <c r="F448" s="182"/>
      <c r="G448" s="181"/>
      <c r="J448" s="181"/>
      <c r="K448" s="181"/>
    </row>
    <row r="449" spans="5:11" ht="11.25" customHeight="1" x14ac:dyDescent="0.2">
      <c r="E449" s="182"/>
      <c r="F449" s="182"/>
      <c r="G449" s="181"/>
      <c r="J449" s="181"/>
      <c r="K449" s="181"/>
    </row>
    <row r="450" spans="5:11" ht="11.25" customHeight="1" x14ac:dyDescent="0.2">
      <c r="E450" s="182"/>
      <c r="F450" s="182"/>
      <c r="G450" s="181"/>
      <c r="J450" s="181"/>
      <c r="K450" s="181"/>
    </row>
    <row r="451" spans="5:11" ht="11.25" customHeight="1" x14ac:dyDescent="0.2">
      <c r="E451" s="182"/>
      <c r="F451" s="182"/>
      <c r="G451" s="181"/>
      <c r="J451" s="181"/>
      <c r="K451" s="181"/>
    </row>
    <row r="452" spans="5:11" ht="11.25" customHeight="1" x14ac:dyDescent="0.2">
      <c r="E452" s="182"/>
      <c r="F452" s="182"/>
      <c r="G452" s="181"/>
      <c r="J452" s="181"/>
      <c r="K452" s="181"/>
    </row>
    <row r="453" spans="5:11" ht="11.25" customHeight="1" x14ac:dyDescent="0.2">
      <c r="E453" s="182"/>
      <c r="F453" s="182"/>
      <c r="G453" s="181"/>
      <c r="J453" s="181"/>
      <c r="K453" s="181"/>
    </row>
    <row r="454" spans="5:11" ht="11.25" customHeight="1" x14ac:dyDescent="0.2">
      <c r="E454" s="182"/>
      <c r="F454" s="182"/>
      <c r="G454" s="181"/>
      <c r="J454" s="181"/>
      <c r="K454" s="181"/>
    </row>
    <row r="455" spans="5:11" ht="11.25" customHeight="1" x14ac:dyDescent="0.2">
      <c r="E455" s="182"/>
      <c r="F455" s="182"/>
      <c r="G455" s="181"/>
      <c r="J455" s="181"/>
      <c r="K455" s="181"/>
    </row>
    <row r="456" spans="5:11" ht="11.25" customHeight="1" x14ac:dyDescent="0.2">
      <c r="E456" s="182"/>
      <c r="F456" s="182"/>
      <c r="G456" s="181"/>
      <c r="J456" s="181"/>
      <c r="K456" s="181"/>
    </row>
    <row r="457" spans="5:11" ht="11.25" customHeight="1" x14ac:dyDescent="0.2">
      <c r="E457" s="182"/>
      <c r="F457" s="182"/>
      <c r="G457" s="181"/>
      <c r="J457" s="181"/>
      <c r="K457" s="181"/>
    </row>
    <row r="458" spans="5:11" ht="11.25" customHeight="1" x14ac:dyDescent="0.2">
      <c r="E458" s="182"/>
      <c r="F458" s="182"/>
      <c r="G458" s="181"/>
      <c r="J458" s="181"/>
      <c r="K458" s="181"/>
    </row>
    <row r="459" spans="5:11" ht="11.25" customHeight="1" x14ac:dyDescent="0.2">
      <c r="E459" s="182"/>
      <c r="F459" s="182"/>
      <c r="G459" s="181"/>
      <c r="J459" s="181"/>
      <c r="K459" s="181"/>
    </row>
    <row r="460" spans="5:11" ht="11.25" customHeight="1" x14ac:dyDescent="0.2">
      <c r="E460" s="182"/>
      <c r="F460" s="182"/>
      <c r="G460" s="181"/>
      <c r="J460" s="181"/>
      <c r="K460" s="181"/>
    </row>
    <row r="461" spans="5:11" ht="11.25" customHeight="1" x14ac:dyDescent="0.2">
      <c r="E461" s="182"/>
      <c r="F461" s="182"/>
      <c r="G461" s="181"/>
      <c r="J461" s="181"/>
      <c r="K461" s="181"/>
    </row>
    <row r="462" spans="5:11" ht="11.25" customHeight="1" x14ac:dyDescent="0.2">
      <c r="E462" s="182"/>
      <c r="F462" s="182"/>
      <c r="G462" s="181"/>
      <c r="J462" s="181"/>
      <c r="K462" s="181"/>
    </row>
    <row r="463" spans="5:11" ht="11.25" customHeight="1" x14ac:dyDescent="0.2">
      <c r="E463" s="182"/>
      <c r="F463" s="182"/>
      <c r="G463" s="181"/>
      <c r="J463" s="181"/>
      <c r="K463" s="181"/>
    </row>
    <row r="464" spans="5:11" ht="11.25" customHeight="1" x14ac:dyDescent="0.2">
      <c r="E464" s="182"/>
      <c r="F464" s="182"/>
      <c r="G464" s="181"/>
      <c r="J464" s="181"/>
      <c r="K464" s="181"/>
    </row>
    <row r="465" spans="5:11" ht="11.25" customHeight="1" x14ac:dyDescent="0.2">
      <c r="E465" s="182"/>
      <c r="F465" s="182"/>
      <c r="G465" s="181"/>
      <c r="J465" s="181"/>
      <c r="K465" s="181"/>
    </row>
    <row r="466" spans="5:11" ht="11.25" customHeight="1" x14ac:dyDescent="0.2">
      <c r="E466" s="182"/>
      <c r="F466" s="182"/>
      <c r="G466" s="181"/>
      <c r="J466" s="181"/>
      <c r="K466" s="181"/>
    </row>
    <row r="467" spans="5:11" ht="11.25" customHeight="1" x14ac:dyDescent="0.2">
      <c r="E467" s="182"/>
      <c r="F467" s="182"/>
      <c r="G467" s="181"/>
      <c r="J467" s="181"/>
      <c r="K467" s="181"/>
    </row>
    <row r="468" spans="5:11" ht="11.25" customHeight="1" x14ac:dyDescent="0.2">
      <c r="E468" s="182"/>
      <c r="F468" s="182"/>
      <c r="G468" s="181"/>
      <c r="J468" s="181"/>
      <c r="K468" s="181"/>
    </row>
    <row r="469" spans="5:11" ht="11.25" customHeight="1" x14ac:dyDescent="0.2">
      <c r="E469" s="182"/>
      <c r="F469" s="182"/>
      <c r="G469" s="181"/>
      <c r="J469" s="181"/>
      <c r="K469" s="181"/>
    </row>
    <row r="470" spans="5:11" ht="11.25" customHeight="1" x14ac:dyDescent="0.2">
      <c r="E470" s="182"/>
      <c r="F470" s="182"/>
      <c r="G470" s="181"/>
      <c r="J470" s="181"/>
      <c r="K470" s="181"/>
    </row>
    <row r="471" spans="5:11" ht="11.25" customHeight="1" x14ac:dyDescent="0.2">
      <c r="E471" s="182"/>
      <c r="F471" s="182"/>
      <c r="G471" s="181"/>
      <c r="J471" s="181"/>
      <c r="K471" s="181"/>
    </row>
    <row r="472" spans="5:11" ht="11.25" customHeight="1" x14ac:dyDescent="0.2">
      <c r="E472" s="182"/>
      <c r="F472" s="182"/>
      <c r="G472" s="181"/>
      <c r="J472" s="181"/>
      <c r="K472" s="181"/>
    </row>
    <row r="473" spans="5:11" ht="11.25" customHeight="1" x14ac:dyDescent="0.2">
      <c r="E473" s="182"/>
      <c r="F473" s="182"/>
      <c r="G473" s="181"/>
      <c r="J473" s="181"/>
      <c r="K473" s="181"/>
    </row>
    <row r="474" spans="5:11" ht="11.25" customHeight="1" x14ac:dyDescent="0.2">
      <c r="E474" s="182"/>
      <c r="F474" s="182"/>
      <c r="G474" s="181"/>
      <c r="J474" s="181"/>
      <c r="K474" s="181"/>
    </row>
    <row r="475" spans="5:11" ht="11.25" customHeight="1" x14ac:dyDescent="0.2">
      <c r="E475" s="182"/>
      <c r="F475" s="182"/>
      <c r="G475" s="181"/>
      <c r="J475" s="181"/>
      <c r="K475" s="181"/>
    </row>
    <row r="476" spans="5:11" ht="11.25" customHeight="1" x14ac:dyDescent="0.2">
      <c r="E476" s="182"/>
      <c r="F476" s="182"/>
      <c r="G476" s="181"/>
      <c r="J476" s="181"/>
      <c r="K476" s="181"/>
    </row>
    <row r="477" spans="5:11" ht="11.25" customHeight="1" x14ac:dyDescent="0.2">
      <c r="E477" s="182"/>
      <c r="F477" s="182"/>
      <c r="G477" s="181"/>
      <c r="J477" s="181"/>
      <c r="K477" s="181"/>
    </row>
    <row r="478" spans="5:11" ht="11.25" customHeight="1" x14ac:dyDescent="0.2">
      <c r="E478" s="182"/>
      <c r="F478" s="182"/>
      <c r="G478" s="181"/>
      <c r="J478" s="181"/>
      <c r="K478" s="181"/>
    </row>
    <row r="479" spans="5:11" ht="11.25" customHeight="1" x14ac:dyDescent="0.2">
      <c r="E479" s="182"/>
      <c r="F479" s="182"/>
      <c r="G479" s="181"/>
      <c r="J479" s="181"/>
      <c r="K479" s="181"/>
    </row>
    <row r="480" spans="5:11" ht="11.25" customHeight="1" x14ac:dyDescent="0.2">
      <c r="E480" s="182"/>
      <c r="F480" s="182"/>
      <c r="G480" s="181"/>
      <c r="J480" s="181"/>
      <c r="K480" s="181"/>
    </row>
    <row r="481" spans="5:11" ht="11.25" customHeight="1" x14ac:dyDescent="0.2">
      <c r="E481" s="182"/>
      <c r="F481" s="182"/>
      <c r="G481" s="181"/>
      <c r="J481" s="181"/>
      <c r="K481" s="181"/>
    </row>
    <row r="482" spans="5:11" ht="11.25" customHeight="1" x14ac:dyDescent="0.2">
      <c r="E482" s="182"/>
      <c r="F482" s="182"/>
      <c r="G482" s="181"/>
      <c r="J482" s="181"/>
      <c r="K482" s="181"/>
    </row>
    <row r="483" spans="5:11" ht="11.25" customHeight="1" x14ac:dyDescent="0.2">
      <c r="E483" s="182"/>
      <c r="F483" s="182"/>
      <c r="G483" s="181"/>
      <c r="J483" s="181"/>
      <c r="K483" s="181"/>
    </row>
    <row r="484" spans="5:11" ht="11.25" customHeight="1" x14ac:dyDescent="0.2">
      <c r="E484" s="182"/>
      <c r="F484" s="182"/>
      <c r="G484" s="181"/>
      <c r="J484" s="181"/>
      <c r="K484" s="181"/>
    </row>
    <row r="485" spans="5:11" ht="11.25" customHeight="1" x14ac:dyDescent="0.2">
      <c r="E485" s="182"/>
      <c r="F485" s="182"/>
      <c r="G485" s="181"/>
      <c r="J485" s="181"/>
      <c r="K485" s="181"/>
    </row>
    <row r="486" spans="5:11" ht="11.25" customHeight="1" x14ac:dyDescent="0.2">
      <c r="E486" s="182"/>
      <c r="F486" s="182"/>
      <c r="G486" s="181"/>
      <c r="J486" s="181"/>
      <c r="K486" s="181"/>
    </row>
    <row r="487" spans="5:11" ht="11.25" customHeight="1" x14ac:dyDescent="0.2">
      <c r="E487" s="182"/>
      <c r="F487" s="182"/>
      <c r="G487" s="181"/>
      <c r="J487" s="181"/>
      <c r="K487" s="181"/>
    </row>
    <row r="488" spans="5:11" ht="11.25" customHeight="1" x14ac:dyDescent="0.2">
      <c r="E488" s="182"/>
      <c r="F488" s="182"/>
      <c r="G488" s="181"/>
      <c r="J488" s="181"/>
      <c r="K488" s="181"/>
    </row>
    <row r="489" spans="5:11" ht="11.25" customHeight="1" x14ac:dyDescent="0.2">
      <c r="E489" s="182"/>
      <c r="F489" s="182"/>
      <c r="G489" s="181"/>
      <c r="J489" s="181"/>
      <c r="K489" s="181"/>
    </row>
    <row r="490" spans="5:11" ht="11.25" customHeight="1" x14ac:dyDescent="0.2">
      <c r="E490" s="182"/>
      <c r="F490" s="182"/>
      <c r="G490" s="181"/>
      <c r="J490" s="181"/>
      <c r="K490" s="181"/>
    </row>
    <row r="491" spans="5:11" ht="11.25" customHeight="1" x14ac:dyDescent="0.2">
      <c r="E491" s="182"/>
      <c r="F491" s="182"/>
      <c r="G491" s="181"/>
      <c r="J491" s="181"/>
      <c r="K491" s="181"/>
    </row>
    <row r="492" spans="5:11" ht="11.25" customHeight="1" x14ac:dyDescent="0.2">
      <c r="E492" s="182"/>
      <c r="F492" s="182"/>
      <c r="G492" s="181"/>
      <c r="J492" s="181"/>
      <c r="K492" s="181"/>
    </row>
    <row r="493" spans="5:11" ht="11.25" customHeight="1" x14ac:dyDescent="0.2">
      <c r="E493" s="182"/>
      <c r="F493" s="182"/>
      <c r="G493" s="181"/>
      <c r="J493" s="181"/>
      <c r="K493" s="181"/>
    </row>
    <row r="494" spans="5:11" ht="11.25" customHeight="1" x14ac:dyDescent="0.2">
      <c r="E494" s="182"/>
      <c r="F494" s="182"/>
      <c r="G494" s="181"/>
      <c r="J494" s="181"/>
      <c r="K494" s="181"/>
    </row>
    <row r="495" spans="5:11" ht="11.25" customHeight="1" x14ac:dyDescent="0.2">
      <c r="E495" s="182"/>
      <c r="F495" s="182"/>
      <c r="G495" s="181"/>
      <c r="J495" s="181"/>
      <c r="K495" s="181"/>
    </row>
    <row r="496" spans="5:11" ht="11.25" customHeight="1" x14ac:dyDescent="0.2">
      <c r="E496" s="182"/>
      <c r="F496" s="182"/>
      <c r="G496" s="181"/>
      <c r="J496" s="181"/>
      <c r="K496" s="181"/>
    </row>
    <row r="497" spans="5:11" ht="11.25" customHeight="1" x14ac:dyDescent="0.2">
      <c r="E497" s="182"/>
      <c r="F497" s="182"/>
      <c r="G497" s="181"/>
      <c r="J497" s="181"/>
      <c r="K497" s="181"/>
    </row>
    <row r="498" spans="5:11" ht="11.25" customHeight="1" x14ac:dyDescent="0.2">
      <c r="E498" s="182"/>
      <c r="F498" s="182"/>
      <c r="G498" s="181"/>
      <c r="J498" s="181"/>
      <c r="K498" s="181"/>
    </row>
    <row r="499" spans="5:11" ht="11.25" customHeight="1" x14ac:dyDescent="0.2">
      <c r="E499" s="182"/>
      <c r="F499" s="182"/>
      <c r="G499" s="181"/>
      <c r="J499" s="181"/>
      <c r="K499" s="181"/>
    </row>
    <row r="500" spans="5:11" ht="11.25" customHeight="1" x14ac:dyDescent="0.2">
      <c r="E500" s="182"/>
      <c r="F500" s="182"/>
      <c r="G500" s="181"/>
      <c r="J500" s="181"/>
      <c r="K500" s="181"/>
    </row>
    <row r="501" spans="5:11" ht="11.25" customHeight="1" x14ac:dyDescent="0.2">
      <c r="E501" s="182"/>
      <c r="F501" s="182"/>
      <c r="G501" s="181"/>
      <c r="J501" s="181"/>
      <c r="K501" s="181"/>
    </row>
    <row r="502" spans="5:11" ht="11.25" customHeight="1" x14ac:dyDescent="0.2">
      <c r="E502" s="182"/>
      <c r="F502" s="182"/>
      <c r="G502" s="181"/>
      <c r="J502" s="181"/>
      <c r="K502" s="181"/>
    </row>
    <row r="503" spans="5:11" ht="11.25" customHeight="1" x14ac:dyDescent="0.2">
      <c r="E503" s="182"/>
      <c r="F503" s="182"/>
      <c r="G503" s="181"/>
      <c r="J503" s="181"/>
      <c r="K503" s="181"/>
    </row>
    <row r="504" spans="5:11" ht="11.25" customHeight="1" x14ac:dyDescent="0.2">
      <c r="E504" s="182"/>
      <c r="F504" s="182"/>
      <c r="G504" s="181"/>
      <c r="J504" s="181"/>
      <c r="K504" s="181"/>
    </row>
    <row r="505" spans="5:11" ht="11.25" customHeight="1" x14ac:dyDescent="0.2">
      <c r="E505" s="182"/>
      <c r="F505" s="182"/>
      <c r="G505" s="181"/>
      <c r="J505" s="181"/>
      <c r="K505" s="181"/>
    </row>
    <row r="506" spans="5:11" ht="11.25" customHeight="1" x14ac:dyDescent="0.2">
      <c r="E506" s="182"/>
      <c r="F506" s="182"/>
      <c r="G506" s="181"/>
      <c r="J506" s="181"/>
      <c r="K506" s="181"/>
    </row>
    <row r="507" spans="5:11" ht="11.25" customHeight="1" x14ac:dyDescent="0.2">
      <c r="E507" s="182"/>
      <c r="F507" s="182"/>
      <c r="G507" s="181"/>
      <c r="J507" s="181"/>
      <c r="K507" s="181"/>
    </row>
    <row r="508" spans="5:11" ht="11.25" customHeight="1" x14ac:dyDescent="0.2">
      <c r="E508" s="182"/>
      <c r="F508" s="182"/>
      <c r="G508" s="181"/>
      <c r="J508" s="181"/>
      <c r="K508" s="181"/>
    </row>
    <row r="509" spans="5:11" ht="11.25" customHeight="1" x14ac:dyDescent="0.2">
      <c r="E509" s="182"/>
      <c r="F509" s="182"/>
      <c r="G509" s="181"/>
      <c r="J509" s="181"/>
      <c r="K509" s="181"/>
    </row>
    <row r="510" spans="5:11" ht="11.25" customHeight="1" x14ac:dyDescent="0.2">
      <c r="E510" s="182"/>
      <c r="F510" s="182"/>
      <c r="G510" s="181"/>
      <c r="J510" s="181"/>
      <c r="K510" s="181"/>
    </row>
    <row r="511" spans="5:11" ht="11.25" customHeight="1" x14ac:dyDescent="0.2">
      <c r="E511" s="182"/>
      <c r="F511" s="182"/>
      <c r="G511" s="181"/>
      <c r="J511" s="181"/>
      <c r="K511" s="181"/>
    </row>
    <row r="512" spans="5:11" ht="11.25" customHeight="1" x14ac:dyDescent="0.2">
      <c r="E512" s="182"/>
      <c r="F512" s="182"/>
      <c r="G512" s="181"/>
      <c r="J512" s="181"/>
      <c r="K512" s="181"/>
    </row>
    <row r="513" spans="5:11" ht="11.25" customHeight="1" x14ac:dyDescent="0.2">
      <c r="E513" s="182"/>
      <c r="F513" s="182"/>
      <c r="G513" s="181"/>
      <c r="J513" s="181"/>
      <c r="K513" s="181"/>
    </row>
    <row r="514" spans="5:11" ht="11.25" customHeight="1" x14ac:dyDescent="0.2">
      <c r="E514" s="182"/>
      <c r="F514" s="182"/>
      <c r="G514" s="181"/>
      <c r="J514" s="181"/>
      <c r="K514" s="181"/>
    </row>
    <row r="515" spans="5:11" ht="11.25" customHeight="1" x14ac:dyDescent="0.2">
      <c r="E515" s="182"/>
      <c r="F515" s="182"/>
      <c r="G515" s="181"/>
      <c r="J515" s="181"/>
      <c r="K515" s="181"/>
    </row>
    <row r="516" spans="5:11" ht="11.25" customHeight="1" x14ac:dyDescent="0.2">
      <c r="E516" s="182"/>
      <c r="F516" s="182"/>
      <c r="G516" s="181"/>
      <c r="J516" s="181"/>
      <c r="K516" s="181"/>
    </row>
    <row r="517" spans="5:11" ht="11.25" customHeight="1" x14ac:dyDescent="0.2">
      <c r="E517" s="182"/>
      <c r="F517" s="182"/>
      <c r="G517" s="181"/>
      <c r="J517" s="181"/>
      <c r="K517" s="181"/>
    </row>
    <row r="518" spans="5:11" ht="11.25" customHeight="1" x14ac:dyDescent="0.2">
      <c r="E518" s="182"/>
      <c r="F518" s="182"/>
      <c r="G518" s="181"/>
      <c r="J518" s="181"/>
      <c r="K518" s="181"/>
    </row>
    <row r="519" spans="5:11" ht="11.25" customHeight="1" x14ac:dyDescent="0.2">
      <c r="E519" s="182"/>
      <c r="F519" s="182"/>
      <c r="G519" s="181"/>
      <c r="J519" s="181"/>
      <c r="K519" s="181"/>
    </row>
    <row r="520" spans="5:11" ht="11.25" customHeight="1" x14ac:dyDescent="0.2">
      <c r="E520" s="182"/>
      <c r="F520" s="182"/>
      <c r="G520" s="181"/>
      <c r="J520" s="181"/>
      <c r="K520" s="181"/>
    </row>
    <row r="521" spans="5:11" ht="11.25" customHeight="1" x14ac:dyDescent="0.2">
      <c r="E521" s="182"/>
      <c r="F521" s="182"/>
      <c r="G521" s="181"/>
      <c r="J521" s="181"/>
      <c r="K521" s="181"/>
    </row>
    <row r="522" spans="5:11" ht="11.25" customHeight="1" x14ac:dyDescent="0.2">
      <c r="E522" s="182"/>
      <c r="F522" s="182"/>
      <c r="G522" s="181"/>
      <c r="J522" s="181"/>
      <c r="K522" s="181"/>
    </row>
    <row r="523" spans="5:11" ht="11.25" customHeight="1" x14ac:dyDescent="0.2">
      <c r="E523" s="182"/>
      <c r="F523" s="182"/>
      <c r="G523" s="181"/>
      <c r="J523" s="181"/>
      <c r="K523" s="181"/>
    </row>
    <row r="524" spans="5:11" ht="11.25" customHeight="1" x14ac:dyDescent="0.2">
      <c r="E524" s="182"/>
      <c r="F524" s="182"/>
      <c r="G524" s="181"/>
      <c r="J524" s="181"/>
      <c r="K524" s="181"/>
    </row>
    <row r="525" spans="5:11" ht="11.25" customHeight="1" x14ac:dyDescent="0.2">
      <c r="E525" s="182"/>
      <c r="F525" s="182"/>
      <c r="G525" s="181"/>
      <c r="J525" s="181"/>
      <c r="K525" s="181"/>
    </row>
    <row r="526" spans="5:11" ht="11.25" customHeight="1" x14ac:dyDescent="0.2">
      <c r="E526" s="182"/>
      <c r="F526" s="182"/>
      <c r="G526" s="181"/>
      <c r="J526" s="181"/>
      <c r="K526" s="181"/>
    </row>
    <row r="527" spans="5:11" ht="11.25" customHeight="1" x14ac:dyDescent="0.2">
      <c r="E527" s="182"/>
      <c r="F527" s="182"/>
      <c r="G527" s="181"/>
      <c r="J527" s="181"/>
      <c r="K527" s="181"/>
    </row>
    <row r="528" spans="5:11" ht="11.25" customHeight="1" x14ac:dyDescent="0.2">
      <c r="E528" s="182"/>
      <c r="F528" s="182"/>
      <c r="G528" s="181"/>
      <c r="J528" s="181"/>
      <c r="K528" s="181"/>
    </row>
    <row r="529" spans="5:11" ht="11.25" customHeight="1" x14ac:dyDescent="0.2">
      <c r="E529" s="182"/>
      <c r="F529" s="182"/>
      <c r="G529" s="181"/>
      <c r="J529" s="181"/>
      <c r="K529" s="181"/>
    </row>
    <row r="530" spans="5:11" ht="11.25" customHeight="1" x14ac:dyDescent="0.2">
      <c r="E530" s="182"/>
      <c r="F530" s="182"/>
      <c r="G530" s="181"/>
      <c r="J530" s="181"/>
      <c r="K530" s="181"/>
    </row>
    <row r="531" spans="5:11" ht="11.25" customHeight="1" x14ac:dyDescent="0.2">
      <c r="E531" s="182"/>
      <c r="F531" s="182"/>
      <c r="G531" s="181"/>
      <c r="J531" s="181"/>
      <c r="K531" s="181"/>
    </row>
    <row r="532" spans="5:11" ht="11.25" customHeight="1" x14ac:dyDescent="0.2">
      <c r="E532" s="182"/>
      <c r="F532" s="182"/>
      <c r="G532" s="181"/>
      <c r="J532" s="181"/>
      <c r="K532" s="181"/>
    </row>
    <row r="533" spans="5:11" ht="11.25" customHeight="1" x14ac:dyDescent="0.2">
      <c r="E533" s="182"/>
      <c r="F533" s="182"/>
      <c r="G533" s="181"/>
      <c r="J533" s="181"/>
      <c r="K533" s="181"/>
    </row>
    <row r="534" spans="5:11" ht="11.25" customHeight="1" x14ac:dyDescent="0.2">
      <c r="E534" s="182"/>
      <c r="F534" s="182"/>
      <c r="G534" s="181"/>
      <c r="J534" s="181"/>
      <c r="K534" s="181"/>
    </row>
    <row r="535" spans="5:11" ht="11.25" customHeight="1" x14ac:dyDescent="0.2">
      <c r="E535" s="182"/>
      <c r="F535" s="182"/>
      <c r="G535" s="181"/>
      <c r="J535" s="181"/>
      <c r="K535" s="181"/>
    </row>
    <row r="536" spans="5:11" ht="11.25" customHeight="1" x14ac:dyDescent="0.2">
      <c r="E536" s="182"/>
      <c r="F536" s="182"/>
      <c r="G536" s="181"/>
      <c r="J536" s="181"/>
      <c r="K536" s="181"/>
    </row>
    <row r="537" spans="5:11" ht="11.25" customHeight="1" x14ac:dyDescent="0.2">
      <c r="E537" s="182"/>
      <c r="F537" s="182"/>
      <c r="G537" s="181"/>
      <c r="J537" s="181"/>
      <c r="K537" s="181"/>
    </row>
    <row r="538" spans="5:11" ht="11.25" customHeight="1" x14ac:dyDescent="0.2">
      <c r="E538" s="182"/>
      <c r="F538" s="182"/>
      <c r="G538" s="181"/>
      <c r="J538" s="181"/>
      <c r="K538" s="181"/>
    </row>
    <row r="539" spans="5:11" ht="11.25" customHeight="1" x14ac:dyDescent="0.2">
      <c r="E539" s="182"/>
      <c r="F539" s="182"/>
      <c r="G539" s="181"/>
      <c r="J539" s="181"/>
      <c r="K539" s="181"/>
    </row>
    <row r="540" spans="5:11" ht="11.25" customHeight="1" x14ac:dyDescent="0.2">
      <c r="E540" s="182"/>
      <c r="F540" s="182"/>
      <c r="G540" s="181"/>
      <c r="J540" s="181"/>
      <c r="K540" s="181"/>
    </row>
    <row r="541" spans="5:11" ht="11.25" customHeight="1" x14ac:dyDescent="0.2">
      <c r="E541" s="182"/>
      <c r="F541" s="182"/>
      <c r="G541" s="181"/>
      <c r="J541" s="181"/>
      <c r="K541" s="181"/>
    </row>
    <row r="542" spans="5:11" ht="11.25" customHeight="1" x14ac:dyDescent="0.2">
      <c r="E542" s="182"/>
      <c r="F542" s="182"/>
      <c r="G542" s="181"/>
      <c r="J542" s="181"/>
      <c r="K542" s="181"/>
    </row>
    <row r="543" spans="5:11" ht="11.25" customHeight="1" x14ac:dyDescent="0.2">
      <c r="E543" s="182"/>
      <c r="F543" s="182"/>
      <c r="G543" s="181"/>
      <c r="J543" s="181"/>
      <c r="K543" s="181"/>
    </row>
    <row r="544" spans="5:11" ht="11.25" customHeight="1" x14ac:dyDescent="0.2">
      <c r="E544" s="182"/>
      <c r="F544" s="182"/>
      <c r="G544" s="181"/>
      <c r="J544" s="181"/>
      <c r="K544" s="181"/>
    </row>
    <row r="545" spans="5:11" ht="11.25" customHeight="1" x14ac:dyDescent="0.2">
      <c r="E545" s="182"/>
      <c r="F545" s="182"/>
      <c r="G545" s="181"/>
      <c r="J545" s="181"/>
      <c r="K545" s="181"/>
    </row>
    <row r="546" spans="5:11" ht="11.25" customHeight="1" x14ac:dyDescent="0.2">
      <c r="E546" s="182"/>
      <c r="F546" s="182"/>
      <c r="G546" s="181"/>
      <c r="J546" s="181"/>
      <c r="K546" s="181"/>
    </row>
    <row r="547" spans="5:11" ht="11.25" customHeight="1" x14ac:dyDescent="0.2">
      <c r="E547" s="182"/>
      <c r="F547" s="182"/>
      <c r="G547" s="181"/>
      <c r="J547" s="181"/>
      <c r="K547" s="181"/>
    </row>
    <row r="548" spans="5:11" ht="11.25" customHeight="1" x14ac:dyDescent="0.2">
      <c r="E548" s="182"/>
      <c r="F548" s="182"/>
      <c r="G548" s="181"/>
      <c r="J548" s="181"/>
      <c r="K548" s="181"/>
    </row>
    <row r="549" spans="5:11" ht="11.25" customHeight="1" x14ac:dyDescent="0.2">
      <c r="E549" s="182"/>
      <c r="F549" s="182"/>
      <c r="G549" s="181"/>
      <c r="J549" s="181"/>
      <c r="K549" s="181"/>
    </row>
    <row r="550" spans="5:11" ht="11.25" customHeight="1" x14ac:dyDescent="0.2">
      <c r="E550" s="182"/>
      <c r="F550" s="182"/>
      <c r="G550" s="181"/>
      <c r="J550" s="181"/>
      <c r="K550" s="181"/>
    </row>
    <row r="551" spans="5:11" ht="11.25" customHeight="1" x14ac:dyDescent="0.2">
      <c r="E551" s="182"/>
      <c r="F551" s="182"/>
      <c r="G551" s="181"/>
      <c r="J551" s="181"/>
      <c r="K551" s="181"/>
    </row>
    <row r="552" spans="5:11" ht="11.25" customHeight="1" x14ac:dyDescent="0.2">
      <c r="E552" s="182"/>
      <c r="F552" s="182"/>
      <c r="G552" s="181"/>
      <c r="J552" s="181"/>
      <c r="K552" s="181"/>
    </row>
    <row r="553" spans="5:11" ht="11.25" customHeight="1" x14ac:dyDescent="0.2">
      <c r="E553" s="182"/>
      <c r="F553" s="182"/>
      <c r="G553" s="181"/>
      <c r="J553" s="181"/>
      <c r="K553" s="181"/>
    </row>
    <row r="554" spans="5:11" ht="11.25" customHeight="1" x14ac:dyDescent="0.2">
      <c r="E554" s="182"/>
      <c r="F554" s="182"/>
      <c r="G554" s="181"/>
      <c r="J554" s="181"/>
      <c r="K554" s="181"/>
    </row>
    <row r="555" spans="5:11" ht="11.25" customHeight="1" x14ac:dyDescent="0.2">
      <c r="E555" s="182"/>
      <c r="F555" s="182"/>
      <c r="G555" s="181"/>
      <c r="J555" s="181"/>
      <c r="K555" s="181"/>
    </row>
    <row r="556" spans="5:11" ht="11.25" customHeight="1" x14ac:dyDescent="0.2">
      <c r="E556" s="182"/>
      <c r="F556" s="182"/>
      <c r="G556" s="181"/>
      <c r="J556" s="181"/>
      <c r="K556" s="181"/>
    </row>
    <row r="557" spans="5:11" ht="11.25" customHeight="1" x14ac:dyDescent="0.2">
      <c r="E557" s="182"/>
      <c r="F557" s="182"/>
      <c r="G557" s="181"/>
      <c r="J557" s="181"/>
      <c r="K557" s="181"/>
    </row>
    <row r="558" spans="5:11" ht="11.25" customHeight="1" x14ac:dyDescent="0.2">
      <c r="E558" s="182"/>
      <c r="F558" s="182"/>
      <c r="G558" s="181"/>
      <c r="J558" s="181"/>
      <c r="K558" s="181"/>
    </row>
    <row r="559" spans="5:11" ht="11.25" customHeight="1" x14ac:dyDescent="0.2">
      <c r="E559" s="182"/>
      <c r="F559" s="182"/>
      <c r="G559" s="181"/>
      <c r="J559" s="181"/>
      <c r="K559" s="181"/>
    </row>
    <row r="560" spans="5:11" ht="11.25" customHeight="1" x14ac:dyDescent="0.2">
      <c r="E560" s="182"/>
      <c r="F560" s="182"/>
      <c r="G560" s="181"/>
      <c r="J560" s="181"/>
      <c r="K560" s="181"/>
    </row>
    <row r="561" spans="5:11" ht="11.25" customHeight="1" x14ac:dyDescent="0.2">
      <c r="E561" s="182"/>
      <c r="F561" s="182"/>
      <c r="G561" s="181"/>
      <c r="J561" s="181"/>
      <c r="K561" s="181"/>
    </row>
    <row r="562" spans="5:11" ht="11.25" customHeight="1" x14ac:dyDescent="0.2">
      <c r="E562" s="182"/>
      <c r="F562" s="182"/>
      <c r="G562" s="181"/>
      <c r="J562" s="181"/>
      <c r="K562" s="181"/>
    </row>
    <row r="563" spans="5:11" ht="11.25" customHeight="1" x14ac:dyDescent="0.2">
      <c r="E563" s="182"/>
      <c r="F563" s="182"/>
      <c r="G563" s="181"/>
      <c r="J563" s="181"/>
      <c r="K563" s="181"/>
    </row>
    <row r="564" spans="5:11" ht="11.25" customHeight="1" x14ac:dyDescent="0.2">
      <c r="E564" s="182"/>
      <c r="F564" s="182"/>
      <c r="G564" s="181"/>
      <c r="J564" s="181"/>
      <c r="K564" s="181"/>
    </row>
    <row r="565" spans="5:11" ht="11.25" customHeight="1" x14ac:dyDescent="0.2">
      <c r="E565" s="182"/>
      <c r="F565" s="182"/>
      <c r="G565" s="181"/>
      <c r="J565" s="181"/>
      <c r="K565" s="181"/>
    </row>
    <row r="566" spans="5:11" ht="11.25" customHeight="1" x14ac:dyDescent="0.2">
      <c r="E566" s="182"/>
      <c r="F566" s="182"/>
      <c r="G566" s="181"/>
      <c r="J566" s="181"/>
      <c r="K566" s="181"/>
    </row>
    <row r="567" spans="5:11" ht="11.25" customHeight="1" x14ac:dyDescent="0.2">
      <c r="E567" s="182"/>
      <c r="F567" s="182"/>
      <c r="G567" s="181"/>
      <c r="J567" s="181"/>
      <c r="K567" s="181"/>
    </row>
    <row r="568" spans="5:11" ht="11.25" customHeight="1" x14ac:dyDescent="0.2">
      <c r="E568" s="182"/>
      <c r="F568" s="182"/>
      <c r="G568" s="181"/>
      <c r="J568" s="181"/>
      <c r="K568" s="181"/>
    </row>
    <row r="569" spans="5:11" ht="11.25" customHeight="1" x14ac:dyDescent="0.2">
      <c r="E569" s="182"/>
      <c r="F569" s="182"/>
      <c r="G569" s="181"/>
      <c r="J569" s="181"/>
      <c r="K569" s="181"/>
    </row>
    <row r="570" spans="5:11" ht="11.25" customHeight="1" x14ac:dyDescent="0.2">
      <c r="E570" s="182"/>
      <c r="F570" s="182"/>
      <c r="G570" s="181"/>
      <c r="J570" s="181"/>
      <c r="K570" s="181"/>
    </row>
    <row r="571" spans="5:11" ht="11.25" customHeight="1" x14ac:dyDescent="0.2">
      <c r="E571" s="182"/>
      <c r="F571" s="182"/>
      <c r="G571" s="181"/>
      <c r="J571" s="181"/>
      <c r="K571" s="181"/>
    </row>
    <row r="572" spans="5:11" ht="11.25" customHeight="1" x14ac:dyDescent="0.2">
      <c r="E572" s="182"/>
      <c r="F572" s="182"/>
      <c r="G572" s="181"/>
      <c r="J572" s="181"/>
      <c r="K572" s="181"/>
    </row>
    <row r="573" spans="5:11" ht="11.25" customHeight="1" x14ac:dyDescent="0.2">
      <c r="E573" s="182"/>
      <c r="F573" s="182"/>
      <c r="G573" s="181"/>
      <c r="J573" s="181"/>
      <c r="K573" s="181"/>
    </row>
    <row r="574" spans="5:11" ht="11.25" customHeight="1" x14ac:dyDescent="0.2">
      <c r="E574" s="182"/>
      <c r="F574" s="182"/>
      <c r="G574" s="181"/>
      <c r="J574" s="181"/>
      <c r="K574" s="181"/>
    </row>
    <row r="575" spans="5:11" ht="11.25" customHeight="1" x14ac:dyDescent="0.2">
      <c r="E575" s="182"/>
      <c r="F575" s="182"/>
      <c r="G575" s="181"/>
      <c r="J575" s="181"/>
      <c r="K575" s="181"/>
    </row>
    <row r="576" spans="5:11" ht="11.25" customHeight="1" x14ac:dyDescent="0.2">
      <c r="E576" s="182"/>
      <c r="F576" s="182"/>
      <c r="G576" s="181"/>
      <c r="J576" s="181"/>
      <c r="K576" s="181"/>
    </row>
    <row r="577" spans="5:11" ht="11.25" customHeight="1" x14ac:dyDescent="0.2">
      <c r="E577" s="182"/>
      <c r="F577" s="182"/>
      <c r="G577" s="181"/>
      <c r="J577" s="181"/>
      <c r="K577" s="181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2.33203125" style="129" bestFit="1" customWidth="1"/>
    <col min="2" max="2" width="1.6640625" style="129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1.5" style="129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AUDBBSW3MLastFixing_Quote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I3*_xll.qlDayCounterYearFraction(DayCounter3M,E3,F3,,,Trigger)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IF(E14="FUT",FALSE,IF(E14="FIX+FUT",TRUE,FALSE))</f>
        <v>0</v>
      </c>
      <c r="R3" s="356" t="s">
        <v>68</v>
      </c>
      <c r="S3" s="148">
        <f t="array" ref="S3:S5">_xll.ohFilter(N10:N14,P10:P14)</f>
        <v>5.165642289839947E-3</v>
      </c>
      <c r="T3" s="149">
        <f t="array" ref="T3:T5">_xll.ohFilter(M10:M14,P10:P14)</f>
        <v>3.1079001688872208E-2</v>
      </c>
      <c r="U3" s="150">
        <f t="array" ref="U3:U5">_xll.ohFilter(L10:L14,P10:P14)</f>
        <v>0.24931506849315069</v>
      </c>
      <c r="V3" s="144"/>
      <c r="W3" s="152">
        <f t="array" ref="W3:W5">MMULT(AA3:AC5,Y3:Y5)</f>
        <v>1.3100341153094303E-3</v>
      </c>
      <c r="X3" s="153"/>
      <c r="Y3" s="133">
        <f t="array" ref="Y3:Y5">_xll.ohFilter(N3:N7,P3:P7)</f>
        <v>5.0436755335022928E-4</v>
      </c>
      <c r="AA3" s="148">
        <f t="array" ref="AA3:AC5">MINVERSE(S3:U5)</f>
        <v>924.50520932355073</v>
      </c>
      <c r="AB3" s="149">
        <v>-985.79837237262541</v>
      </c>
      <c r="AC3" s="150">
        <v>61.974198194064869</v>
      </c>
      <c r="AF3" s="161">
        <f>SettlementDate</f>
        <v>41893</v>
      </c>
      <c r="AG3" s="175">
        <f>_xll.qlDayCounterYearFraction(DayCounterON,SettlementDate,AF3,,,Trigger)</f>
        <v>0</v>
      </c>
      <c r="AH3" s="162">
        <f t="shared" ref="AH3:AH66" si="0">$W$13</f>
        <v>2.0230127139871834E-3</v>
      </c>
      <c r="AI3" s="162">
        <f t="shared" ref="AI3:AI66" si="1">$W$10+$W$9*AG3</f>
        <v>2.172199066889596E-3</v>
      </c>
      <c r="AJ3" s="163">
        <f t="shared" ref="AJ3:AJ66" si="2">($W$5+$W$4*AG3+$W$3*AG3^2)</f>
        <v>2.1884550603714966E-3</v>
      </c>
    </row>
    <row r="4" spans="1:36" x14ac:dyDescent="0.2">
      <c r="D4" s="206" t="s">
        <v>105</v>
      </c>
      <c r="E4" s="132">
        <f>SettlementDate</f>
        <v>41893</v>
      </c>
      <c r="F4" s="132">
        <f>_xll.qlInterestRateIndexMaturity($E$9,E4)</f>
        <v>41984</v>
      </c>
      <c r="G4" s="131" t="str">
        <f>_xll.qlMakeDatedOIS(,E4,F4,OvernightIndex,0,,,,EvaluationDate)</f>
        <v>obj_00266#0000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5.0436755335022928E-4</v>
      </c>
      <c r="P4" s="168" t="b">
        <f>IF(E14="FUT",FALSE,IF(E14="FIX+FUT",FALSE,TRUE))</f>
        <v>1</v>
      </c>
      <c r="R4" s="356"/>
      <c r="S4" s="148">
        <v>6.2547874942911683E-3</v>
      </c>
      <c r="T4" s="149">
        <v>3.5177331581910304E-2</v>
      </c>
      <c r="U4" s="150">
        <v>0.24931506849315072</v>
      </c>
      <c r="V4" s="145" t="e">
        <f>#REF!</f>
        <v>#REF!</v>
      </c>
      <c r="W4" s="152">
        <v>-1.5449156967239043E-3</v>
      </c>
      <c r="X4" s="145" t="e">
        <f>#REF!</f>
        <v>#REF!</v>
      </c>
      <c r="Y4" s="133">
        <v>4.9946279654247867E-4</v>
      </c>
      <c r="AA4" s="148">
        <v>-489.69225699329621</v>
      </c>
      <c r="AB4" s="149">
        <v>505.98112498168047</v>
      </c>
      <c r="AC4" s="150">
        <v>-16.469855410477543</v>
      </c>
      <c r="AF4" s="164">
        <f>_xll.qlCalendarAdvance(Calendar,AF3,"1d","mf",,Trigger)</f>
        <v>41894</v>
      </c>
      <c r="AG4" s="175">
        <f>_xll.qlDayCounterYearFraction(DayCounterON,SettlementDate,AF4,,,Trigger)</f>
        <v>2.7397260273972603E-3</v>
      </c>
      <c r="AH4" s="165">
        <f t="shared" si="0"/>
        <v>2.0230127139871834E-3</v>
      </c>
      <c r="AI4" s="165">
        <f t="shared" si="1"/>
        <v>2.1689202459466857E-3</v>
      </c>
      <c r="AJ4" s="135">
        <f t="shared" si="2"/>
        <v>2.1842322478724243E-3</v>
      </c>
    </row>
    <row r="5" spans="1:36" x14ac:dyDescent="0.2">
      <c r="A5" s="147"/>
      <c r="B5" s="147"/>
      <c r="C5" s="129" t="str">
        <f>_xll.qlIMMNextCode(SettlementDate-1,TRUE)</f>
        <v>U4</v>
      </c>
      <c r="D5" s="131" t="str">
        <f>Currency&amp;"FUT3M"&amp;C5&amp;QuoteSuffix</f>
        <v>AUDFUT3MU4_Quote</v>
      </c>
      <c r="E5" s="132">
        <f>_xll.qlIMMdate(C5)</f>
        <v>41899</v>
      </c>
      <c r="F5" s="132">
        <f>_xll.qlInterestRateIndexMaturity($E$9,E5)</f>
        <v>41990</v>
      </c>
      <c r="G5" s="131" t="str">
        <f>_xll.qlMakeDatedOIS(,E5,F5,OvernightIndex,0,,,,EvaluationDate)</f>
        <v>obj_00276#0000</v>
      </c>
      <c r="H5" s="132" t="b">
        <f>_xll.qlInstrumentSetPricingEngine(G5,OisEngine)</f>
        <v>1</v>
      </c>
      <c r="I5" s="133">
        <f>1-_xll.qlQuoteValue($D5,AllTriggers)/100</f>
        <v>2.6649999999999952E-2</v>
      </c>
      <c r="J5" s="134">
        <f>_xll.qlOvernightIndexedSwapFairRate(G5,_xll.ohTrigger(H5,InterestRatesTrigger))</f>
        <v>2.4646660211670231E-2</v>
      </c>
      <c r="K5" s="157">
        <f>I5*_xll.qlDayCounterYearFraction(DayCounter3M,E5,F5,,,Trigger)</f>
        <v>6.6442465753424537E-3</v>
      </c>
      <c r="L5" s="157">
        <f>J5*_xll.qlDayCounterYearFraction(DayCounterOIS,E5,F5,,,Trigger)</f>
        <v>6.144783778799975E-3</v>
      </c>
      <c r="M5" s="168">
        <f>K5-L5</f>
        <v>4.9946279654247867E-4</v>
      </c>
      <c r="N5" s="168">
        <f>M5</f>
        <v>4.9946279654247867E-4</v>
      </c>
      <c r="P5" s="168" t="b">
        <v>1</v>
      </c>
      <c r="R5" s="356"/>
      <c r="S5" s="148">
        <v>3.8569214198865352E-2</v>
      </c>
      <c r="T5" s="149">
        <v>9.592794145243011E-2</v>
      </c>
      <c r="U5" s="150">
        <v>0.24657534246575341</v>
      </c>
      <c r="V5" s="147"/>
      <c r="W5" s="152">
        <v>2.1884550603714966E-3</v>
      </c>
      <c r="X5" s="145"/>
      <c r="Y5" s="133">
        <v>4.4194545987892835E-4</v>
      </c>
      <c r="AA5" s="148">
        <v>45.899685666121741</v>
      </c>
      <c r="AB5" s="149">
        <v>-42.649273228953675</v>
      </c>
      <c r="AC5" s="150">
        <v>0.76902742464118623</v>
      </c>
      <c r="AF5" s="164">
        <f>_xll.qlCalendarAdvance(Calendar,AF4,"1d","mf",,Trigger)</f>
        <v>41897</v>
      </c>
      <c r="AG5" s="175">
        <f>_xll.qlDayCounterYearFraction(DayCounterON,SettlementDate,AF5,,,Trigger)</f>
        <v>1.0958904109589041E-2</v>
      </c>
      <c r="AH5" s="165">
        <f t="shared" si="0"/>
        <v>2.0230127139871834E-3</v>
      </c>
      <c r="AI5" s="165">
        <f t="shared" si="1"/>
        <v>2.159083783117955E-3</v>
      </c>
      <c r="AJ5" s="135">
        <f t="shared" si="2"/>
        <v>2.1716818093197275E-3</v>
      </c>
    </row>
    <row r="6" spans="1:36" x14ac:dyDescent="0.2">
      <c r="A6" s="147"/>
      <c r="B6" s="147"/>
      <c r="C6" s="205" t="str">
        <f>_xll.qlIMMNextCode(E5,TRUE)</f>
        <v>Z4</v>
      </c>
      <c r="D6" s="131" t="str">
        <f>Currency&amp;"FUT3M"&amp;C6&amp;QuoteSuffix</f>
        <v>AUDFUT3MZ4_Quote</v>
      </c>
      <c r="E6" s="132">
        <f>_xll.qlIMMdate(C6)</f>
        <v>41990</v>
      </c>
      <c r="F6" s="132">
        <f>_xll.qlInterestRateIndexMaturity($E$9,E6)</f>
        <v>42080</v>
      </c>
      <c r="G6" s="131" t="str">
        <f>_xll.qlMakeDatedOIS(,E6,F6,OvernightIndex,0,,,,EvaluationDate)</f>
        <v>obj_00279#0000</v>
      </c>
      <c r="H6" s="132" t="b">
        <f>_xll.qlInstrumentSetPricingEngine(G6,OisEngine)</f>
        <v>1</v>
      </c>
      <c r="I6" s="133">
        <f>1-_xll.qlQuoteValue($D6,AllTriggers)/100</f>
        <v>2.6349999999999874E-2</v>
      </c>
      <c r="J6" s="134">
        <f>_xll.qlOvernightIndexedSwapFairRate(G6,_xll.ohTrigger(H6,InterestRatesTrigger))</f>
        <v>2.4557665634935333E-2</v>
      </c>
      <c r="K6" s="157">
        <f>I6*_xll.qlDayCounterYearFraction(DayCounter3M,E6,F6,,,Trigger)</f>
        <v>6.4972602739725716E-3</v>
      </c>
      <c r="L6" s="157">
        <f>J6*_xll.qlDayCounterYearFraction(DayCounterOIS,E6,F6,,,Trigger)</f>
        <v>6.0553148140936432E-3</v>
      </c>
      <c r="M6" s="168">
        <f>K6-L6</f>
        <v>4.4194545987892835E-4</v>
      </c>
      <c r="N6" s="168">
        <f>M6</f>
        <v>4.4194545987892835E-4</v>
      </c>
      <c r="P6" s="168" t="b">
        <v>1</v>
      </c>
      <c r="W6" s="154"/>
      <c r="X6" s="210"/>
      <c r="Y6" s="155"/>
      <c r="AF6" s="164">
        <f>_xll.qlCalendarAdvance(Calendar,AF5,"1d","mf",,Trigger)</f>
        <v>41898</v>
      </c>
      <c r="AG6" s="175">
        <f>_xll.qlDayCounterYearFraction(DayCounterON,SettlementDate,AF6,,,Trigger)</f>
        <v>1.3698630136986301E-2</v>
      </c>
      <c r="AH6" s="165">
        <f t="shared" si="0"/>
        <v>2.0230127139871834E-3</v>
      </c>
      <c r="AI6" s="165">
        <f t="shared" si="1"/>
        <v>2.1558049621750448E-3</v>
      </c>
      <c r="AJ6" s="135">
        <f t="shared" si="2"/>
        <v>2.1675376627836684E-3</v>
      </c>
    </row>
    <row r="7" spans="1:36" ht="12" thickBot="1" x14ac:dyDescent="0.25">
      <c r="A7" s="147"/>
      <c r="B7" s="147"/>
      <c r="C7" s="205" t="str">
        <f>_xll.qlIMMNextCode(E6,TRUE)</f>
        <v>H5</v>
      </c>
      <c r="D7" s="136" t="str">
        <f>Currency&amp;"FUT3M"&amp;C7&amp;QuoteSuffix</f>
        <v>AUDFUT3MH5_Quote</v>
      </c>
      <c r="E7" s="137">
        <f>_xll.qlIMMdate(C7)</f>
        <v>42081</v>
      </c>
      <c r="F7" s="137">
        <f>_xll.qlInterestRateIndexMaturity($E$9,E7)</f>
        <v>42173</v>
      </c>
      <c r="G7" s="136" t="str">
        <f>_xll.qlMakeDatedOIS(,E7,F7,OvernightIndex,0,,,,EvaluationDate)</f>
        <v>obj_00278#0000</v>
      </c>
      <c r="H7" s="137" t="b">
        <f>_xll.qlInstrumentSetPricingEngine(G7,OisEngine)</f>
        <v>1</v>
      </c>
      <c r="I7" s="139">
        <f>1-_xll.qlQuoteValue($D7,AllTriggers)/100</f>
        <v>2.6549999999999963E-2</v>
      </c>
      <c r="J7" s="139">
        <f>_xll.qlOvernightIndexedSwapFairRate(G7,_xll.ohTrigger(H7,InterestRatesTrigger))</f>
        <v>2.4755911193764572E-2</v>
      </c>
      <c r="K7" s="158">
        <f>I7*_xll.qlDayCounterYearFraction(DayCounter3M,E7,F7,,,Trigger)</f>
        <v>6.692054794520539E-3</v>
      </c>
      <c r="L7" s="158">
        <f>J7*_xll.qlDayCounterYearFraction(DayCounterOIS,E7,F7,,,Trigger)</f>
        <v>6.239846109113263E-3</v>
      </c>
      <c r="M7" s="169">
        <f>K7-L7</f>
        <v>4.5220868540727602E-4</v>
      </c>
      <c r="N7" s="169">
        <f>M7</f>
        <v>4.5220868540727602E-4</v>
      </c>
      <c r="P7" s="169" t="b">
        <f>IF(E14="FUT",TRUE,FALSE)</f>
        <v>0</v>
      </c>
      <c r="W7" s="154"/>
      <c r="X7" s="210"/>
      <c r="Y7" s="155"/>
      <c r="AF7" s="164">
        <f>_xll.qlCalendarAdvance(Calendar,AF6,"1d","mf",,Trigger)</f>
        <v>41899</v>
      </c>
      <c r="AG7" s="175">
        <f>_xll.qlDayCounterYearFraction(DayCounterON,SettlementDate,AF7,,,Trigger)</f>
        <v>1.643835616438356E-2</v>
      </c>
      <c r="AH7" s="165">
        <f t="shared" si="0"/>
        <v>2.0230127139871834E-3</v>
      </c>
      <c r="AI7" s="165">
        <f t="shared" si="1"/>
        <v>2.1525261412321346E-3</v>
      </c>
      <c r="AJ7" s="135">
        <f t="shared" si="2"/>
        <v>2.163413182738363E-3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41900</v>
      </c>
      <c r="AG8" s="175">
        <f>_xll.qlDayCounterYearFraction(DayCounterON,SettlementDate,AF8,,,Trigger)</f>
        <v>1.9178082191780823E-2</v>
      </c>
      <c r="AH8" s="165">
        <f t="shared" si="0"/>
        <v>2.0230127139871834E-3</v>
      </c>
      <c r="AI8" s="165">
        <f t="shared" si="1"/>
        <v>2.1492473202892244E-3</v>
      </c>
      <c r="AJ8" s="135">
        <f t="shared" si="2"/>
        <v>2.1593083691838107E-3</v>
      </c>
    </row>
    <row r="9" spans="1:36" x14ac:dyDescent="0.2">
      <c r="D9" s="141" t="s">
        <v>93</v>
      </c>
      <c r="E9" s="203" t="str">
        <f>Currency&amp;IborType&amp;"3M"</f>
        <v>AUDBBSW3M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3.1079001688872208E-2</v>
      </c>
      <c r="U9" s="150">
        <f t="array" ref="U9:U10">_xll.ohFilter(L10:L14,P10:P14)</f>
        <v>0.24931506849315069</v>
      </c>
      <c r="V9" s="357" t="s">
        <v>29</v>
      </c>
      <c r="W9" s="152">
        <f t="array" ref="W9:W10">MMULT(AA9:AB10,Y9:Y10)</f>
        <v>-1.1967696441622239E-3</v>
      </c>
      <c r="X9" s="357" t="s">
        <v>30</v>
      </c>
      <c r="Y9" s="133">
        <f t="array" ref="Y9:Y10">_xll.ohFilter(N3:N7,P3:P7)</f>
        <v>5.0436755335022928E-4</v>
      </c>
      <c r="AA9" s="148">
        <f t="array" ref="AA9:AB10">MINVERSE(T9:U10)</f>
        <v>-244.00183150183156</v>
      </c>
      <c r="AB9" s="150">
        <v>244.00183150183156</v>
      </c>
      <c r="AF9" s="164">
        <f>_xll.qlCalendarAdvance(Calendar,AF8,"1d","mf",,Trigger)</f>
        <v>41901</v>
      </c>
      <c r="AG9" s="175">
        <f>_xll.qlDayCounterYearFraction(DayCounterON,SettlementDate,AF9,,,Trigger)</f>
        <v>2.1917808219178082E-2</v>
      </c>
      <c r="AH9" s="165">
        <f t="shared" si="0"/>
        <v>2.0230127139871834E-3</v>
      </c>
      <c r="AI9" s="165">
        <f t="shared" si="1"/>
        <v>2.1459684993463141E-3</v>
      </c>
      <c r="AJ9" s="135">
        <f t="shared" si="2"/>
        <v>2.155223222120012E-3</v>
      </c>
    </row>
    <row r="10" spans="1:36" ht="11.25" customHeight="1" x14ac:dyDescent="0.2">
      <c r="D10" s="159" t="s">
        <v>110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3.5177331581910304E-2</v>
      </c>
      <c r="U10" s="150">
        <v>0.24931506849315072</v>
      </c>
      <c r="V10" s="357"/>
      <c r="W10" s="152">
        <v>2.172199066889596E-3</v>
      </c>
      <c r="X10" s="357"/>
      <c r="Y10" s="133">
        <v>4.9946279654247867E-4</v>
      </c>
      <c r="AA10" s="148">
        <v>34.427655677655686</v>
      </c>
      <c r="AB10" s="150">
        <v>-30.416666666666675</v>
      </c>
      <c r="AF10" s="164">
        <f>_xll.qlCalendarAdvance(Calendar,AF9,"1d","mf",,Trigger)</f>
        <v>41904</v>
      </c>
      <c r="AG10" s="175">
        <f>_xll.qlDayCounterYearFraction(DayCounterON,SettlementDate,AF10,,,Trigger)</f>
        <v>3.0136986301369864E-2</v>
      </c>
      <c r="AH10" s="165">
        <f t="shared" si="0"/>
        <v>2.0230127139871834E-3</v>
      </c>
      <c r="AI10" s="165">
        <f t="shared" si="1"/>
        <v>2.1361320365175839E-3</v>
      </c>
      <c r="AJ10" s="135">
        <f t="shared" si="2"/>
        <v>2.1430857798731364E-3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215" t="b">
        <f>P4</f>
        <v>1</v>
      </c>
      <c r="W11" s="154"/>
      <c r="X11" s="210"/>
      <c r="Y11" s="155"/>
      <c r="AF11" s="164">
        <f>_xll.qlCalendarAdvance(Calendar,AF10,"1d","mf",,Trigger)</f>
        <v>41905</v>
      </c>
      <c r="AG11" s="175">
        <f>_xll.qlDayCounterYearFraction(DayCounterON,SettlementDate,AF11,,,Trigger)</f>
        <v>3.287671232876712E-2</v>
      </c>
      <c r="AH11" s="165">
        <f t="shared" si="0"/>
        <v>2.0230127139871834E-3</v>
      </c>
      <c r="AI11" s="165">
        <f t="shared" si="1"/>
        <v>2.1328532155746737E-3</v>
      </c>
      <c r="AJ11" s="135">
        <f t="shared" si="2"/>
        <v>2.1390792987723514E-3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1.643835616438356E-2</v>
      </c>
      <c r="K12" s="214">
        <f>_xll.qlDayCounterYearFraction(DayCounterON,SettlementDate,F5,,,Trigger)</f>
        <v>0.26575342465753427</v>
      </c>
      <c r="L12" s="214">
        <f>K12-J12</f>
        <v>0.24931506849315072</v>
      </c>
      <c r="M12" s="214">
        <f>(K12^2-J12^2)/2</f>
        <v>3.5177331581910304E-2</v>
      </c>
      <c r="N12" s="215">
        <f>(K12^3-J12^3)/3</f>
        <v>6.2547874942911683E-3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41906</v>
      </c>
      <c r="AG12" s="175">
        <f>_xll.qlDayCounterYearFraction(DayCounterON,SettlementDate,AF12,,,Trigger)</f>
        <v>3.5616438356164383E-2</v>
      </c>
      <c r="AH12" s="165">
        <f t="shared" si="0"/>
        <v>2.0230127139871834E-3</v>
      </c>
      <c r="AI12" s="165">
        <f t="shared" si="1"/>
        <v>2.1295743946317634E-3</v>
      </c>
      <c r="AJ12" s="135">
        <f t="shared" si="2"/>
        <v>2.1350924841623195E-3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_xll.qlInterpolation(,E13,E5:E7,M5:M7)</f>
        <v>obj_003eb#0001</v>
      </c>
      <c r="J13" s="213">
        <f>_xll.qlDayCounterYearFraction(DayCounterON,SettlementDate,E6,,,Trigger)</f>
        <v>0.26575342465753427</v>
      </c>
      <c r="K13" s="214">
        <f>_xll.qlDayCounterYearFraction(DayCounterON,SettlementDate,F6,,,Trigger)</f>
        <v>0.51232876712328768</v>
      </c>
      <c r="L13" s="214">
        <f>K13-J13</f>
        <v>0.24657534246575341</v>
      </c>
      <c r="M13" s="214">
        <f>(K13^2-J13^2)/2</f>
        <v>9.592794145243011E-2</v>
      </c>
      <c r="N13" s="215">
        <f>(K13^3-J13^3)/3</f>
        <v>3.8569214198865352E-2</v>
      </c>
      <c r="P13" s="215" t="b">
        <f>P6</f>
        <v>1</v>
      </c>
      <c r="R13" s="202" t="s">
        <v>70</v>
      </c>
      <c r="U13" s="151">
        <f t="array" ref="U13">_xll.ohFilter(L10:L14,P10:P14)</f>
        <v>0.24931506849315069</v>
      </c>
      <c r="V13" s="202" t="s">
        <v>29</v>
      </c>
      <c r="W13" s="152">
        <f>MMULT(AA13,Y13)</f>
        <v>2.0230127139871834E-3</v>
      </c>
      <c r="X13" s="202" t="s">
        <v>30</v>
      </c>
      <c r="Y13" s="133">
        <f>_xll.ohFilter(N3:N7,P3:P7)</f>
        <v>5.0436755335022928E-4</v>
      </c>
      <c r="AA13" s="151">
        <f>MINVERSE(U13)</f>
        <v>4.0109890109890109</v>
      </c>
      <c r="AF13" s="164">
        <f>_xll.qlCalendarAdvance(Calendar,AF12,"1d","mf",,Trigger)</f>
        <v>41907</v>
      </c>
      <c r="AG13" s="175">
        <f>_xll.qlDayCounterYearFraction(DayCounterON,SettlementDate,AF13,,,Trigger)</f>
        <v>3.8356164383561646E-2</v>
      </c>
      <c r="AH13" s="165">
        <f t="shared" si="0"/>
        <v>2.0230127139871834E-3</v>
      </c>
      <c r="AI13" s="165">
        <f t="shared" si="1"/>
        <v>2.1262955736888532E-3</v>
      </c>
      <c r="AJ13" s="135">
        <f t="shared" si="2"/>
        <v>2.1311253360430408E-3</v>
      </c>
    </row>
    <row r="14" spans="1:36" ht="11.25" customHeight="1" thickBot="1" x14ac:dyDescent="0.25">
      <c r="D14" s="160" t="s">
        <v>101</v>
      </c>
      <c r="E14" s="225" t="s">
        <v>103</v>
      </c>
      <c r="J14" s="216">
        <f>_xll.qlDayCounterYearFraction(DayCounterON,SettlementDate,E7,,,Trigger)</f>
        <v>0.51506849315068493</v>
      </c>
      <c r="K14" s="217">
        <f>_xll.qlDayCounterYearFraction(DayCounterON,SettlementDate,F7,,,Trigger)</f>
        <v>0.76712328767123283</v>
      </c>
      <c r="L14" s="217">
        <f>K14-J14</f>
        <v>0.25205479452054791</v>
      </c>
      <c r="M14" s="217">
        <f>(K14^2-J14^2)/2</f>
        <v>0.16159129292550195</v>
      </c>
      <c r="N14" s="218">
        <f>(K14^3-J14^3)/3</f>
        <v>0.10492996792770837</v>
      </c>
      <c r="P14" s="218" t="b">
        <f>P7</f>
        <v>0</v>
      </c>
      <c r="AF14" s="164">
        <f>_xll.qlCalendarAdvance(Calendar,AF13,"1d","mf",,Trigger)</f>
        <v>41908</v>
      </c>
      <c r="AG14" s="175">
        <f>_xll.qlDayCounterYearFraction(DayCounterON,SettlementDate,AF14,,,Trigger)</f>
        <v>4.1095890410958902E-2</v>
      </c>
      <c r="AH14" s="165">
        <f t="shared" si="0"/>
        <v>2.0230127139871834E-3</v>
      </c>
      <c r="AI14" s="165">
        <f t="shared" si="1"/>
        <v>2.123016752745943E-3</v>
      </c>
      <c r="AJ14" s="135">
        <f t="shared" si="2"/>
        <v>2.1271778544145158E-3</v>
      </c>
    </row>
    <row r="15" spans="1:36" ht="14.25" customHeight="1" thickBot="1" x14ac:dyDescent="0.25">
      <c r="P15" s="146"/>
      <c r="AF15" s="164">
        <f>_xll.qlCalendarAdvance(Calendar,AF14,"1d","mf",,Trigger)</f>
        <v>41911</v>
      </c>
      <c r="AG15" s="175">
        <f>_xll.qlDayCounterYearFraction(DayCounterON,SettlementDate,AF15,,,Trigger)</f>
        <v>4.9315068493150684E-2</v>
      </c>
      <c r="AH15" s="165">
        <f t="shared" si="0"/>
        <v>2.0230127139871834E-3</v>
      </c>
      <c r="AI15" s="165">
        <f t="shared" si="1"/>
        <v>2.1131802899172123E-3</v>
      </c>
      <c r="AJ15" s="135">
        <f t="shared" si="2"/>
        <v>2.115453408473461E-3</v>
      </c>
    </row>
    <row r="16" spans="1:36" ht="11.25" customHeight="1" thickBot="1" x14ac:dyDescent="0.25">
      <c r="M16" s="219" t="s">
        <v>104</v>
      </c>
      <c r="N16" s="220"/>
      <c r="O16" s="221"/>
      <c r="P16" s="146"/>
      <c r="AF16" s="164">
        <f>_xll.qlCalendarAdvance(Calendar,AF15,"1d","mf",,Trigger)</f>
        <v>41912</v>
      </c>
      <c r="AG16" s="175">
        <f>_xll.qlDayCounterYearFraction(DayCounterON,SettlementDate,AF16,,,Trigger)</f>
        <v>5.2054794520547946E-2</v>
      </c>
      <c r="AH16" s="165">
        <f t="shared" si="0"/>
        <v>2.0230127139871834E-3</v>
      </c>
      <c r="AI16" s="165">
        <f t="shared" si="1"/>
        <v>2.1099014689743021E-3</v>
      </c>
      <c r="AJ16" s="135">
        <f t="shared" si="2"/>
        <v>2.1115845928079495E-3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41913</v>
      </c>
      <c r="AG17" s="175">
        <f>_xll.qlDayCounterYearFraction(DayCounterON,SettlementDate,AF17,,,Trigger)</f>
        <v>5.4794520547945202E-2</v>
      </c>
      <c r="AH17" s="165">
        <f t="shared" si="0"/>
        <v>2.0230127139871834E-3</v>
      </c>
      <c r="AI17" s="165">
        <f t="shared" si="1"/>
        <v>2.1066226480313918E-3</v>
      </c>
      <c r="AJ17" s="135">
        <f t="shared" si="2"/>
        <v>2.1077354436331913E-3</v>
      </c>
    </row>
    <row r="18" spans="4:36" ht="11.25" customHeight="1" x14ac:dyDescent="0.2">
      <c r="D18" s="180" t="s">
        <v>35</v>
      </c>
      <c r="E18" s="172">
        <f>_xll.qlCalendarAdvance(Calendar,SettlementDate,"2D","f",,Trigger)</f>
        <v>41897</v>
      </c>
      <c r="F18" s="172">
        <f>_xll.qlCalendarAdvance(Calendar,E18,D18,"Following",,Trigger)</f>
        <v>41898</v>
      </c>
      <c r="G18" s="173" t="str">
        <f>_xll.qlMakeDatedOIS(,E18,F18,OvernightIndex,0,,,,EvaluationDate)</f>
        <v>obj_00253#0000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2.4652903787512056E-2</v>
      </c>
      <c r="J18" s="214">
        <f>_xll.qlDayCounterYearFraction(DayCounterOIS,E18,F18,,,Trigger)</f>
        <v>2.7397260273972603E-3</v>
      </c>
      <c r="K18" s="214">
        <f>_xll.qlDayCounterYearFraction(DayCounter3M,E18,F18,,,Trigger)</f>
        <v>2.7397260273972603E-3</v>
      </c>
      <c r="L18" s="214">
        <f>_xll.qlDayCounterYearFraction(DayCounterON,E18,F18,,,Trigger)</f>
        <v>2.7397260273972603E-3</v>
      </c>
      <c r="M18" s="165">
        <f>($I18*$J18+$W$13*L18)/$K18</f>
        <v>2.6675916501499242E-2</v>
      </c>
      <c r="N18" s="165">
        <f>($I18*$J18+($W$10*L18+$W$9*L18^2/2))/$K18</f>
        <v>2.68234634439302E-2</v>
      </c>
      <c r="O18" s="163">
        <f>($I18*$J18+($W$5*L18+$W$4*L18^2/2+$W$3*L18^3/3))/$K18</f>
        <v>2.6839245802759787E-2</v>
      </c>
      <c r="P18" s="146"/>
      <c r="AF18" s="164">
        <f>_xll.qlCalendarAdvance(Calendar,AF17,"1d","mf",,Trigger)</f>
        <v>41914</v>
      </c>
      <c r="AG18" s="175">
        <f>_xll.qlDayCounterYearFraction(DayCounterON,SettlementDate,AF18,,,Trigger)</f>
        <v>5.7534246575342465E-2</v>
      </c>
      <c r="AH18" s="165">
        <f t="shared" si="0"/>
        <v>2.0230127139871834E-3</v>
      </c>
      <c r="AI18" s="165">
        <f t="shared" si="1"/>
        <v>2.1033438270884816E-3</v>
      </c>
      <c r="AJ18" s="135">
        <f t="shared" si="2"/>
        <v>2.1039059609491862E-3</v>
      </c>
    </row>
    <row r="19" spans="4:36" ht="11.25" customHeight="1" x14ac:dyDescent="0.2">
      <c r="D19" s="178" t="s">
        <v>36</v>
      </c>
      <c r="E19" s="174">
        <f>_xll.qlCalendarAdvance(Calendar,SettlementDate,"2D","f",,Trigger)</f>
        <v>41897</v>
      </c>
      <c r="F19" s="174">
        <f>_xll.qlCalendarAdvance(Calendar,E19,D19,"Following",,Trigger)</f>
        <v>41904</v>
      </c>
      <c r="G19" s="175" t="str">
        <f>_xll.qlMakeDatedOIS(,E19,F19,OvernightIndex,0,,,,EvaluationDate)</f>
        <v>obj_00258#0000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2.4653753965291663E-2</v>
      </c>
      <c r="J19" s="214">
        <f>_xll.qlDayCounterYearFraction(DayCounterOIS,E19,F19,,,Trigger)</f>
        <v>1.9178082191780823E-2</v>
      </c>
      <c r="K19" s="214">
        <f>_xll.qlDayCounterYearFraction(DayCounter3M,E19,F19,,,Trigger)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2.6676766679278846E-2</v>
      </c>
      <c r="N19" s="165">
        <f t="shared" ref="N19:N24" si="3">($I19*$J19+($W$10*L19+$W$9*L19^2/2))/$K19</f>
        <v>2.6814477158881075E-2</v>
      </c>
      <c r="O19" s="135">
        <f t="shared" ref="O19:O24" si="4">($I19*$J19+($W$5*L19+$W$4*L19^2/2+$W$3*L19^3/3))/$K19</f>
        <v>2.6827555375232074E-2</v>
      </c>
      <c r="P19" s="146"/>
      <c r="AF19" s="164">
        <f>_xll.qlCalendarAdvance(Calendar,AF18,"1d","mf",,Trigger)</f>
        <v>41915</v>
      </c>
      <c r="AG19" s="175">
        <f>_xll.qlDayCounterYearFraction(DayCounterON,SettlementDate,AF19,,,Trigger)</f>
        <v>6.0273972602739728E-2</v>
      </c>
      <c r="AH19" s="165">
        <f t="shared" si="0"/>
        <v>2.0230127139871834E-3</v>
      </c>
      <c r="AI19" s="165">
        <f t="shared" si="1"/>
        <v>2.1000650061455714E-3</v>
      </c>
      <c r="AJ19" s="135">
        <f t="shared" si="2"/>
        <v>2.1000961447559348E-3</v>
      </c>
    </row>
    <row r="20" spans="4:36" ht="11.25" customHeight="1" x14ac:dyDescent="0.2">
      <c r="D20" s="178" t="s">
        <v>37</v>
      </c>
      <c r="E20" s="174">
        <f>_xll.qlCalendarAdvance(Calendar,SettlementDate,"2D","f",,Trigger)</f>
        <v>41897</v>
      </c>
      <c r="F20" s="174">
        <f>_xll.qlCalendarAdvance(Calendar,E20,D20,"Following",,Trigger)</f>
        <v>41911</v>
      </c>
      <c r="G20" s="175" t="str">
        <f>_xll.qlMakeDatedOIS(,E20,F20,OvernightIndex,0,,,,EvaluationDate)</f>
        <v>obj_00262#0000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2.4653625524633554E-2</v>
      </c>
      <c r="J20" s="214">
        <f>_xll.qlDayCounterYearFraction(DayCounterOIS,E20,F20,,,Trigger)</f>
        <v>3.8356164383561646E-2</v>
      </c>
      <c r="K20" s="214">
        <f>_xll.qlDayCounterYearFraction(DayCounter3M,E20,F20,,,Trigger)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4" si="5">($I20*$J20+$W$13*L20)/$K20</f>
        <v>2.6676638238620737E-2</v>
      </c>
      <c r="N20" s="165">
        <f t="shared" si="3"/>
        <v>2.6802872844922779E-2</v>
      </c>
      <c r="O20" s="135">
        <f t="shared" si="4"/>
        <v>2.6813094503491852E-2</v>
      </c>
      <c r="P20" s="146"/>
      <c r="AF20" s="164">
        <f>_xll.qlCalendarAdvance(Calendar,AF19,"1d","mf",,Trigger)</f>
        <v>41919</v>
      </c>
      <c r="AG20" s="175">
        <f>_xll.qlDayCounterYearFraction(DayCounterON,SettlementDate,AF20,,,Trigger)</f>
        <v>7.1232876712328766E-2</v>
      </c>
      <c r="AH20" s="165">
        <f t="shared" si="0"/>
        <v>2.0230127139871834E-3</v>
      </c>
      <c r="AI20" s="165">
        <f t="shared" si="1"/>
        <v>2.0869497223739309E-3</v>
      </c>
      <c r="AJ20" s="135">
        <f t="shared" si="2"/>
        <v>2.0850535448904634E-3</v>
      </c>
    </row>
    <row r="21" spans="4:36" ht="11.25" customHeight="1" x14ac:dyDescent="0.2">
      <c r="D21" s="178" t="s">
        <v>38</v>
      </c>
      <c r="E21" s="174">
        <f>_xll.qlCalendarAdvance(Calendar,SettlementDate,"2D","f",,Trigger)</f>
        <v>41897</v>
      </c>
      <c r="F21" s="174">
        <f>_xll.qlCalendarAdvance(Calendar,E21,D21,"Following",,Trigger)</f>
        <v>41919</v>
      </c>
      <c r="G21" s="175" t="str">
        <f>_xll.qlMakeDatedOIS(,E21,F21,OvernightIndex,0,,,,EvaluationDate)</f>
        <v>obj_00255#0000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2.4653150513849604E-2</v>
      </c>
      <c r="J21" s="214">
        <f>_xll.qlDayCounterYearFraction(DayCounterOIS,E21,F21,,,Trigger)</f>
        <v>6.0273972602739728E-2</v>
      </c>
      <c r="K21" s="214">
        <f>_xll.qlDayCounterYearFraction(DayCounter3M,E21,F21,,,Trigger)</f>
        <v>6.0273972602739728E-2</v>
      </c>
      <c r="L21" s="214">
        <f>_xll.qlDayCounterYearFraction(DayCounterON,E21,F21,,,Trigger)</f>
        <v>6.0273972602739728E-2</v>
      </c>
      <c r="M21" s="165">
        <f t="shared" si="5"/>
        <v>2.6676163227836783E-2</v>
      </c>
      <c r="N21" s="165">
        <f t="shared" si="3"/>
        <v>2.6789282550367187E-2</v>
      </c>
      <c r="O21" s="135">
        <f t="shared" si="4"/>
        <v>2.6796632901286265E-2</v>
      </c>
      <c r="P21" s="146"/>
      <c r="AF21" s="164">
        <f>_xll.qlCalendarAdvance(Calendar,AF20,"1d","mf",,Trigger)</f>
        <v>41920</v>
      </c>
      <c r="AG21" s="175">
        <f>_xll.qlDayCounterYearFraction(DayCounterON,SettlementDate,AF21,,,Trigger)</f>
        <v>7.3972602739726029E-2</v>
      </c>
      <c r="AH21" s="165">
        <f t="shared" si="0"/>
        <v>2.0230127139871834E-3</v>
      </c>
      <c r="AI21" s="165">
        <f t="shared" si="1"/>
        <v>2.0836709014310207E-3</v>
      </c>
      <c r="AJ21" s="135">
        <f t="shared" si="2"/>
        <v>2.0813420611509787E-3</v>
      </c>
    </row>
    <row r="22" spans="4:36" ht="11.25" customHeight="1" x14ac:dyDescent="0.2">
      <c r="D22" s="178" t="s">
        <v>32</v>
      </c>
      <c r="E22" s="174">
        <f>_xll.qlCalendarAdvance(Calendar,SettlementDate,"2D","f",,Trigger)</f>
        <v>41897</v>
      </c>
      <c r="F22" s="174">
        <f>_xll.qlCalendarAdvance(Calendar,E22,D22,"Following",,Trigger)</f>
        <v>41927</v>
      </c>
      <c r="G22" s="175" t="str">
        <f>_xll.qlMakeDatedOIS(,E22,F22,OvernightIndex,0,,,,EvaluationDate)</f>
        <v>obj_00256#0000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2.4652428262607273E-2</v>
      </c>
      <c r="J22" s="214">
        <f>_xll.qlDayCounterYearFraction(DayCounterOIS,E22,F22,,,Trigger)</f>
        <v>8.2191780821917804E-2</v>
      </c>
      <c r="K22" s="214">
        <f>_xll.qlDayCounterYearFraction(DayCounter3M,E22,F22,,,Trigger)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2.6675440976594456E-2</v>
      </c>
      <c r="N22" s="165">
        <f t="shared" si="3"/>
        <v>2.6775445015353217E-2</v>
      </c>
      <c r="O22" s="135">
        <f t="shared" si="4"/>
        <v>2.6780343610425042E-2</v>
      </c>
      <c r="P22" s="146"/>
      <c r="AF22" s="164">
        <f>_xll.qlCalendarAdvance(Calendar,AF21,"1d","mf",,Trigger)</f>
        <v>41921</v>
      </c>
      <c r="AG22" s="175">
        <f>_xll.qlDayCounterYearFraction(DayCounterON,SettlementDate,AF22,,,Trigger)</f>
        <v>7.6712328767123292E-2</v>
      </c>
      <c r="AH22" s="165">
        <f t="shared" si="0"/>
        <v>2.0230127139871834E-3</v>
      </c>
      <c r="AI22" s="165">
        <f t="shared" si="1"/>
        <v>2.0803920804881105E-3</v>
      </c>
      <c r="AJ22" s="135">
        <f t="shared" si="2"/>
        <v>2.0776502439022477E-3</v>
      </c>
    </row>
    <row r="23" spans="4:36" ht="11.25" customHeight="1" x14ac:dyDescent="0.2">
      <c r="D23" s="178" t="s">
        <v>39</v>
      </c>
      <c r="E23" s="174">
        <f>_xll.qlCalendarAdvance(Calendar,SettlementDate,"2D","f",,Trigger)</f>
        <v>41897</v>
      </c>
      <c r="F23" s="174">
        <f>_xll.qlCalendarAdvance(Calendar,E23,D23,"Following",,Trigger)</f>
        <v>41960</v>
      </c>
      <c r="G23" s="175" t="str">
        <f>_xll.qlMakeDatedOIS(,E23,F23,OvernightIndex,0,,,,EvaluationDate)</f>
        <v>obj_00257#0000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2.4653468749657702E-2</v>
      </c>
      <c r="J23" s="214">
        <f>_xll.qlDayCounterYearFraction(DayCounterOIS,E23,F23,,,Trigger)</f>
        <v>0.17260273972602741</v>
      </c>
      <c r="K23" s="214">
        <f>_xll.qlDayCounterYearFraction(DayCounter3M,E23,F23,,,Trigger)</f>
        <v>0.17260273972602741</v>
      </c>
      <c r="L23" s="214">
        <f>_xll.qlDayCounterYearFraction(DayCounterON,E23,F23,,,Trigger)</f>
        <v>0.17260273972602741</v>
      </c>
      <c r="M23" s="165">
        <f t="shared" si="5"/>
        <v>2.6676481463644885E-2</v>
      </c>
      <c r="N23" s="165">
        <f t="shared" si="3"/>
        <v>2.6722384956845625E-2</v>
      </c>
      <c r="O23" s="135">
        <f t="shared" si="4"/>
        <v>2.6721604852712411E-2</v>
      </c>
      <c r="P23" s="146"/>
      <c r="AF23" s="164">
        <f>_xll.qlCalendarAdvance(Calendar,AF22,"1d","mf",,Trigger)</f>
        <v>41922</v>
      </c>
      <c r="AG23" s="175">
        <f>_xll.qlDayCounterYearFraction(DayCounterON,SettlementDate,AF23,,,Trigger)</f>
        <v>7.9452054794520555E-2</v>
      </c>
      <c r="AH23" s="165">
        <f t="shared" si="0"/>
        <v>2.0230127139871834E-3</v>
      </c>
      <c r="AI23" s="165">
        <f t="shared" si="1"/>
        <v>2.0771132595452002E-3</v>
      </c>
      <c r="AJ23" s="135">
        <f t="shared" si="2"/>
        <v>2.0739780931442698E-3</v>
      </c>
    </row>
    <row r="24" spans="4:36" ht="11.25" customHeight="1" thickBot="1" x14ac:dyDescent="0.25">
      <c r="D24" s="179" t="s">
        <v>33</v>
      </c>
      <c r="E24" s="176">
        <f>_xll.qlCalendarAdvance(Calendar,SettlementDate,"2D","f",,Trigger)</f>
        <v>41897</v>
      </c>
      <c r="F24" s="176">
        <f>_xll.qlCalendarAdvance(Calendar,E24,D24,"Following",,Trigger)</f>
        <v>41988</v>
      </c>
      <c r="G24" s="177" t="str">
        <f>_xll.qlMakeDatedOIS(,E24,F24,OvernightIndex,0,,,,EvaluationDate)</f>
        <v>obj_00261#0000</v>
      </c>
      <c r="H24" s="201" t="b">
        <f>_xll.qlInstrumentSetPricingEngine(G24,OisEngine)</f>
        <v>1</v>
      </c>
      <c r="I24" s="139">
        <f>_xll.qlOvernightIndexedSwapFairRate(G24,_xll.ohTrigger(InterestRatesTrigger))</f>
        <v>2.4651142045476287E-2</v>
      </c>
      <c r="J24" s="217">
        <f>_xll.qlDayCounterYearFraction(DayCounterOIS,E24,F24,,,Trigger)</f>
        <v>0.24931506849315069</v>
      </c>
      <c r="K24" s="217">
        <f>_xll.qlDayCounterYearFraction(DayCounter3M,E24,F24,,,Trigger)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2.667415475946347E-2</v>
      </c>
      <c r="N24" s="167">
        <f t="shared" si="3"/>
        <v>2.6674154759463466E-2</v>
      </c>
      <c r="O24" s="140">
        <f t="shared" si="4"/>
        <v>2.667415475946347E-2</v>
      </c>
      <c r="P24" s="146"/>
      <c r="AF24" s="164">
        <f>_xll.qlCalendarAdvance(Calendar,AF23,"1d","mf",,Trigger)</f>
        <v>41925</v>
      </c>
      <c r="AG24" s="175">
        <f>_xll.qlDayCounterYearFraction(DayCounterON,SettlementDate,AF24,,,Trigger)</f>
        <v>8.7671232876712329E-2</v>
      </c>
      <c r="AH24" s="165">
        <f t="shared" si="0"/>
        <v>2.0230127139871834E-3</v>
      </c>
      <c r="AI24" s="165">
        <f t="shared" si="1"/>
        <v>2.0672767967164695E-3</v>
      </c>
      <c r="AJ24" s="135">
        <f t="shared" si="2"/>
        <v>2.0630796398148567E-3</v>
      </c>
    </row>
    <row r="25" spans="4:36" x14ac:dyDescent="0.2">
      <c r="P25" s="146"/>
      <c r="AF25" s="164">
        <f>_xll.qlCalendarAdvance(Calendar,AF24,"1d","mf",,Trigger)</f>
        <v>41926</v>
      </c>
      <c r="AG25" s="175">
        <f>_xll.qlDayCounterYearFraction(DayCounterON,SettlementDate,AF25,,,Trigger)</f>
        <v>9.0410958904109592E-2</v>
      </c>
      <c r="AH25" s="165">
        <f t="shared" si="0"/>
        <v>2.0230127139871834E-3</v>
      </c>
      <c r="AI25" s="165">
        <f t="shared" si="1"/>
        <v>2.0639979757735593E-3</v>
      </c>
      <c r="AJ25" s="135">
        <f t="shared" si="2"/>
        <v>2.0594861550198925E-3</v>
      </c>
    </row>
    <row r="26" spans="4:36" x14ac:dyDescent="0.2">
      <c r="P26" s="146"/>
      <c r="AF26" s="164">
        <f>_xll.qlCalendarAdvance(Calendar,AF25,"1d","mf",,Trigger)</f>
        <v>41927</v>
      </c>
      <c r="AG26" s="175">
        <f>_xll.qlDayCounterYearFraction(DayCounterON,SettlementDate,AF26,,,Trigger)</f>
        <v>9.3150684931506855E-2</v>
      </c>
      <c r="AH26" s="165">
        <f t="shared" si="0"/>
        <v>2.0230127139871834E-3</v>
      </c>
      <c r="AI26" s="165">
        <f t="shared" si="1"/>
        <v>2.0607191548306491E-3</v>
      </c>
      <c r="AJ26" s="135">
        <f t="shared" si="2"/>
        <v>2.0559123367156814E-3</v>
      </c>
    </row>
    <row r="27" spans="4:36" x14ac:dyDescent="0.2">
      <c r="P27" s="146"/>
      <c r="AF27" s="164">
        <f>_xll.qlCalendarAdvance(Calendar,AF26,"1d","mf",,Trigger)</f>
        <v>41928</v>
      </c>
      <c r="AG27" s="175">
        <f>_xll.qlDayCounterYearFraction(DayCounterON,SettlementDate,AF27,,,Trigger)</f>
        <v>9.5890410958904104E-2</v>
      </c>
      <c r="AH27" s="165">
        <f t="shared" si="0"/>
        <v>2.0230127139871834E-3</v>
      </c>
      <c r="AI27" s="165">
        <f t="shared" si="1"/>
        <v>2.0574403338877389E-3</v>
      </c>
      <c r="AJ27" s="135">
        <f t="shared" si="2"/>
        <v>2.052358184902224E-3</v>
      </c>
    </row>
    <row r="28" spans="4:36" x14ac:dyDescent="0.2">
      <c r="AF28" s="164">
        <f>_xll.qlCalendarAdvance(Calendar,AF27,"1d","mf",,Trigger)</f>
        <v>41929</v>
      </c>
      <c r="AG28" s="175">
        <f>_xll.qlDayCounterYearFraction(DayCounterON,SettlementDate,AF28,,,Trigger)</f>
        <v>9.8630136986301367E-2</v>
      </c>
      <c r="AH28" s="165">
        <f t="shared" si="0"/>
        <v>2.0230127139871834E-3</v>
      </c>
      <c r="AI28" s="165">
        <f t="shared" si="1"/>
        <v>2.0541615129448286E-3</v>
      </c>
      <c r="AJ28" s="135">
        <f t="shared" si="2"/>
        <v>2.0488236995795201E-3</v>
      </c>
    </row>
    <row r="29" spans="4:36" ht="12" thickBot="1" x14ac:dyDescent="0.25">
      <c r="AF29" s="164">
        <f>_xll.qlCalendarAdvance(Calendar,AF28,"1d","mf",,Trigger)</f>
        <v>41932</v>
      </c>
      <c r="AG29" s="175">
        <f>_xll.qlDayCounterYearFraction(DayCounterON,SettlementDate,AF29,,,Trigger)</f>
        <v>0.10684931506849316</v>
      </c>
      <c r="AH29" s="165">
        <f t="shared" si="0"/>
        <v>2.0230127139871834E-3</v>
      </c>
      <c r="AI29" s="165">
        <f t="shared" si="1"/>
        <v>2.044325050116098E-3</v>
      </c>
      <c r="AJ29" s="135">
        <f t="shared" si="2"/>
        <v>2.0383382425559278E-3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41933</v>
      </c>
      <c r="AG30" s="175">
        <f>_xll.qlDayCounterYearFraction(DayCounterON,SettlementDate,AF30,,,Trigger)</f>
        <v>0.1095890410958904</v>
      </c>
      <c r="AH30" s="165">
        <f t="shared" si="0"/>
        <v>2.0230127139871834E-3</v>
      </c>
      <c r="AI30" s="165">
        <f t="shared" si="1"/>
        <v>2.0410462291731877E-3</v>
      </c>
      <c r="AJ30" s="135">
        <f t="shared" si="2"/>
        <v>2.0348824231962372E-3</v>
      </c>
    </row>
    <row r="31" spans="4:36" x14ac:dyDescent="0.2">
      <c r="D31" s="226" t="s">
        <v>68</v>
      </c>
      <c r="AF31" s="164">
        <f>_xll.qlCalendarAdvance(Calendar,AF30,"1d","mf",,Trigger)</f>
        <v>41934</v>
      </c>
      <c r="AG31" s="175">
        <f>_xll.qlDayCounterYearFraction(DayCounterON,SettlementDate,AF31,,,Trigger)</f>
        <v>0.11232876712328767</v>
      </c>
      <c r="AH31" s="165">
        <f t="shared" si="0"/>
        <v>2.0230127139871834E-3</v>
      </c>
      <c r="AI31" s="165">
        <f t="shared" si="1"/>
        <v>2.0377674082302775E-3</v>
      </c>
      <c r="AJ31" s="135">
        <f t="shared" si="2"/>
        <v>2.0314462703272997E-3</v>
      </c>
    </row>
    <row r="32" spans="4:36" x14ac:dyDescent="0.2">
      <c r="D32" s="165">
        <f t="shared" ref="D32:D38" si="6">IF($D$31="FLAT",M18,IF($D$31="linear",N18,O18))</f>
        <v>2.6839245802759787E-2</v>
      </c>
      <c r="AF32" s="164">
        <f>_xll.qlCalendarAdvance(Calendar,AF31,"1d","mf",,Trigger)</f>
        <v>41935</v>
      </c>
      <c r="AG32" s="175">
        <f>_xll.qlDayCounterYearFraction(DayCounterON,SettlementDate,AF32,,,Trigger)</f>
        <v>0.11506849315068493</v>
      </c>
      <c r="AH32" s="165">
        <f t="shared" si="0"/>
        <v>2.0230127139871834E-3</v>
      </c>
      <c r="AI32" s="165">
        <f t="shared" si="1"/>
        <v>2.0344885872873673E-3</v>
      </c>
      <c r="AJ32" s="135">
        <f t="shared" si="2"/>
        <v>2.0280297839491163E-3</v>
      </c>
    </row>
    <row r="33" spans="4:36" x14ac:dyDescent="0.2">
      <c r="D33" s="165">
        <f t="shared" si="6"/>
        <v>2.6827555375232074E-2</v>
      </c>
      <c r="AF33" s="164">
        <f>_xll.qlCalendarAdvance(Calendar,AF32,"1d","mf",,Trigger)</f>
        <v>41936</v>
      </c>
      <c r="AG33" s="175">
        <f>_xll.qlDayCounterYearFraction(DayCounterON,SettlementDate,AF33,,,Trigger)</f>
        <v>0.11780821917808219</v>
      </c>
      <c r="AH33" s="165">
        <f t="shared" si="0"/>
        <v>2.0230127139871834E-3</v>
      </c>
      <c r="AI33" s="165">
        <f t="shared" si="1"/>
        <v>2.0312097663444575E-3</v>
      </c>
      <c r="AJ33" s="135">
        <f t="shared" si="2"/>
        <v>2.0246329640616861E-3</v>
      </c>
    </row>
    <row r="34" spans="4:36" x14ac:dyDescent="0.2">
      <c r="D34" s="165">
        <f t="shared" si="6"/>
        <v>2.6813094503491852E-2</v>
      </c>
      <c r="AF34" s="164">
        <f>_xll.qlCalendarAdvance(Calendar,AF33,"1d","mf",,Trigger)</f>
        <v>41939</v>
      </c>
      <c r="AG34" s="175">
        <f>_xll.qlDayCounterYearFraction(DayCounterON,SettlementDate,AF34,,,Trigger)</f>
        <v>0.12602739726027398</v>
      </c>
      <c r="AH34" s="165">
        <f t="shared" si="0"/>
        <v>2.0230127139871834E-3</v>
      </c>
      <c r="AI34" s="165">
        <f t="shared" si="1"/>
        <v>2.0213733035157268E-3</v>
      </c>
      <c r="AJ34" s="135">
        <f t="shared" si="2"/>
        <v>2.0145605033439146E-3</v>
      </c>
    </row>
    <row r="35" spans="4:36" x14ac:dyDescent="0.2">
      <c r="D35" s="165">
        <f t="shared" si="6"/>
        <v>2.6796632901286265E-2</v>
      </c>
      <c r="AF35" s="164">
        <f>_xll.qlCalendarAdvance(Calendar,AF34,"1d","mf",,Trigger)</f>
        <v>41940</v>
      </c>
      <c r="AG35" s="175">
        <f>_xll.qlDayCounterYearFraction(DayCounterON,SettlementDate,AF35,,,Trigger)</f>
        <v>0.12876712328767123</v>
      </c>
      <c r="AH35" s="165">
        <f t="shared" si="0"/>
        <v>2.0230127139871834E-3</v>
      </c>
      <c r="AI35" s="165">
        <f t="shared" si="1"/>
        <v>2.0180944825728166E-3</v>
      </c>
      <c r="AJ35" s="135">
        <f t="shared" si="2"/>
        <v>2.011242349419498E-3</v>
      </c>
    </row>
    <row r="36" spans="4:36" x14ac:dyDescent="0.2">
      <c r="D36" s="165">
        <f t="shared" si="6"/>
        <v>2.6780343610425042E-2</v>
      </c>
      <c r="AF36" s="164">
        <f>_xll.qlCalendarAdvance(Calendar,AF35,"1d","mf",,Trigger)</f>
        <v>41941</v>
      </c>
      <c r="AG36" s="175">
        <f>_xll.qlDayCounterYearFraction(DayCounterON,SettlementDate,AF36,,,Trigger)</f>
        <v>0.13150684931506848</v>
      </c>
      <c r="AH36" s="165">
        <f t="shared" si="0"/>
        <v>2.0230127139871834E-3</v>
      </c>
      <c r="AI36" s="165">
        <f t="shared" si="1"/>
        <v>2.0148156616299063E-3</v>
      </c>
      <c r="AJ36" s="135">
        <f t="shared" si="2"/>
        <v>2.0079438619858342E-3</v>
      </c>
    </row>
    <row r="37" spans="4:36" x14ac:dyDescent="0.2">
      <c r="D37" s="165">
        <f t="shared" si="6"/>
        <v>2.6721604852712411E-2</v>
      </c>
      <c r="AF37" s="164">
        <f>_xll.qlCalendarAdvance(Calendar,AF36,"1d","mf",,Trigger)</f>
        <v>41942</v>
      </c>
      <c r="AG37" s="175">
        <f>_xll.qlDayCounterYearFraction(DayCounterON,SettlementDate,AF37,,,Trigger)</f>
        <v>0.13424657534246576</v>
      </c>
      <c r="AH37" s="165">
        <f t="shared" si="0"/>
        <v>2.0230127139871834E-3</v>
      </c>
      <c r="AI37" s="165">
        <f t="shared" si="1"/>
        <v>2.0115368406869961E-3</v>
      </c>
      <c r="AJ37" s="135">
        <f t="shared" si="2"/>
        <v>2.0046650410429239E-3</v>
      </c>
    </row>
    <row r="38" spans="4:36" x14ac:dyDescent="0.2">
      <c r="D38" s="227">
        <f t="shared" si="6"/>
        <v>2.667415475946347E-2</v>
      </c>
      <c r="AF38" s="164">
        <f>_xll.qlCalendarAdvance(Calendar,AF37,"1d","mf",,Trigger)</f>
        <v>41943</v>
      </c>
      <c r="AG38" s="175">
        <f>_xll.qlDayCounterYearFraction(DayCounterON,SettlementDate,AF38,,,Trigger)</f>
        <v>0.13698630136986301</v>
      </c>
      <c r="AH38" s="165">
        <f t="shared" si="0"/>
        <v>2.0230127139871834E-3</v>
      </c>
      <c r="AI38" s="165">
        <f t="shared" si="1"/>
        <v>2.0082580197440859E-3</v>
      </c>
      <c r="AJ38" s="135">
        <f t="shared" si="2"/>
        <v>2.0014058865907673E-3</v>
      </c>
    </row>
    <row r="39" spans="4:36" x14ac:dyDescent="0.2">
      <c r="AF39" s="164">
        <f>_xll.qlCalendarAdvance(Calendar,AF38,"1d","mf",,Trigger)</f>
        <v>41946</v>
      </c>
      <c r="AG39" s="175">
        <f>_xll.qlDayCounterYearFraction(DayCounterON,SettlementDate,AF39,,,Trigger)</f>
        <v>0.14520547945205478</v>
      </c>
      <c r="AH39" s="165">
        <f t="shared" si="0"/>
        <v>2.0230127139871834E-3</v>
      </c>
      <c r="AI39" s="165">
        <f t="shared" si="1"/>
        <v>1.9984215569153552E-3</v>
      </c>
      <c r="AJ39" s="135">
        <f t="shared" si="2"/>
        <v>1.991746422178817E-3</v>
      </c>
    </row>
    <row r="40" spans="4:36" x14ac:dyDescent="0.2">
      <c r="AF40" s="164">
        <f>_xll.qlCalendarAdvance(Calendar,AF39,"1d","mf",,Trigger)</f>
        <v>41947</v>
      </c>
      <c r="AG40" s="175">
        <f>_xll.qlDayCounterYearFraction(DayCounterON,SettlementDate,AF40,,,Trigger)</f>
        <v>0.14794520547945206</v>
      </c>
      <c r="AH40" s="165">
        <f t="shared" si="0"/>
        <v>2.0230127139871834E-3</v>
      </c>
      <c r="AI40" s="165">
        <f t="shared" si="1"/>
        <v>1.995142735972445E-3</v>
      </c>
      <c r="AJ40" s="135">
        <f t="shared" si="2"/>
        <v>1.9885659336896736E-3</v>
      </c>
    </row>
    <row r="41" spans="4:36" x14ac:dyDescent="0.2">
      <c r="AF41" s="164">
        <f>_xll.qlCalendarAdvance(Calendar,AF40,"1d","mf",,Trigger)</f>
        <v>41948</v>
      </c>
      <c r="AG41" s="175">
        <f>_xll.qlDayCounterYearFraction(DayCounterON,SettlementDate,AF41,,,Trigger)</f>
        <v>0.15068493150684931</v>
      </c>
      <c r="AH41" s="165">
        <f t="shared" si="0"/>
        <v>2.0230127139871834E-3</v>
      </c>
      <c r="AI41" s="165">
        <f t="shared" si="1"/>
        <v>1.9918639150295347E-3</v>
      </c>
      <c r="AJ41" s="135">
        <f t="shared" si="2"/>
        <v>1.9854051116912838E-3</v>
      </c>
    </row>
    <row r="42" spans="4:36" x14ac:dyDescent="0.2">
      <c r="AF42" s="164">
        <f>_xll.qlCalendarAdvance(Calendar,AF41,"1d","mf",,Trigger)</f>
        <v>41949</v>
      </c>
      <c r="AG42" s="175">
        <f>_xll.qlDayCounterYearFraction(DayCounterON,SettlementDate,AF42,,,Trigger)</f>
        <v>0.15342465753424658</v>
      </c>
      <c r="AH42" s="165">
        <f t="shared" si="0"/>
        <v>2.0230127139871834E-3</v>
      </c>
      <c r="AI42" s="165">
        <f t="shared" si="1"/>
        <v>1.9885850940866245E-3</v>
      </c>
      <c r="AJ42" s="135">
        <f t="shared" si="2"/>
        <v>1.9822639561836472E-3</v>
      </c>
    </row>
    <row r="43" spans="4:36" ht="11.25" customHeight="1" x14ac:dyDescent="0.2">
      <c r="N43" s="224"/>
      <c r="AF43" s="164">
        <f>_xll.qlCalendarAdvance(Calendar,AF42,"1d","mf",,Trigger)</f>
        <v>41950</v>
      </c>
      <c r="AG43" s="175">
        <f>_xll.qlDayCounterYearFraction(DayCounterON,SettlementDate,AF43,,,Trigger)</f>
        <v>0.15616438356164383</v>
      </c>
      <c r="AH43" s="165">
        <f t="shared" si="0"/>
        <v>2.0230127139871834E-3</v>
      </c>
      <c r="AI43" s="165">
        <f t="shared" si="1"/>
        <v>1.9853062731437143E-3</v>
      </c>
      <c r="AJ43" s="135">
        <f t="shared" si="2"/>
        <v>1.9791424671667642E-3</v>
      </c>
    </row>
    <row r="44" spans="4:36" x14ac:dyDescent="0.2">
      <c r="J44" s="146"/>
      <c r="K44" s="146"/>
      <c r="N44" s="224"/>
      <c r="AF44" s="164">
        <f>_xll.qlCalendarAdvance(Calendar,AF43,"1d","mf",,Trigger)</f>
        <v>41953</v>
      </c>
      <c r="AG44" s="175">
        <f>_xll.qlDayCounterYearFraction(DayCounterON,SettlementDate,AF44,,,Trigger)</f>
        <v>0.16438356164383561</v>
      </c>
      <c r="AH44" s="165">
        <f t="shared" si="0"/>
        <v>2.0230127139871834E-3</v>
      </c>
      <c r="AI44" s="165">
        <f t="shared" si="1"/>
        <v>1.975469810314984E-3</v>
      </c>
      <c r="AJ44" s="135">
        <f t="shared" si="2"/>
        <v>1.9698959990606347E-3</v>
      </c>
    </row>
    <row r="45" spans="4:36" x14ac:dyDescent="0.2">
      <c r="N45" s="224"/>
      <c r="AF45" s="164">
        <f>_xll.qlCalendarAdvance(Calendar,AF44,"1d","mf",,Trigger)</f>
        <v>41954</v>
      </c>
      <c r="AG45" s="175">
        <f>_xll.qlDayCounterYearFraction(DayCounterON,SettlementDate,AF45,,,Trigger)</f>
        <v>0.16712328767123288</v>
      </c>
      <c r="AH45" s="165">
        <f t="shared" si="0"/>
        <v>2.0230127139871834E-3</v>
      </c>
      <c r="AI45" s="165">
        <f t="shared" si="1"/>
        <v>1.9721909893720734E-3</v>
      </c>
      <c r="AJ45" s="135">
        <f t="shared" si="2"/>
        <v>1.9668531760067653E-3</v>
      </c>
    </row>
    <row r="46" spans="4:36" x14ac:dyDescent="0.2">
      <c r="N46" s="224"/>
      <c r="AF46" s="164">
        <f>_xll.qlCalendarAdvance(Calendar,AF45,"1d","mf",,Trigger)</f>
        <v>41955</v>
      </c>
      <c r="AG46" s="175">
        <f>_xll.qlDayCounterYearFraction(DayCounterON,SettlementDate,AF46,,,Trigger)</f>
        <v>0.16986301369863013</v>
      </c>
      <c r="AH46" s="165">
        <f t="shared" si="0"/>
        <v>2.0230127139871834E-3</v>
      </c>
      <c r="AI46" s="165">
        <f t="shared" si="1"/>
        <v>1.9689121684291636E-3</v>
      </c>
      <c r="AJ46" s="135">
        <f t="shared" si="2"/>
        <v>1.9638300194436491E-3</v>
      </c>
    </row>
    <row r="47" spans="4:36" x14ac:dyDescent="0.2">
      <c r="N47" s="224"/>
      <c r="AF47" s="164">
        <f>_xll.qlCalendarAdvance(Calendar,AF46,"1d","mf",,Trigger)</f>
        <v>41956</v>
      </c>
      <c r="AG47" s="175">
        <f>_xll.qlDayCounterYearFraction(DayCounterON,SettlementDate,AF47,,,Trigger)</f>
        <v>0.17260273972602741</v>
      </c>
      <c r="AH47" s="165">
        <f t="shared" si="0"/>
        <v>2.0230127139871834E-3</v>
      </c>
      <c r="AI47" s="165">
        <f t="shared" si="1"/>
        <v>1.9656333474862534E-3</v>
      </c>
      <c r="AJ47" s="135">
        <f t="shared" si="2"/>
        <v>1.9608265293712861E-3</v>
      </c>
    </row>
    <row r="48" spans="4:36" x14ac:dyDescent="0.2">
      <c r="AF48" s="164">
        <f>_xll.qlCalendarAdvance(Calendar,AF47,"1d","mf",,Trigger)</f>
        <v>41957</v>
      </c>
      <c r="AG48" s="175">
        <f>_xll.qlDayCounterYearFraction(DayCounterON,SettlementDate,AF48,,,Trigger)</f>
        <v>0.17534246575342466</v>
      </c>
      <c r="AH48" s="165">
        <f t="shared" si="0"/>
        <v>2.0230127139871834E-3</v>
      </c>
      <c r="AI48" s="165">
        <f t="shared" si="1"/>
        <v>1.9623545265433431E-3</v>
      </c>
      <c r="AJ48" s="135">
        <f t="shared" si="2"/>
        <v>1.9578427057896767E-3</v>
      </c>
    </row>
    <row r="49" spans="10:36" x14ac:dyDescent="0.2">
      <c r="AF49" s="164">
        <f>_xll.qlCalendarAdvance(Calendar,AF48,"1d","mf",,Trigger)</f>
        <v>41960</v>
      </c>
      <c r="AG49" s="175">
        <f>_xll.qlDayCounterYearFraction(DayCounterON,SettlementDate,AF49,,,Trigger)</f>
        <v>0.18356164383561643</v>
      </c>
      <c r="AH49" s="165">
        <f t="shared" si="0"/>
        <v>2.0230127139871834E-3</v>
      </c>
      <c r="AI49" s="165">
        <f t="shared" si="1"/>
        <v>1.9525180637146125E-3</v>
      </c>
      <c r="AJ49" s="135">
        <f t="shared" si="2"/>
        <v>1.9490092339893683E-3</v>
      </c>
    </row>
    <row r="50" spans="10:36" x14ac:dyDescent="0.2">
      <c r="AF50" s="164">
        <f>_xll.qlCalendarAdvance(Calendar,AF49,"1d","mf",,Trigger)</f>
        <v>41961</v>
      </c>
      <c r="AG50" s="175">
        <f>_xll.qlDayCounterYearFraction(DayCounterON,SettlementDate,AF50,,,Trigger)</f>
        <v>0.18630136986301371</v>
      </c>
      <c r="AH50" s="165">
        <f t="shared" si="0"/>
        <v>2.0230127139871834E-3</v>
      </c>
      <c r="AI50" s="165">
        <f t="shared" si="1"/>
        <v>1.9492392427717022E-3</v>
      </c>
      <c r="AJ50" s="135">
        <f t="shared" si="2"/>
        <v>1.9461040763707723E-3</v>
      </c>
    </row>
    <row r="51" spans="10:36" x14ac:dyDescent="0.2">
      <c r="AF51" s="164">
        <f>_xll.qlCalendarAdvance(Calendar,AF50,"1d","mf",,Trigger)</f>
        <v>41962</v>
      </c>
      <c r="AG51" s="175">
        <f>_xll.qlDayCounterYearFraction(DayCounterON,SettlementDate,AF51,,,Trigger)</f>
        <v>0.18904109589041096</v>
      </c>
      <c r="AH51" s="165">
        <f t="shared" si="0"/>
        <v>2.0230127139871834E-3</v>
      </c>
      <c r="AI51" s="165">
        <f t="shared" si="1"/>
        <v>1.945960421828792E-3</v>
      </c>
      <c r="AJ51" s="135">
        <f t="shared" si="2"/>
        <v>1.9432185852429297E-3</v>
      </c>
    </row>
    <row r="52" spans="10:36" x14ac:dyDescent="0.2">
      <c r="AF52" s="164">
        <f>_xll.qlCalendarAdvance(Calendar,AF51,"1d","mf",,Trigger)</f>
        <v>41963</v>
      </c>
      <c r="AG52" s="175">
        <f>_xll.qlDayCounterYearFraction(DayCounterON,SettlementDate,AF52,,,Trigger)</f>
        <v>0.19178082191780821</v>
      </c>
      <c r="AH52" s="165">
        <f t="shared" si="0"/>
        <v>2.0230127139871834E-3</v>
      </c>
      <c r="AI52" s="165">
        <f t="shared" si="1"/>
        <v>1.9426816008858818E-3</v>
      </c>
      <c r="AJ52" s="135">
        <f t="shared" si="2"/>
        <v>1.9403527606058403E-3</v>
      </c>
    </row>
    <row r="53" spans="10:36" x14ac:dyDescent="0.2">
      <c r="AF53" s="164">
        <f>_xll.qlCalendarAdvance(Calendar,AF52,"1d","mf",,Trigger)</f>
        <v>41964</v>
      </c>
      <c r="AG53" s="175">
        <f>_xll.qlDayCounterYearFraction(DayCounterON,SettlementDate,AF53,,,Trigger)</f>
        <v>0.19452054794520549</v>
      </c>
      <c r="AH53" s="165">
        <f t="shared" si="0"/>
        <v>2.0230127139871834E-3</v>
      </c>
      <c r="AI53" s="165">
        <f t="shared" si="1"/>
        <v>1.9394027799429715E-3</v>
      </c>
      <c r="AJ53" s="135">
        <f t="shared" si="2"/>
        <v>1.9375066024595045E-3</v>
      </c>
    </row>
    <row r="54" spans="10:36" x14ac:dyDescent="0.2">
      <c r="AF54" s="164">
        <f>_xll.qlCalendarAdvance(Calendar,AF53,"1d","mf",,Trigger)</f>
        <v>41967</v>
      </c>
      <c r="AG54" s="175">
        <f>_xll.qlDayCounterYearFraction(DayCounterON,SettlementDate,AF54,,,Trigger)</f>
        <v>0.20273972602739726</v>
      </c>
      <c r="AH54" s="165">
        <f t="shared" si="0"/>
        <v>2.0230127139871834E-3</v>
      </c>
      <c r="AI54" s="165">
        <f t="shared" si="1"/>
        <v>1.9295663171142409E-3</v>
      </c>
      <c r="AJ54" s="135">
        <f t="shared" si="2"/>
        <v>1.9290861269650173E-3</v>
      </c>
    </row>
    <row r="55" spans="10:36" x14ac:dyDescent="0.2">
      <c r="AF55" s="164">
        <f>_xll.qlCalendarAdvance(Calendar,AF54,"1d","mf",,Trigger)</f>
        <v>41968</v>
      </c>
      <c r="AG55" s="175">
        <f>_xll.qlDayCounterYearFraction(DayCounterON,SettlementDate,AF55,,,Trigger)</f>
        <v>0.20547945205479451</v>
      </c>
      <c r="AH55" s="165">
        <f t="shared" si="0"/>
        <v>2.0230127139871834E-3</v>
      </c>
      <c r="AI55" s="165">
        <f t="shared" si="1"/>
        <v>1.9262874961713309E-3</v>
      </c>
      <c r="AJ55" s="135">
        <f t="shared" si="2"/>
        <v>1.9263186347816949E-3</v>
      </c>
    </row>
    <row r="56" spans="10:36" x14ac:dyDescent="0.2">
      <c r="AF56" s="164">
        <f>_xll.qlCalendarAdvance(Calendar,AF55,"1d","mf",,Trigger)</f>
        <v>41969</v>
      </c>
      <c r="AG56" s="175">
        <f>_xll.qlDayCounterYearFraction(DayCounterON,SettlementDate,AF56,,,Trigger)</f>
        <v>0.20821917808219179</v>
      </c>
      <c r="AH56" s="165">
        <f t="shared" si="0"/>
        <v>2.0230127139871834E-3</v>
      </c>
      <c r="AI56" s="165">
        <f t="shared" si="1"/>
        <v>1.9230086752284206E-3</v>
      </c>
      <c r="AJ56" s="135">
        <f t="shared" si="2"/>
        <v>1.9235708090891259E-3</v>
      </c>
    </row>
    <row r="57" spans="10:36" x14ac:dyDescent="0.2">
      <c r="AF57" s="164">
        <f>_xll.qlCalendarAdvance(Calendar,AF56,"1d","mf",,Trigger)</f>
        <v>41970</v>
      </c>
      <c r="AG57" s="175">
        <f>_xll.qlDayCounterYearFraction(DayCounterON,SettlementDate,AF57,,,Trigger)</f>
        <v>0.21095890410958903</v>
      </c>
      <c r="AH57" s="165">
        <f t="shared" si="0"/>
        <v>2.0230127139871834E-3</v>
      </c>
      <c r="AI57" s="165">
        <f t="shared" si="1"/>
        <v>1.9197298542855104E-3</v>
      </c>
      <c r="AJ57" s="135">
        <f t="shared" si="2"/>
        <v>1.9208426498873103E-3</v>
      </c>
    </row>
    <row r="58" spans="10:36" x14ac:dyDescent="0.2">
      <c r="AF58" s="164">
        <f>_xll.qlCalendarAdvance(Calendar,AF57,"1d","mf",,Trigger)</f>
        <v>41971</v>
      </c>
      <c r="AG58" s="175">
        <f>_xll.qlDayCounterYearFraction(DayCounterON,SettlementDate,AF58,,,Trigger)</f>
        <v>0.21369863013698631</v>
      </c>
      <c r="AH58" s="165">
        <f t="shared" si="0"/>
        <v>2.0230127139871834E-3</v>
      </c>
      <c r="AI58" s="165">
        <f t="shared" si="1"/>
        <v>1.9164510333426002E-3</v>
      </c>
      <c r="AJ58" s="135">
        <f t="shared" si="2"/>
        <v>1.9181341571762481E-3</v>
      </c>
    </row>
    <row r="59" spans="10:36" x14ac:dyDescent="0.2">
      <c r="AF59" s="164">
        <f>_xll.qlCalendarAdvance(Calendar,AF58,"1d","mf",,Trigger)</f>
        <v>41974</v>
      </c>
      <c r="AG59" s="175">
        <f>_xll.qlDayCounterYearFraction(DayCounterON,SettlementDate,AF59,,,Trigger)</f>
        <v>0.22191780821917809</v>
      </c>
      <c r="AH59" s="165">
        <f t="shared" si="0"/>
        <v>2.0230127139871834E-3</v>
      </c>
      <c r="AI59" s="165">
        <f t="shared" si="1"/>
        <v>1.9066145705138695E-3</v>
      </c>
      <c r="AJ59" s="135">
        <f t="shared" si="2"/>
        <v>1.9101266779875817E-3</v>
      </c>
    </row>
    <row r="60" spans="10:36" x14ac:dyDescent="0.2">
      <c r="AF60" s="164">
        <f>_xll.qlCalendarAdvance(Calendar,AF59,"1d","mf",,Trigger)</f>
        <v>41975</v>
      </c>
      <c r="AG60" s="175">
        <f>_xll.qlDayCounterYearFraction(DayCounterON,SettlementDate,AF60,,,Trigger)</f>
        <v>0.22465753424657534</v>
      </c>
      <c r="AH60" s="165">
        <f t="shared" si="0"/>
        <v>2.0230127139871834E-3</v>
      </c>
      <c r="AI60" s="165">
        <f t="shared" si="1"/>
        <v>1.9033357495709595E-3</v>
      </c>
      <c r="AJ60" s="135">
        <f t="shared" si="2"/>
        <v>1.9074968512395331E-3</v>
      </c>
    </row>
    <row r="61" spans="10:36" x14ac:dyDescent="0.2">
      <c r="AF61" s="164">
        <f>_xll.qlCalendarAdvance(Calendar,AF60,"1d","mf",,Trigger)</f>
        <v>41976</v>
      </c>
      <c r="AG61" s="175">
        <f>_xll.qlDayCounterYearFraction(DayCounterON,SettlementDate,AF61,,,Trigger)</f>
        <v>0.22739726027397261</v>
      </c>
      <c r="AH61" s="165">
        <f t="shared" si="0"/>
        <v>2.0230127139871834E-3</v>
      </c>
      <c r="AI61" s="165">
        <f t="shared" si="1"/>
        <v>1.9000569286280493E-3</v>
      </c>
      <c r="AJ61" s="135">
        <f t="shared" si="2"/>
        <v>1.9048866909822377E-3</v>
      </c>
    </row>
    <row r="62" spans="10:36" x14ac:dyDescent="0.2">
      <c r="AF62" s="164">
        <f>_xll.qlCalendarAdvance(Calendar,AF61,"1d","mf",,Trigger)</f>
        <v>41977</v>
      </c>
      <c r="AG62" s="175">
        <f>_xll.qlDayCounterYearFraction(DayCounterON,SettlementDate,AF62,,,Trigger)</f>
        <v>0.23013698630136986</v>
      </c>
      <c r="AH62" s="165">
        <f t="shared" si="0"/>
        <v>2.0230127139871834E-3</v>
      </c>
      <c r="AI62" s="165">
        <f t="shared" si="1"/>
        <v>1.896778107685139E-3</v>
      </c>
      <c r="AJ62" s="135">
        <f t="shared" si="2"/>
        <v>1.9022961972156957E-3</v>
      </c>
    </row>
    <row r="63" spans="10:36" x14ac:dyDescent="0.2">
      <c r="J63" s="146"/>
      <c r="AF63" s="164">
        <f>_xll.qlCalendarAdvance(Calendar,AF62,"1d","mf",,Trigger)</f>
        <v>41978</v>
      </c>
      <c r="AG63" s="175">
        <f>_xll.qlDayCounterYearFraction(DayCounterON,SettlementDate,AF63,,,Trigger)</f>
        <v>0.23287671232876711</v>
      </c>
      <c r="AH63" s="165">
        <f t="shared" si="0"/>
        <v>2.0230127139871834E-3</v>
      </c>
      <c r="AI63" s="165">
        <f t="shared" si="1"/>
        <v>1.8934992867422288E-3</v>
      </c>
      <c r="AJ63" s="135">
        <f t="shared" si="2"/>
        <v>1.8997253699399072E-3</v>
      </c>
    </row>
    <row r="64" spans="10:36" x14ac:dyDescent="0.2">
      <c r="J64" s="146"/>
      <c r="AF64" s="164">
        <f>_xll.qlCalendarAdvance(Calendar,AF63,"1d","mf",,Trigger)</f>
        <v>41981</v>
      </c>
      <c r="AG64" s="175">
        <f>_xll.qlDayCounterYearFraction(DayCounterON,SettlementDate,AF64,,,Trigger)</f>
        <v>0.24109589041095891</v>
      </c>
      <c r="AH64" s="165">
        <f t="shared" si="0"/>
        <v>2.0230127139871834E-3</v>
      </c>
      <c r="AI64" s="165">
        <f t="shared" si="1"/>
        <v>1.8836628239134981E-3</v>
      </c>
      <c r="AJ64" s="135">
        <f t="shared" si="2"/>
        <v>1.8921308870570616E-3</v>
      </c>
    </row>
    <row r="65" spans="10:36" x14ac:dyDescent="0.2">
      <c r="J65" s="146"/>
      <c r="AF65" s="164">
        <f>_xll.qlCalendarAdvance(Calendar,AF64,"1d","mf",,Trigger)</f>
        <v>41982</v>
      </c>
      <c r="AG65" s="175">
        <f>_xll.qlDayCounterYearFraction(DayCounterON,SettlementDate,AF65,,,Trigger)</f>
        <v>0.24383561643835616</v>
      </c>
      <c r="AH65" s="165">
        <f t="shared" si="0"/>
        <v>2.0230127139871834E-3</v>
      </c>
      <c r="AI65" s="165">
        <f t="shared" si="1"/>
        <v>1.8803840029705879E-3</v>
      </c>
      <c r="AJ65" s="135">
        <f t="shared" si="2"/>
        <v>1.8896387257442868E-3</v>
      </c>
    </row>
    <row r="66" spans="10:36" x14ac:dyDescent="0.2">
      <c r="J66" s="146"/>
      <c r="AF66" s="164">
        <f>_xll.qlCalendarAdvance(Calendar,AF65,"1d","mf",,Trigger)</f>
        <v>41983</v>
      </c>
      <c r="AG66" s="175">
        <f>_xll.qlDayCounterYearFraction(DayCounterON,SettlementDate,AF66,,,Trigger)</f>
        <v>0.24657534246575341</v>
      </c>
      <c r="AH66" s="165">
        <f t="shared" si="0"/>
        <v>2.0230127139871834E-3</v>
      </c>
      <c r="AI66" s="165">
        <f t="shared" si="1"/>
        <v>1.8771051820276777E-3</v>
      </c>
      <c r="AJ66" s="135">
        <f t="shared" si="2"/>
        <v>1.8871662309222651E-3</v>
      </c>
    </row>
    <row r="67" spans="10:36" ht="12" thickBot="1" x14ac:dyDescent="0.25">
      <c r="J67" s="146"/>
      <c r="AF67" s="166">
        <f>_xll.qlCalendarAdvance(Calendar,AF66,"1d","mf",,Trigger)</f>
        <v>41984</v>
      </c>
      <c r="AG67" s="177">
        <f>_xll.qlDayCounterYearFraction(DayCounterON,SettlementDate,AF67,,,Trigger)</f>
        <v>0.24931506849315069</v>
      </c>
      <c r="AH67" s="167">
        <f t="shared" ref="AH67" si="7">$W$13</f>
        <v>2.0230127139871834E-3</v>
      </c>
      <c r="AI67" s="167">
        <f t="shared" ref="AI67" si="8">$W$10+$W$9*AG67</f>
        <v>1.8738263610847674E-3</v>
      </c>
      <c r="AJ67" s="140">
        <f t="shared" ref="AJ67" si="9">($W$5+$W$4*AG67+$W$3*AG67^2)</f>
        <v>1.8847134025909969E-3</v>
      </c>
    </row>
    <row r="68" spans="10:36" x14ac:dyDescent="0.2">
      <c r="J68" s="146"/>
    </row>
    <row r="69" spans="10:36" x14ac:dyDescent="0.2">
      <c r="J69" s="146"/>
      <c r="K69" s="146"/>
    </row>
    <row r="70" spans="10:36" x14ac:dyDescent="0.2">
      <c r="J70" s="146"/>
      <c r="K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46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46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J131" s="130"/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  <row r="137" spans="10:11" x14ac:dyDescent="0.2">
      <c r="K137" s="130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4" priority="5">
      <formula>$P$3</formula>
    </cfRule>
  </conditionalFormatting>
  <conditionalFormatting sqref="N4">
    <cfRule type="expression" dxfId="3" priority="4">
      <formula>$P$4</formula>
    </cfRule>
  </conditionalFormatting>
  <conditionalFormatting sqref="N5">
    <cfRule type="expression" dxfId="2" priority="3">
      <formula>$P$5</formula>
    </cfRule>
  </conditionalFormatting>
  <conditionalFormatting sqref="N6">
    <cfRule type="expression" dxfId="1" priority="2">
      <formula>$P$6</formula>
    </cfRule>
  </conditionalFormatting>
  <conditionalFormatting sqref="N7">
    <cfRule type="expression" dxfId="0" priority="1">
      <formula>$P$7</formula>
    </cfRule>
  </conditionalFormatting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29" bestFit="1" customWidth="1"/>
    <col min="2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AUDBBSW6MLastFixing_Quote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_xll.ohFilter(N10:N14,P10:P14)</f>
        <v>4.1325131463834909E-2</v>
      </c>
      <c r="T3" s="149">
        <f t="array" ref="T3:T5">_xll.ohFilter(M10:M14,P10:P14)</f>
        <v>0.12431225370613623</v>
      </c>
      <c r="U3" s="150">
        <f t="array" ref="U3:U5">_xll.ohFilter(L10:L14,P10:P14)</f>
        <v>0.49589041095890413</v>
      </c>
      <c r="V3" s="144"/>
      <c r="W3" s="152" t="e">
        <f t="array" ref="W3:W5">MMULT(AA3:AC5,Y3:Y5)</f>
        <v>#N/A</v>
      </c>
      <c r="X3" s="153"/>
      <c r="Y3" s="133">
        <f t="array" ref="Y3:Y5">_xll.ohFilter(N3:N7,P3:P7)</f>
        <v>8.4834704788048013E-4</v>
      </c>
      <c r="AA3" s="148" t="e">
        <f t="array" ref="AA3:AC5">MINVERSE(S3:U5)</f>
        <v>#N/A</v>
      </c>
      <c r="AB3" s="149" t="e">
        <v>#N/A</v>
      </c>
      <c r="AC3" s="150" t="e">
        <v>#N/A</v>
      </c>
      <c r="AF3" s="161">
        <f>SettlementDate</f>
        <v>41893</v>
      </c>
      <c r="AG3" s="175">
        <f>_xll.qlDayCounterYearFraction(DayCounterON,SettlementDate,AF3,,,Trigger)</f>
        <v>0</v>
      </c>
      <c r="AH3" s="162">
        <f t="shared" ref="AH3:AH34" si="0">$W$13</f>
        <v>1.7107550965545595E-3</v>
      </c>
      <c r="AI3" s="162">
        <f t="shared" ref="AI3:AI34" si="1">$W$10+$W$9*AG3</f>
        <v>1.1193145820256516E-3</v>
      </c>
      <c r="AJ3" s="163" t="e">
        <f t="shared" ref="AJ3:AJ34" si="2">($W$5+$W$4*AG3+$W$3*AG3^2)</f>
        <v>#N/A</v>
      </c>
    </row>
    <row r="4" spans="1:36" x14ac:dyDescent="0.2">
      <c r="D4" s="206" t="s">
        <v>94</v>
      </c>
      <c r="E4" s="132">
        <f>SettlementDate</f>
        <v>41893</v>
      </c>
      <c r="F4" s="132">
        <f>_xll.qlInterestRateIndexMaturity($E$9,E4)</f>
        <v>42074</v>
      </c>
      <c r="G4" s="131" t="str">
        <f>_xll.qlMakeDatedOIS(,E4,F4,OvernightIndex,0,,,,EvaluationDate)</f>
        <v>obj_00267#0000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8.4487817959699881E-4</v>
      </c>
      <c r="P4" s="168" t="b">
        <v>0</v>
      </c>
      <c r="R4" s="356"/>
      <c r="S4" s="148">
        <v>0.30029511306703832</v>
      </c>
      <c r="T4" s="149">
        <v>0.38393694877087647</v>
      </c>
      <c r="U4" s="150">
        <v>0.50958904109589054</v>
      </c>
      <c r="V4" s="145" t="s">
        <v>192</v>
      </c>
      <c r="W4" s="152" t="e">
        <v>#N/A</v>
      </c>
      <c r="X4" s="145" t="s">
        <v>30</v>
      </c>
      <c r="Y4" s="133">
        <v>1.4762122071906043E-3</v>
      </c>
      <c r="AA4" s="148" t="e">
        <v>#N/A</v>
      </c>
      <c r="AB4" s="149" t="e">
        <v>#N/A</v>
      </c>
      <c r="AC4" s="150" t="e">
        <v>#N/A</v>
      </c>
      <c r="AF4" s="164">
        <f>_xll.qlCalendarAdvance(Calendar,AF3,"1d","mf",,Trigger)</f>
        <v>41894</v>
      </c>
      <c r="AG4" s="175">
        <f>_xll.qlDayCounterYearFraction(DayCounterON,SettlementDate,AF4,,,Trigger)</f>
        <v>2.7397260273972603E-3</v>
      </c>
      <c r="AH4" s="165">
        <f t="shared" si="0"/>
        <v>1.7107550965545595E-3</v>
      </c>
      <c r="AI4" s="165">
        <f t="shared" si="1"/>
        <v>1.1257784127855304E-3</v>
      </c>
      <c r="AJ4" s="135" t="e">
        <f t="shared" si="2"/>
        <v>#N/A</v>
      </c>
    </row>
    <row r="5" spans="1:36" x14ac:dyDescent="0.2">
      <c r="A5" s="147">
        <v>0</v>
      </c>
      <c r="B5" s="147" t="s">
        <v>29</v>
      </c>
      <c r="C5" s="205">
        <v>6</v>
      </c>
      <c r="D5" s="129" t="str">
        <f>Currency&amp;A5&amp;B5&amp;C5&amp;"F"</f>
        <v>AUD0x6F</v>
      </c>
      <c r="E5" s="132">
        <f>_xll.qlCalendarAdvance(Calendar,SettlementDate,"1d","f",,Trigger)</f>
        <v>41894</v>
      </c>
      <c r="F5" s="132">
        <f>_xll.qlInterestRateIndexMaturity($E$9,E5)</f>
        <v>42075</v>
      </c>
      <c r="G5" s="131" t="str">
        <f>_xll.qlMakeDatedOIS(,E5,F5,OvernightIndex,0,,,,EvaluationDate)</f>
        <v>obj_00263#0000</v>
      </c>
      <c r="H5" s="132" t="b">
        <f>_xll.qlInstrumentSetPricingEngine(G5,OisEngine)</f>
        <v>1</v>
      </c>
      <c r="I5" s="133">
        <f>'6M Swaps'!R30</f>
        <v>2.6392946877376328E-2</v>
      </c>
      <c r="J5" s="134">
        <f>_xll.qlOvernightIndexedSwapFairRate(G5,_xll.ohTrigger(H5,InterestRatesTrigger))</f>
        <v>2.4682191780821768E-2</v>
      </c>
      <c r="K5" s="157">
        <f>I5*_xll.qlDayCounterYearFraction(DayCounter6M,E5,F5,,,Trigger)</f>
        <v>1.3088009273438672E-2</v>
      </c>
      <c r="L5" s="157">
        <f>J5*_xll.qlDayCounterYearFraction(DayCounterOIS,E5,F5,,,Trigger)</f>
        <v>1.2239662225558192E-2</v>
      </c>
      <c r="M5" s="168">
        <f>K5-L5</f>
        <v>8.4834704788048013E-4</v>
      </c>
      <c r="N5" s="168">
        <f>M5</f>
        <v>8.4834704788048013E-4</v>
      </c>
      <c r="P5" s="168" t="b">
        <f>IF(E14="FRA",TRUE,FALSE)</f>
        <v>1</v>
      </c>
      <c r="R5" s="356"/>
      <c r="S5" s="148" t="e">
        <v>#N/A</v>
      </c>
      <c r="T5" s="149" t="e">
        <v>#N/A</v>
      </c>
      <c r="U5" s="150" t="e">
        <v>#N/A</v>
      </c>
      <c r="V5" s="147"/>
      <c r="W5" s="152" t="e">
        <v>#N/A</v>
      </c>
      <c r="X5" s="145"/>
      <c r="Y5" s="133" t="e">
        <v>#N/A</v>
      </c>
      <c r="AA5" s="148" t="e">
        <v>#N/A</v>
      </c>
      <c r="AB5" s="149" t="e">
        <v>#N/A</v>
      </c>
      <c r="AC5" s="150" t="e">
        <v>#N/A</v>
      </c>
      <c r="AF5" s="164">
        <f>_xll.qlCalendarAdvance(Calendar,AF4,"1d","mf",,Trigger)</f>
        <v>41897</v>
      </c>
      <c r="AG5" s="175">
        <f>_xll.qlDayCounterYearFraction(DayCounterON,SettlementDate,AF5,,,Trigger)</f>
        <v>1.0958904109589041E-2</v>
      </c>
      <c r="AH5" s="165">
        <f t="shared" si="0"/>
        <v>1.7107550965545595E-3</v>
      </c>
      <c r="AI5" s="165">
        <f t="shared" si="1"/>
        <v>1.1451699050651666E-3</v>
      </c>
      <c r="AJ5" s="135" t="e">
        <f t="shared" si="2"/>
        <v>#N/A</v>
      </c>
    </row>
    <row r="6" spans="1:36" x14ac:dyDescent="0.2">
      <c r="A6" s="147">
        <f>A5+6</f>
        <v>6</v>
      </c>
      <c r="B6" s="147" t="s">
        <v>29</v>
      </c>
      <c r="C6" s="205">
        <f>C5+6</f>
        <v>12</v>
      </c>
      <c r="D6" s="129" t="str">
        <f>Currency&amp;A6&amp;B6&amp;C6&amp;"F"</f>
        <v>AUD6x12F</v>
      </c>
      <c r="E6" s="132">
        <f>_xll.qlCalendarAdvance(Calendar,E5,A6&amp;"M","mf")</f>
        <v>42075</v>
      </c>
      <c r="F6" s="132">
        <f>_xll.qlInterestRateIndexMaturity($E$9,E6)</f>
        <v>42261</v>
      </c>
      <c r="G6" s="131" t="str">
        <f>_xll.qlMakeDatedOIS(,E6,F6,OvernightIndex,0,,,,EvaluationDate)</f>
        <v>obj_00264#0000</v>
      </c>
      <c r="H6" s="132" t="b">
        <f>_xll.qlInstrumentSetPricingEngine(G6,OisEngine)</f>
        <v>1</v>
      </c>
      <c r="I6" s="133">
        <f>'6M Swaps'!R31</f>
        <v>2.7862798400945996E-2</v>
      </c>
      <c r="J6" s="134">
        <f>_xll.qlOvernightIndexedSwapFairRate(G6,_xll.ohTrigger(H6,InterestRatesTrigger))</f>
        <v>2.4965930359953682E-2</v>
      </c>
      <c r="K6" s="157">
        <f>I6*_xll.qlDayCounterYearFraction(DayCounter6M,E6,F6,,,Trigger)</f>
        <v>1.419857671938618E-2</v>
      </c>
      <c r="L6" s="157">
        <f>J6*_xll.qlDayCounterYearFraction(DayCounterOIS,E6,F6,,,Trigger)</f>
        <v>1.2722364512195576E-2</v>
      </c>
      <c r="M6" s="168">
        <f>K6-L6</f>
        <v>1.4762122071906043E-3</v>
      </c>
      <c r="N6" s="168">
        <f>M6</f>
        <v>1.4762122071906043E-3</v>
      </c>
      <c r="P6" s="168" t="b">
        <v>1</v>
      </c>
      <c r="W6" s="154"/>
      <c r="X6" s="210"/>
      <c r="Y6" s="155"/>
      <c r="AF6" s="164">
        <f>_xll.qlCalendarAdvance(Calendar,AF5,"1d","mf",,Trigger)</f>
        <v>41898</v>
      </c>
      <c r="AG6" s="175">
        <f>_xll.qlDayCounterYearFraction(DayCounterON,SettlementDate,AF6,,,Trigger)</f>
        <v>1.3698630136986301E-2</v>
      </c>
      <c r="AH6" s="165">
        <f t="shared" si="0"/>
        <v>1.7107550965545595E-3</v>
      </c>
      <c r="AI6" s="165">
        <f t="shared" si="1"/>
        <v>1.1516337358250454E-3</v>
      </c>
      <c r="AJ6" s="135" t="e">
        <f t="shared" si="2"/>
        <v>#N/A</v>
      </c>
    </row>
    <row r="7" spans="1:36" ht="12" thickBot="1" x14ac:dyDescent="0.25">
      <c r="A7" s="147">
        <f>A6+6</f>
        <v>12</v>
      </c>
      <c r="B7" s="147" t="s">
        <v>29</v>
      </c>
      <c r="C7" s="205">
        <f>C6+6</f>
        <v>18</v>
      </c>
      <c r="D7" s="347" t="str">
        <f>Currency&amp;A7&amp;B7&amp;C7&amp;"F"</f>
        <v>AUD12x18F</v>
      </c>
      <c r="E7" s="137">
        <f>_xll.qlCalendarAdvance(Calendar,E5,A7&amp;"M","mf")</f>
        <v>42261</v>
      </c>
      <c r="F7" s="137">
        <f>_xll.qlInterestRateIndexMaturity($E$9,E7)</f>
        <v>42443</v>
      </c>
      <c r="G7" s="136" t="str">
        <f>_xll.qlMakeDatedOIS(,E7,F7,OvernightIndex,0,,,,EvaluationDate)</f>
        <v>obj_00268#0000</v>
      </c>
      <c r="H7" s="137" t="b">
        <f>_xll.qlInstrumentSetPricingEngine(G7,OisEngine)</f>
        <v>1</v>
      </c>
      <c r="I7" s="138"/>
      <c r="J7" s="138"/>
      <c r="K7" s="138"/>
      <c r="L7" s="158"/>
      <c r="M7" s="169"/>
      <c r="N7" s="169"/>
      <c r="P7" s="169"/>
      <c r="W7" s="154"/>
      <c r="X7" s="210"/>
      <c r="Y7" s="155"/>
      <c r="AF7" s="164">
        <f>_xll.qlCalendarAdvance(Calendar,AF6,"1d","mf",,Trigger)</f>
        <v>41899</v>
      </c>
      <c r="AG7" s="175">
        <f>_xll.qlDayCounterYearFraction(DayCounterON,SettlementDate,AF7,,,Trigger)</f>
        <v>1.643835616438356E-2</v>
      </c>
      <c r="AH7" s="165">
        <f t="shared" si="0"/>
        <v>1.7107550965545595E-3</v>
      </c>
      <c r="AI7" s="165">
        <f t="shared" si="1"/>
        <v>1.1580975665849242E-3</v>
      </c>
      <c r="AJ7" s="135" t="e">
        <f t="shared" si="2"/>
        <v>#N/A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41900</v>
      </c>
      <c r="AG8" s="175">
        <f>_xll.qlDayCounterYearFraction(DayCounterON,SettlementDate,AF8,,,Trigger)</f>
        <v>1.9178082191780823E-2</v>
      </c>
      <c r="AH8" s="165">
        <f t="shared" si="0"/>
        <v>1.7107550965545595E-3</v>
      </c>
      <c r="AI8" s="165">
        <f t="shared" si="1"/>
        <v>1.164561397344803E-3</v>
      </c>
      <c r="AJ8" s="135" t="e">
        <f t="shared" si="2"/>
        <v>#N/A</v>
      </c>
    </row>
    <row r="9" spans="1:36" x14ac:dyDescent="0.2">
      <c r="D9" s="141" t="s">
        <v>93</v>
      </c>
      <c r="E9" s="203" t="str">
        <f>Currency&amp;IborType&amp;"6M"</f>
        <v>AUDBBSW6M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0.12431225370613623</v>
      </c>
      <c r="U9" s="150">
        <f t="array" ref="U9:U10">_xll.ohFilter(L10:L14,P10:P14)</f>
        <v>0.49589041095890413</v>
      </c>
      <c r="V9" s="357" t="s">
        <v>29</v>
      </c>
      <c r="W9" s="152">
        <f t="array" ref="W9:W10">MMULT(AA9:AB10,Y9:Y10)</f>
        <v>2.3592982273557511E-3</v>
      </c>
      <c r="X9" s="357" t="s">
        <v>30</v>
      </c>
      <c r="Y9" s="133">
        <f t="array" ref="Y9:Y10">_xll.ohFilter(N3:N7,P3:P7)</f>
        <v>8.4834704788048013E-4</v>
      </c>
      <c r="AA9" s="148">
        <f t="array" ref="AA9:AB10">MINVERSE(T9:U10)</f>
        <v>-4.0111701567133844</v>
      </c>
      <c r="AB9" s="150">
        <v>3.9033430019630231</v>
      </c>
      <c r="AF9" s="164">
        <f>_xll.qlCalendarAdvance(Calendar,AF8,"1d","mf",,Trigger)</f>
        <v>41901</v>
      </c>
      <c r="AG9" s="175">
        <f>_xll.qlDayCounterYearFraction(DayCounterON,SettlementDate,AF9,,,Trigger)</f>
        <v>2.1917808219178082E-2</v>
      </c>
      <c r="AH9" s="165">
        <f t="shared" si="0"/>
        <v>1.7107550965545595E-3</v>
      </c>
      <c r="AI9" s="165">
        <f t="shared" si="1"/>
        <v>1.1710252281046816E-3</v>
      </c>
      <c r="AJ9" s="135" t="e">
        <f t="shared" si="2"/>
        <v>#N/A</v>
      </c>
    </row>
    <row r="10" spans="1:36" ht="11.25" customHeight="1" x14ac:dyDescent="0.2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0.38393694877087647</v>
      </c>
      <c r="U10" s="150">
        <v>0.50958904109589054</v>
      </c>
      <c r="V10" s="357"/>
      <c r="W10" s="152">
        <v>1.1193145820256516E-3</v>
      </c>
      <c r="X10" s="357"/>
      <c r="Y10" s="133">
        <v>1.4762122071906043E-3</v>
      </c>
      <c r="AA10" s="148">
        <v>3.0221145016333719</v>
      </c>
      <c r="AB10" s="150">
        <v>-0.97850927309484015</v>
      </c>
      <c r="AF10" s="164">
        <f>_xll.qlCalendarAdvance(Calendar,AF9,"1d","mf",,Trigger)</f>
        <v>41904</v>
      </c>
      <c r="AG10" s="175">
        <f>_xll.qlDayCounterYearFraction(DayCounterON,SettlementDate,AF10,,,Trigger)</f>
        <v>3.0136986301369864E-2</v>
      </c>
      <c r="AH10" s="165">
        <f t="shared" si="0"/>
        <v>1.7107550965545595E-3</v>
      </c>
      <c r="AI10" s="165">
        <f t="shared" si="1"/>
        <v>1.1904167203843181E-3</v>
      </c>
      <c r="AJ10" s="135" t="e">
        <f t="shared" si="2"/>
        <v>#N/A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0.49589041095890413</v>
      </c>
      <c r="L11" s="214">
        <f>K11-J11</f>
        <v>0.49589041095890413</v>
      </c>
      <c r="M11" s="214">
        <f>(K11^2-J11^2)/2</f>
        <v>0.12295364984049541</v>
      </c>
      <c r="N11" s="215">
        <f>(K11^3-J11^3)/3</f>
        <v>4.0647690632200313E-2</v>
      </c>
      <c r="P11" s="215" t="b">
        <f>P4</f>
        <v>0</v>
      </c>
      <c r="W11" s="154"/>
      <c r="X11" s="210"/>
      <c r="Y11" s="155"/>
      <c r="AF11" s="164">
        <f>_xll.qlCalendarAdvance(Calendar,AF10,"1d","mf",,Trigger)</f>
        <v>41905</v>
      </c>
      <c r="AG11" s="175">
        <f>_xll.qlDayCounterYearFraction(DayCounterON,SettlementDate,AF11,,,Trigger)</f>
        <v>3.287671232876712E-2</v>
      </c>
      <c r="AH11" s="165">
        <f t="shared" si="0"/>
        <v>1.7107550965545595E-3</v>
      </c>
      <c r="AI11" s="165">
        <f t="shared" si="1"/>
        <v>1.1968805511441969E-3</v>
      </c>
      <c r="AJ11" s="135" t="e">
        <f t="shared" si="2"/>
        <v>#N/A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0.49863013698630138</v>
      </c>
      <c r="L12" s="214">
        <f>K12-J12</f>
        <v>0.49589041095890413</v>
      </c>
      <c r="M12" s="214">
        <f>(K12^2-J12^2)/2</f>
        <v>0.12431225370613623</v>
      </c>
      <c r="N12" s="215">
        <f>(K12^3-J12^3)/3</f>
        <v>4.1325131463834909E-2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41906</v>
      </c>
      <c r="AG12" s="175">
        <f>_xll.qlDayCounterYearFraction(DayCounterON,SettlementDate,AF12,,,Trigger)</f>
        <v>3.5616438356164383E-2</v>
      </c>
      <c r="AH12" s="165">
        <f t="shared" si="0"/>
        <v>1.7107550965545595E-3</v>
      </c>
      <c r="AI12" s="165">
        <f t="shared" si="1"/>
        <v>1.2033443819040755E-3</v>
      </c>
      <c r="AJ12" s="135" t="e">
        <f t="shared" si="2"/>
        <v>#N/A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_xll.qlInterpolation(,E13,E5:E6,M5:M6)</f>
        <v>obj_00556#0000</v>
      </c>
      <c r="J13" s="213">
        <f>_xll.qlDayCounterYearFraction(DayCounterON,SettlementDate,E6,,,Trigger)</f>
        <v>0.49863013698630138</v>
      </c>
      <c r="K13" s="214">
        <f>_xll.qlDayCounterYearFraction(DayCounterON,SettlementDate,F6,,,Trigger)</f>
        <v>1.0082191780821919</v>
      </c>
      <c r="L13" s="214">
        <f>K13-J13</f>
        <v>0.50958904109589054</v>
      </c>
      <c r="M13" s="214">
        <f>(K13^2-J13^2)/2</f>
        <v>0.38393694877087647</v>
      </c>
      <c r="N13" s="215">
        <f>(K13^3-J13^3)/3</f>
        <v>0.30029511306703832</v>
      </c>
      <c r="P13" s="215" t="b">
        <f>P6</f>
        <v>1</v>
      </c>
      <c r="R13" s="198" t="s">
        <v>70</v>
      </c>
      <c r="U13" s="151">
        <f t="array" ref="U13">_xll.ohFilter(L10:L14,P10:P14)</f>
        <v>0.49589041095890413</v>
      </c>
      <c r="V13" s="198" t="s">
        <v>29</v>
      </c>
      <c r="W13" s="152">
        <f>MMULT(AA13,Y13)</f>
        <v>1.7107550965545595E-3</v>
      </c>
      <c r="X13" s="198" t="s">
        <v>30</v>
      </c>
      <c r="Y13" s="133">
        <f>_xll.ohFilter(N3:N7,P3:P7)</f>
        <v>8.4834704788048013E-4</v>
      </c>
      <c r="AA13" s="151">
        <f>MINVERSE(U13)</f>
        <v>2.0165745856353592</v>
      </c>
      <c r="AF13" s="164">
        <f>_xll.qlCalendarAdvance(Calendar,AF12,"1d","mf",,Trigger)</f>
        <v>41907</v>
      </c>
      <c r="AG13" s="175">
        <f>_xll.qlDayCounterYearFraction(DayCounterON,SettlementDate,AF13,,,Trigger)</f>
        <v>3.8356164383561646E-2</v>
      </c>
      <c r="AH13" s="165">
        <f t="shared" si="0"/>
        <v>1.7107550965545595E-3</v>
      </c>
      <c r="AI13" s="165">
        <f t="shared" si="1"/>
        <v>1.2098082126639543E-3</v>
      </c>
      <c r="AJ13" s="135" t="e">
        <f t="shared" si="2"/>
        <v>#N/A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1.0082191780821919</v>
      </c>
      <c r="K14" s="217">
        <f>_xll.qlDayCounterYearFraction(DayCounterON,SettlementDate,F7,,,Trigger)</f>
        <v>1.5068493150684932</v>
      </c>
      <c r="L14" s="217">
        <f>K14-J14</f>
        <v>0.49863013698630132</v>
      </c>
      <c r="M14" s="217">
        <f>(K14^2-J14^2)/2</f>
        <v>0.62704447363482818</v>
      </c>
      <c r="N14" s="218">
        <f>(K14^3-J14^3)/3</f>
        <v>0.79886118430128583</v>
      </c>
      <c r="P14" s="218"/>
      <c r="AF14" s="164">
        <f>_xll.qlCalendarAdvance(Calendar,AF13,"1d","mf",,Trigger)</f>
        <v>41908</v>
      </c>
      <c r="AG14" s="175">
        <f>_xll.qlDayCounterYearFraction(DayCounterON,SettlementDate,AF14,,,Trigger)</f>
        <v>4.1095890410958902E-2</v>
      </c>
      <c r="AH14" s="165">
        <f t="shared" si="0"/>
        <v>1.7107550965545595E-3</v>
      </c>
      <c r="AI14" s="165">
        <f t="shared" si="1"/>
        <v>1.2162720434238331E-3</v>
      </c>
      <c r="AJ14" s="135" t="e">
        <f t="shared" si="2"/>
        <v>#N/A</v>
      </c>
    </row>
    <row r="15" spans="1:36" ht="14.25" customHeight="1" thickBot="1" x14ac:dyDescent="0.25">
      <c r="P15" s="146"/>
      <c r="AF15" s="164">
        <f>_xll.qlCalendarAdvance(Calendar,AF14,"1d","mf",,Trigger)</f>
        <v>41911</v>
      </c>
      <c r="AG15" s="175">
        <f>_xll.qlDayCounterYearFraction(DayCounterON,SettlementDate,AF15,,,Trigger)</f>
        <v>4.9315068493150684E-2</v>
      </c>
      <c r="AH15" s="165">
        <f t="shared" si="0"/>
        <v>1.7107550965545595E-3</v>
      </c>
      <c r="AI15" s="165">
        <f t="shared" si="1"/>
        <v>1.2356635357034693E-3</v>
      </c>
      <c r="AJ15" s="135" t="e">
        <f t="shared" si="2"/>
        <v>#N/A</v>
      </c>
    </row>
    <row r="16" spans="1:36" ht="11.25" customHeight="1" thickBot="1" x14ac:dyDescent="0.25">
      <c r="M16" s="219" t="s">
        <v>100</v>
      </c>
      <c r="N16" s="220"/>
      <c r="O16" s="221"/>
      <c r="P16" s="146"/>
      <c r="AF16" s="164">
        <f>_xll.qlCalendarAdvance(Calendar,AF15,"1d","mf",,Trigger)</f>
        <v>41912</v>
      </c>
      <c r="AG16" s="175">
        <f>_xll.qlDayCounterYearFraction(DayCounterON,SettlementDate,AF16,,,Trigger)</f>
        <v>5.2054794520547946E-2</v>
      </c>
      <c r="AH16" s="165">
        <f t="shared" si="0"/>
        <v>1.7107550965545595E-3</v>
      </c>
      <c r="AI16" s="165">
        <f t="shared" si="1"/>
        <v>1.2421273664633482E-3</v>
      </c>
      <c r="AJ16" s="135" t="e">
        <f t="shared" si="2"/>
        <v>#N/A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41913</v>
      </c>
      <c r="AG17" s="175">
        <f>_xll.qlDayCounterYearFraction(DayCounterON,SettlementDate,AF17,,,Trigger)</f>
        <v>5.4794520547945202E-2</v>
      </c>
      <c r="AH17" s="165">
        <f t="shared" si="0"/>
        <v>1.7107550965545595E-3</v>
      </c>
      <c r="AI17" s="165">
        <f t="shared" si="1"/>
        <v>1.248591197223227E-3</v>
      </c>
      <c r="AJ17" s="135" t="e">
        <f t="shared" si="2"/>
        <v>#N/A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41897</v>
      </c>
      <c r="F18" s="172">
        <f>_xll.qlCalendarAdvance(Calendar,E18,D18,"Following",,Trigger)</f>
        <v>41898</v>
      </c>
      <c r="G18" s="173" t="str">
        <f>_xll.qlMakeDatedOIS(,E18,F18,OvernightIndex,0,,,,EvaluationDate)</f>
        <v>obj_00272#0000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2.4652903787512056E-2</v>
      </c>
      <c r="J18" s="214">
        <f>_xll.qlDayCounterYearFraction(DayCounterOIS,E18,F18,,,Trigger)</f>
        <v>2.7397260273972603E-3</v>
      </c>
      <c r="K18" s="214">
        <f>_xll.qlDayCounterYearFraction(DayCounter6M,E18,F18,,,Trigger)</f>
        <v>2.7397260273972603E-3</v>
      </c>
      <c r="L18" s="214">
        <f>_xll.qlDayCounterYearFraction(DayCounterON,E18,F18,,,Trigger)</f>
        <v>2.7397260273972603E-3</v>
      </c>
      <c r="M18" s="165">
        <f>($I18*$J18+$W$13*L18)/$K18</f>
        <v>2.6363658884066617E-2</v>
      </c>
      <c r="N18" s="165">
        <f>($I18*$J18+($W$10*L18+$W$9*L18^2/2))/$K18</f>
        <v>2.5775450284917647E-2</v>
      </c>
      <c r="O18" s="165" t="e">
        <f>($I18*$J18+($W$5*L18+$W$4*L18^2/2+$W$3*L18^3/3))/$K18</f>
        <v>#N/A</v>
      </c>
      <c r="P18" s="146"/>
      <c r="AF18" s="164">
        <f>_xll.qlCalendarAdvance(Calendar,AF17,"1d","mf",,Trigger)</f>
        <v>41914</v>
      </c>
      <c r="AG18" s="175">
        <f>_xll.qlDayCounterYearFraction(DayCounterON,SettlementDate,AF18,,,Trigger)</f>
        <v>5.7534246575342465E-2</v>
      </c>
      <c r="AH18" s="165">
        <f t="shared" si="0"/>
        <v>1.7107550965545595E-3</v>
      </c>
      <c r="AI18" s="165">
        <f t="shared" si="1"/>
        <v>1.2550550279831058E-3</v>
      </c>
      <c r="AJ18" s="135" t="e">
        <f t="shared" si="2"/>
        <v>#N/A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41897</v>
      </c>
      <c r="F19" s="174">
        <f>_xll.qlCalendarAdvance(Calendar,E19,D19,"Following",,Trigger)</f>
        <v>41904</v>
      </c>
      <c r="G19" s="175" t="str">
        <f>_xll.qlMakeDatedOIS(,E19,F19,OvernightIndex,0,,,,EvaluationDate)</f>
        <v>obj_0026d#0000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2.4653753965291663E-2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2.636450906184622E-2</v>
      </c>
      <c r="N19" s="165">
        <f t="shared" ref="N19:N27" si="3">($I19*$J19+($W$10*L19+$W$9*L19^2/2))/$K19</f>
        <v>2.5795691954976888E-2</v>
      </c>
      <c r="O19" s="165" t="e">
        <f t="shared" ref="O19:O27" si="4">($I19*$J19+($W$5*L19+$W$4*L19^2/2+$W$3*L19^3/3))/$K19</f>
        <v>#N/A</v>
      </c>
      <c r="P19" s="146"/>
      <c r="AF19" s="164">
        <f>_xll.qlCalendarAdvance(Calendar,AF18,"1d","mf",,Trigger)</f>
        <v>41915</v>
      </c>
      <c r="AG19" s="175">
        <f>_xll.qlDayCounterYearFraction(DayCounterON,SettlementDate,AF19,,,Trigger)</f>
        <v>6.0273972602739728E-2</v>
      </c>
      <c r="AH19" s="165">
        <f t="shared" si="0"/>
        <v>1.7107550965545595E-3</v>
      </c>
      <c r="AI19" s="165">
        <f t="shared" si="1"/>
        <v>1.2615188587429846E-3</v>
      </c>
      <c r="AJ19" s="135" t="e">
        <f t="shared" si="2"/>
        <v>#N/A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41897</v>
      </c>
      <c r="F20" s="174">
        <f>_xll.qlCalendarAdvance(Calendar,E20,D20,"Following",,Trigger)</f>
        <v>41911</v>
      </c>
      <c r="G20" s="175" t="str">
        <f>_xll.qlMakeDatedOIS(,E20,F20,OvernightIndex,0,,,,EvaluationDate)</f>
        <v>obj_00274#0000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2.4653625524633554E-2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7" si="5">($I20*$J20+$W$13*L20)/$K20</f>
        <v>2.6364380621188111E-2</v>
      </c>
      <c r="N20" s="165">
        <f t="shared" si="3"/>
        <v>2.5818186921978355E-2</v>
      </c>
      <c r="O20" s="165" t="e">
        <f t="shared" si="4"/>
        <v>#N/A</v>
      </c>
      <c r="P20" s="146"/>
      <c r="AF20" s="164">
        <f>_xll.qlCalendarAdvance(Calendar,AF19,"1d","mf",,Trigger)</f>
        <v>41919</v>
      </c>
      <c r="AG20" s="175">
        <f>_xll.qlDayCounterYearFraction(DayCounterON,SettlementDate,AF20,,,Trigger)</f>
        <v>7.1232876712328766E-2</v>
      </c>
      <c r="AH20" s="165">
        <f t="shared" si="0"/>
        <v>1.7107550965545595E-3</v>
      </c>
      <c r="AI20" s="165">
        <f t="shared" si="1"/>
        <v>1.2873741817824996E-3</v>
      </c>
      <c r="AJ20" s="135" t="e">
        <f t="shared" si="2"/>
        <v>#N/A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41897</v>
      </c>
      <c r="F21" s="174">
        <f>_xll.qlCalendarAdvance(Calendar,E21,D21,"Following",,Trigger)</f>
        <v>41919</v>
      </c>
      <c r="G21" s="175" t="str">
        <f>_xll.qlMakeDatedOIS(,E21,F21,OvernightIndex,0,,,,EvaluationDate)</f>
        <v>obj_0026c#0000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2.4653150513849604E-2</v>
      </c>
      <c r="J21" s="214">
        <f>_xll.qlDayCounterYearFraction(DayCounterOIS,E21,F21,,,Trigger)</f>
        <v>6.0273972602739728E-2</v>
      </c>
      <c r="K21" s="214">
        <f>_xll.qlDayCounterYearFraction(DayCounter6M,E21,F21,,,Trigger)</f>
        <v>6.0273972602739728E-2</v>
      </c>
      <c r="L21" s="214">
        <f>_xll.qlDayCounterYearFraction(DayCounterON,E21,F21,,,Trigger)</f>
        <v>6.0273972602739728E-2</v>
      </c>
      <c r="M21" s="165">
        <f t="shared" si="5"/>
        <v>2.6363905610404165E-2</v>
      </c>
      <c r="N21" s="165">
        <f t="shared" si="3"/>
        <v>2.5843567234233922E-2</v>
      </c>
      <c r="O21" s="165" t="e">
        <f t="shared" si="4"/>
        <v>#N/A</v>
      </c>
      <c r="P21" s="146"/>
      <c r="AF21" s="164">
        <f>_xll.qlCalendarAdvance(Calendar,AF20,"1d","mf",,Trigger)</f>
        <v>41920</v>
      </c>
      <c r="AG21" s="175">
        <f>_xll.qlDayCounterYearFraction(DayCounterON,SettlementDate,AF21,,,Trigger)</f>
        <v>7.3972602739726029E-2</v>
      </c>
      <c r="AH21" s="165">
        <f t="shared" si="0"/>
        <v>1.7107550965545595E-3</v>
      </c>
      <c r="AI21" s="165">
        <f t="shared" si="1"/>
        <v>1.2938380125423784E-3</v>
      </c>
      <c r="AJ21" s="135" t="e">
        <f t="shared" si="2"/>
        <v>#N/A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41897</v>
      </c>
      <c r="F22" s="174">
        <f>_xll.qlCalendarAdvance(Calendar,E22,D22,"Following",,Trigger)</f>
        <v>41927</v>
      </c>
      <c r="G22" s="175" t="str">
        <f>_xll.qlMakeDatedOIS(,E22,F22,OvernightIndex,0,,,,EvaluationDate)</f>
        <v>obj_00271#0000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2.4652428262607273E-2</v>
      </c>
      <c r="J22" s="214">
        <f>_xll.qlDayCounterYearFraction(DayCounterOIS,E22,F22,,,Trigger)</f>
        <v>8.2191780821917804E-2</v>
      </c>
      <c r="K22" s="214">
        <f>_xll.qlDayCounterYearFraction(DayCounter6M,E22,F22,,,Trigger)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2.6363183359161834E-2</v>
      </c>
      <c r="N22" s="165">
        <f t="shared" si="3"/>
        <v>2.5868700306031112E-2</v>
      </c>
      <c r="O22" s="165" t="e">
        <f t="shared" si="4"/>
        <v>#N/A</v>
      </c>
      <c r="P22" s="146"/>
      <c r="AF22" s="164">
        <f>_xll.qlCalendarAdvance(Calendar,AF21,"1d","mf",,Trigger)</f>
        <v>41921</v>
      </c>
      <c r="AG22" s="175">
        <f>_xll.qlDayCounterYearFraction(DayCounterON,SettlementDate,AF22,,,Trigger)</f>
        <v>7.6712328767123292E-2</v>
      </c>
      <c r="AH22" s="165">
        <f t="shared" si="0"/>
        <v>1.7107550965545595E-3</v>
      </c>
      <c r="AI22" s="165">
        <f t="shared" si="1"/>
        <v>1.3003018433022573E-3</v>
      </c>
      <c r="AJ22" s="135" t="e">
        <f t="shared" si="2"/>
        <v>#N/A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41897</v>
      </c>
      <c r="F23" s="174">
        <f>_xll.qlCalendarAdvance(Calendar,E23,D23,"Following",,Trigger)</f>
        <v>41960</v>
      </c>
      <c r="G23" s="175" t="str">
        <f>_xll.qlMakeDatedOIS(,E23,F23,OvernightIndex,0,,,,EvaluationDate)</f>
        <v>obj_00273#0000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2.4653468749657702E-2</v>
      </c>
      <c r="J23" s="214">
        <f>_xll.qlDayCounterYearFraction(DayCounterOIS,E23,F23,,,Trigger)</f>
        <v>0.17260273972602741</v>
      </c>
      <c r="K23" s="214">
        <f>_xll.qlDayCounterYearFraction(DayCounter6M,E23,F23,,,Trigger)</f>
        <v>0.17260273972602741</v>
      </c>
      <c r="L23" s="214">
        <f>_xll.qlDayCounterYearFraction(DayCounterON,E23,F23,,,Trigger)</f>
        <v>0.17260273972602741</v>
      </c>
      <c r="M23" s="165">
        <f t="shared" si="5"/>
        <v>2.6364223846212263E-2</v>
      </c>
      <c r="N23" s="165">
        <f t="shared" si="3"/>
        <v>2.5976394000619536E-2</v>
      </c>
      <c r="O23" s="165" t="e">
        <f t="shared" si="4"/>
        <v>#N/A</v>
      </c>
      <c r="P23" s="146"/>
      <c r="AF23" s="164">
        <f>_xll.qlCalendarAdvance(Calendar,AF22,"1d","mf",,Trigger)</f>
        <v>41922</v>
      </c>
      <c r="AG23" s="175">
        <f>_xll.qlDayCounterYearFraction(DayCounterON,SettlementDate,AF23,,,Trigger)</f>
        <v>7.9452054794520555E-2</v>
      </c>
      <c r="AH23" s="165">
        <f t="shared" si="0"/>
        <v>1.7107550965545595E-3</v>
      </c>
      <c r="AI23" s="165">
        <f t="shared" si="1"/>
        <v>1.3067656740621358E-3</v>
      </c>
      <c r="AJ23" s="135" t="e">
        <f t="shared" si="2"/>
        <v>#N/A</v>
      </c>
    </row>
    <row r="24" spans="4:36" ht="11.25" customHeight="1" x14ac:dyDescent="0.2">
      <c r="D24" s="178" t="s">
        <v>33</v>
      </c>
      <c r="E24" s="132">
        <f>_xll.qlCalendarAdvance(Calendar,SettlementDate,"2D","f",,Trigger)</f>
        <v>41897</v>
      </c>
      <c r="F24" s="174">
        <f>_xll.qlCalendarAdvance(Calendar,E24,D24,"Following",,Trigger)</f>
        <v>41988</v>
      </c>
      <c r="G24" s="175" t="str">
        <f>_xll.qlMakeDatedOIS(,E24,F24,OvernightIndex,0,,,,EvaluationDate)</f>
        <v>obj_0026e#0000</v>
      </c>
      <c r="H24" s="200" t="b">
        <f>_xll.qlInstrumentSetPricingEngine(G24,OisEngine)</f>
        <v>1</v>
      </c>
      <c r="I24" s="134">
        <f>_xll.qlOvernightIndexedSwapFairRate(G24,_xll.ohTrigger(InterestRatesTrigger))</f>
        <v>2.4651142045476287E-2</v>
      </c>
      <c r="J24" s="214">
        <f>_xll.qlDayCounterYearFraction(DayCounterOIS,E24,F24,,,Trigger)</f>
        <v>0.24931506849315069</v>
      </c>
      <c r="K24" s="214">
        <f>_xll.qlDayCounterYearFraction(DayCounter6M,E24,F24,,,Trigger)</f>
        <v>0.24931506849315069</v>
      </c>
      <c r="L24" s="214">
        <f>_xll.qlDayCounterYearFraction(DayCounterON,E24,F24,,,Trigger)</f>
        <v>0.24931506849315069</v>
      </c>
      <c r="M24" s="165">
        <f t="shared" si="5"/>
        <v>2.6361897142030844E-2</v>
      </c>
      <c r="N24" s="165">
        <f t="shared" si="3"/>
        <v>2.606456092707642E-2</v>
      </c>
      <c r="O24" s="165" t="e">
        <f t="shared" si="4"/>
        <v>#N/A</v>
      </c>
      <c r="P24" s="146"/>
      <c r="AF24" s="164">
        <f>_xll.qlCalendarAdvance(Calendar,AF23,"1d","mf",,Trigger)</f>
        <v>41925</v>
      </c>
      <c r="AG24" s="175">
        <f>_xll.qlDayCounterYearFraction(DayCounterON,SettlementDate,AF24,,,Trigger)</f>
        <v>8.7671232876712329E-2</v>
      </c>
      <c r="AH24" s="165">
        <f t="shared" si="0"/>
        <v>1.7107550965545595E-3</v>
      </c>
      <c r="AI24" s="165">
        <f t="shared" si="1"/>
        <v>1.3261571663417723E-3</v>
      </c>
      <c r="AJ24" s="135" t="e">
        <f t="shared" si="2"/>
        <v>#N/A</v>
      </c>
    </row>
    <row r="25" spans="4:36" x14ac:dyDescent="0.2">
      <c r="D25" s="178" t="s">
        <v>40</v>
      </c>
      <c r="E25" s="132">
        <f>_xll.qlCalendarAdvance(Calendar,SettlementDate,"2D","f",,Trigger)</f>
        <v>41897</v>
      </c>
      <c r="F25" s="174">
        <f>_xll.qlCalendarAdvance(Calendar,E25,D25,"Following",,Trigger)</f>
        <v>42019</v>
      </c>
      <c r="G25" s="175" t="str">
        <f>_xll.qlMakeDatedOIS(,E25,F25,OvernightIndex,0,,,,EvaluationDate)</f>
        <v>obj_00275#0000</v>
      </c>
      <c r="H25" s="200" t="b">
        <f>_xll.qlInstrumentSetPricingEngine(G25,OisEngine)</f>
        <v>1</v>
      </c>
      <c r="I25" s="134">
        <f>_xll.qlOvernightIndexedSwapFairRate(G25,_xll.ohTrigger(InterestRatesTrigger))</f>
        <v>2.4643424484939006E-2</v>
      </c>
      <c r="J25" s="214">
        <f>_xll.qlDayCounterYearFraction(DayCounterOIS,E25,F25,,,Trigger)</f>
        <v>0.33424657534246577</v>
      </c>
      <c r="K25" s="214">
        <f>_xll.qlDayCounterYearFraction(DayCounter6M,E25,F25,,,Trigger)</f>
        <v>0.33424657534246577</v>
      </c>
      <c r="L25" s="214">
        <f>_xll.qlDayCounterYearFraction(DayCounterON,E25,F25,,,Trigger)</f>
        <v>0.33424657534246577</v>
      </c>
      <c r="M25" s="165">
        <f t="shared" si="5"/>
        <v>2.6354179581493567E-2</v>
      </c>
      <c r="N25" s="165">
        <f t="shared" si="3"/>
        <v>2.6157032743317266E-2</v>
      </c>
      <c r="O25" s="165" t="e">
        <f t="shared" si="4"/>
        <v>#N/A</v>
      </c>
      <c r="P25" s="146"/>
      <c r="AF25" s="164">
        <f>_xll.qlCalendarAdvance(Calendar,AF24,"1d","mf",,Trigger)</f>
        <v>41926</v>
      </c>
      <c r="AG25" s="175">
        <f>_xll.qlDayCounterYearFraction(DayCounterON,SettlementDate,AF25,,,Trigger)</f>
        <v>9.0410958904109592E-2</v>
      </c>
      <c r="AH25" s="165">
        <f t="shared" si="0"/>
        <v>1.7107550965545595E-3</v>
      </c>
      <c r="AI25" s="165">
        <f t="shared" si="1"/>
        <v>1.3326209971016509E-3</v>
      </c>
      <c r="AJ25" s="135" t="e">
        <f t="shared" si="2"/>
        <v>#N/A</v>
      </c>
    </row>
    <row r="26" spans="4:36" x14ac:dyDescent="0.2">
      <c r="D26" s="178" t="s">
        <v>41</v>
      </c>
      <c r="E26" s="132">
        <f>_xll.qlCalendarAdvance(Calendar,SettlementDate,"2D","f",,Trigger)</f>
        <v>41897</v>
      </c>
      <c r="F26" s="174">
        <f>_xll.qlCalendarAdvance(Calendar,E26,D26,"Following",,Trigger)</f>
        <v>42051</v>
      </c>
      <c r="G26" s="175" t="str">
        <f>_xll.qlMakeDatedOIS(,E26,F26,OvernightIndex,0,,,,EvaluationDate)</f>
        <v>obj_00270#0000</v>
      </c>
      <c r="H26" s="200" t="b">
        <f>_xll.qlInstrumentSetPricingEngine(G26,OisEngine)</f>
        <v>1</v>
      </c>
      <c r="I26" s="134">
        <f>_xll.qlOvernightIndexedSwapFairRate(G26,_xll.ohTrigger(InterestRatesTrigger))</f>
        <v>2.4664772884016653E-2</v>
      </c>
      <c r="J26" s="214">
        <f>_xll.qlDayCounterYearFraction(DayCounterOIS,E26,F26,,,Trigger)</f>
        <v>0.42191780821917807</v>
      </c>
      <c r="K26" s="214">
        <f>_xll.qlDayCounterYearFraction(DayCounter6M,E26,F26,,,Trigger)</f>
        <v>0.42191780821917807</v>
      </c>
      <c r="L26" s="214">
        <f>_xll.qlDayCounterYearFraction(DayCounterON,E26,F26,,,Trigger)</f>
        <v>0.42191780821917807</v>
      </c>
      <c r="M26" s="165">
        <f t="shared" si="5"/>
        <v>2.637552798057121E-2</v>
      </c>
      <c r="N26" s="165">
        <f t="shared" si="3"/>
        <v>2.6281802434552966E-2</v>
      </c>
      <c r="O26" s="165" t="e">
        <f t="shared" si="4"/>
        <v>#N/A</v>
      </c>
      <c r="P26" s="146"/>
      <c r="AF26" s="164">
        <f>_xll.qlCalendarAdvance(Calendar,AF25,"1d","mf",,Trigger)</f>
        <v>41927</v>
      </c>
      <c r="AG26" s="175">
        <f>_xll.qlDayCounterYearFraction(DayCounterON,SettlementDate,AF26,,,Trigger)</f>
        <v>9.3150684931506855E-2</v>
      </c>
      <c r="AH26" s="165">
        <f t="shared" si="0"/>
        <v>1.7107550965545595E-3</v>
      </c>
      <c r="AI26" s="165">
        <f t="shared" si="1"/>
        <v>1.3390848278615297E-3</v>
      </c>
      <c r="AJ26" s="135" t="e">
        <f t="shared" si="2"/>
        <v>#N/A</v>
      </c>
    </row>
    <row r="27" spans="4:36" ht="12" thickBot="1" x14ac:dyDescent="0.25">
      <c r="D27" s="179" t="s">
        <v>34</v>
      </c>
      <c r="E27" s="137">
        <f>_xll.qlCalendarAdvance(Calendar,SettlementDate,"2D","f",,Trigger)</f>
        <v>41897</v>
      </c>
      <c r="F27" s="176">
        <f>_xll.qlCalendarAdvance(Calendar,E27,D27,"Following",,Trigger)</f>
        <v>42079</v>
      </c>
      <c r="G27" s="177" t="str">
        <f>_xll.qlMakeDatedOIS(,E27,F27,OvernightIndex,0,,,,EvaluationDate)</f>
        <v>obj_0026f#0000</v>
      </c>
      <c r="H27" s="201" t="b">
        <f>_xll.qlInstrumentSetPricingEngine(G27,OisEngine)</f>
        <v>1</v>
      </c>
      <c r="I27" s="139">
        <f>_xll.qlOvernightIndexedSwapFairRate(G27,_xll.ohTrigger(InterestRatesTrigger))</f>
        <v>2.4680699862013062E-2</v>
      </c>
      <c r="J27" s="217">
        <f>_xll.qlDayCounterYearFraction(DayCounterOIS,E27,F27,,,Trigger)</f>
        <v>0.49863013698630138</v>
      </c>
      <c r="K27" s="217">
        <f>_xll.qlDayCounterYearFraction(DayCounter6M,E27,F27,,,Trigger)</f>
        <v>0.49863013698630138</v>
      </c>
      <c r="L27" s="217">
        <f>_xll.qlDayCounterYearFraction(DayCounterON,E27,F27,,,Trigger)</f>
        <v>0.49863013698630138</v>
      </c>
      <c r="M27" s="167">
        <f t="shared" si="5"/>
        <v>2.6391454958567623E-2</v>
      </c>
      <c r="N27" s="167">
        <f t="shared" si="3"/>
        <v>2.6388223043187681E-2</v>
      </c>
      <c r="O27" s="167" t="e">
        <f t="shared" si="4"/>
        <v>#N/A</v>
      </c>
      <c r="P27" s="146"/>
      <c r="AF27" s="164">
        <f>_xll.qlCalendarAdvance(Calendar,AF26,"1d","mf",,Trigger)</f>
        <v>41928</v>
      </c>
      <c r="AG27" s="175">
        <f>_xll.qlDayCounterYearFraction(DayCounterON,SettlementDate,AF27,,,Trigger)</f>
        <v>9.5890410958904104E-2</v>
      </c>
      <c r="AH27" s="165">
        <f t="shared" si="0"/>
        <v>1.7107550965545595E-3</v>
      </c>
      <c r="AI27" s="165">
        <f t="shared" si="1"/>
        <v>1.3455486586214085E-3</v>
      </c>
      <c r="AJ27" s="135" t="e">
        <f t="shared" si="2"/>
        <v>#N/A</v>
      </c>
    </row>
    <row r="28" spans="4:36" x14ac:dyDescent="0.2">
      <c r="AF28" s="164">
        <f>_xll.qlCalendarAdvance(Calendar,AF27,"1d","mf",,Trigger)</f>
        <v>41929</v>
      </c>
      <c r="AG28" s="175">
        <f>_xll.qlDayCounterYearFraction(DayCounterON,SettlementDate,AF28,,,Trigger)</f>
        <v>9.8630136986301367E-2</v>
      </c>
      <c r="AH28" s="165">
        <f t="shared" si="0"/>
        <v>1.7107550965545595E-3</v>
      </c>
      <c r="AI28" s="165">
        <f t="shared" si="1"/>
        <v>1.3520124893812873E-3</v>
      </c>
      <c r="AJ28" s="135" t="e">
        <f t="shared" si="2"/>
        <v>#N/A</v>
      </c>
    </row>
    <row r="29" spans="4:36" ht="12" thickBot="1" x14ac:dyDescent="0.25">
      <c r="AF29" s="164">
        <f>_xll.qlCalendarAdvance(Calendar,AF28,"1d","mf",,Trigger)</f>
        <v>41932</v>
      </c>
      <c r="AG29" s="175">
        <f>_xll.qlDayCounterYearFraction(DayCounterON,SettlementDate,AF29,,,Trigger)</f>
        <v>0.10684931506849316</v>
      </c>
      <c r="AH29" s="165">
        <f t="shared" si="0"/>
        <v>1.7107550965545595E-3</v>
      </c>
      <c r="AI29" s="165">
        <f t="shared" si="1"/>
        <v>1.3714039816609235E-3</v>
      </c>
      <c r="AJ29" s="135" t="e">
        <f t="shared" si="2"/>
        <v>#N/A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41933</v>
      </c>
      <c r="AG30" s="175">
        <f>_xll.qlDayCounterYearFraction(DayCounterON,SettlementDate,AF30,,,Trigger)</f>
        <v>0.1095890410958904</v>
      </c>
      <c r="AH30" s="165">
        <f t="shared" si="0"/>
        <v>1.7107550965545595E-3</v>
      </c>
      <c r="AI30" s="165">
        <f t="shared" si="1"/>
        <v>1.3778678124208024E-3</v>
      </c>
      <c r="AJ30" s="135" t="e">
        <f t="shared" si="2"/>
        <v>#N/A</v>
      </c>
    </row>
    <row r="31" spans="4:36" x14ac:dyDescent="0.2">
      <c r="D31" s="226" t="s">
        <v>69</v>
      </c>
      <c r="AF31" s="164">
        <f>_xll.qlCalendarAdvance(Calendar,AF30,"1d","mf",,Trigger)</f>
        <v>41934</v>
      </c>
      <c r="AG31" s="175">
        <f>_xll.qlDayCounterYearFraction(DayCounterON,SettlementDate,AF31,,,Trigger)</f>
        <v>0.11232876712328767</v>
      </c>
      <c r="AH31" s="165">
        <f t="shared" si="0"/>
        <v>1.7107550965545595E-3</v>
      </c>
      <c r="AI31" s="165">
        <f t="shared" si="1"/>
        <v>1.3843316431806812E-3</v>
      </c>
      <c r="AJ31" s="135" t="e">
        <f t="shared" si="2"/>
        <v>#N/A</v>
      </c>
    </row>
    <row r="32" spans="4:36" x14ac:dyDescent="0.2">
      <c r="D32" s="165">
        <f t="shared" ref="D32:D41" si="6">IF($D$31="FLAT",M18,IF($D$31="linear",N18,O18))</f>
        <v>2.5775450284917647E-2</v>
      </c>
      <c r="AF32" s="164">
        <f>_xll.qlCalendarAdvance(Calendar,AF31,"1d","mf",,Trigger)</f>
        <v>41935</v>
      </c>
      <c r="AG32" s="175">
        <f>_xll.qlDayCounterYearFraction(DayCounterON,SettlementDate,AF32,,,Trigger)</f>
        <v>0.11506849315068493</v>
      </c>
      <c r="AH32" s="165">
        <f t="shared" si="0"/>
        <v>1.7107550965545595E-3</v>
      </c>
      <c r="AI32" s="165">
        <f t="shared" si="1"/>
        <v>1.39079547394056E-3</v>
      </c>
      <c r="AJ32" s="135" t="e">
        <f t="shared" si="2"/>
        <v>#N/A</v>
      </c>
    </row>
    <row r="33" spans="4:36" x14ac:dyDescent="0.2">
      <c r="D33" s="165">
        <f t="shared" si="6"/>
        <v>2.5795691954976888E-2</v>
      </c>
      <c r="AF33" s="164">
        <f>_xll.qlCalendarAdvance(Calendar,AF32,"1d","mf",,Trigger)</f>
        <v>41936</v>
      </c>
      <c r="AG33" s="175">
        <f>_xll.qlDayCounterYearFraction(DayCounterON,SettlementDate,AF33,,,Trigger)</f>
        <v>0.11780821917808219</v>
      </c>
      <c r="AH33" s="165">
        <f t="shared" si="0"/>
        <v>1.7107550965545595E-3</v>
      </c>
      <c r="AI33" s="165">
        <f t="shared" si="1"/>
        <v>1.3972593047004386E-3</v>
      </c>
      <c r="AJ33" s="135" t="e">
        <f t="shared" si="2"/>
        <v>#N/A</v>
      </c>
    </row>
    <row r="34" spans="4:36" x14ac:dyDescent="0.2">
      <c r="D34" s="165">
        <f t="shared" si="6"/>
        <v>2.5818186921978355E-2</v>
      </c>
      <c r="AF34" s="164">
        <f>_xll.qlCalendarAdvance(Calendar,AF33,"1d","mf",,Trigger)</f>
        <v>41939</v>
      </c>
      <c r="AG34" s="175">
        <f>_xll.qlDayCounterYearFraction(DayCounterON,SettlementDate,AF34,,,Trigger)</f>
        <v>0.12602739726027398</v>
      </c>
      <c r="AH34" s="165">
        <f t="shared" si="0"/>
        <v>1.7107550965545595E-3</v>
      </c>
      <c r="AI34" s="165">
        <f t="shared" si="1"/>
        <v>1.416650796980075E-3</v>
      </c>
      <c r="AJ34" s="135" t="e">
        <f t="shared" si="2"/>
        <v>#N/A</v>
      </c>
    </row>
    <row r="35" spans="4:36" x14ac:dyDescent="0.2">
      <c r="D35" s="165">
        <f t="shared" si="6"/>
        <v>2.5843567234233922E-2</v>
      </c>
      <c r="AF35" s="164">
        <f>_xll.qlCalendarAdvance(Calendar,AF34,"1d","mf",,Trigger)</f>
        <v>41940</v>
      </c>
      <c r="AG35" s="175">
        <f>_xll.qlDayCounterYearFraction(DayCounterON,SettlementDate,AF35,,,Trigger)</f>
        <v>0.12876712328767123</v>
      </c>
      <c r="AH35" s="165">
        <f t="shared" ref="AH35:AH66" si="7">$W$13</f>
        <v>1.7107550965545595E-3</v>
      </c>
      <c r="AI35" s="165">
        <f t="shared" ref="AI35:AI66" si="8">$W$10+$W$9*AG35</f>
        <v>1.4231146277399538E-3</v>
      </c>
      <c r="AJ35" s="135" t="e">
        <f t="shared" ref="AJ35:AJ66" si="9">($W$5+$W$4*AG35+$W$3*AG35^2)</f>
        <v>#N/A</v>
      </c>
    </row>
    <row r="36" spans="4:36" x14ac:dyDescent="0.2">
      <c r="D36" s="165">
        <f t="shared" si="6"/>
        <v>2.5868700306031112E-2</v>
      </c>
      <c r="AF36" s="164">
        <f>_xll.qlCalendarAdvance(Calendar,AF35,"1d","mf",,Trigger)</f>
        <v>41941</v>
      </c>
      <c r="AG36" s="175">
        <f>_xll.qlDayCounterYearFraction(DayCounterON,SettlementDate,AF36,,,Trigger)</f>
        <v>0.13150684931506848</v>
      </c>
      <c r="AH36" s="165">
        <f t="shared" si="7"/>
        <v>1.7107550965545595E-3</v>
      </c>
      <c r="AI36" s="165">
        <f t="shared" si="8"/>
        <v>1.4295784584998326E-3</v>
      </c>
      <c r="AJ36" s="135" t="e">
        <f t="shared" si="9"/>
        <v>#N/A</v>
      </c>
    </row>
    <row r="37" spans="4:36" x14ac:dyDescent="0.2">
      <c r="D37" s="165">
        <f t="shared" si="6"/>
        <v>2.5976394000619536E-2</v>
      </c>
      <c r="AF37" s="164">
        <f>_xll.qlCalendarAdvance(Calendar,AF36,"1d","mf",,Trigger)</f>
        <v>41942</v>
      </c>
      <c r="AG37" s="175">
        <f>_xll.qlDayCounterYearFraction(DayCounterON,SettlementDate,AF37,,,Trigger)</f>
        <v>0.13424657534246576</v>
      </c>
      <c r="AH37" s="165">
        <f t="shared" si="7"/>
        <v>1.7107550965545595E-3</v>
      </c>
      <c r="AI37" s="165">
        <f t="shared" si="8"/>
        <v>1.4360422892597112E-3</v>
      </c>
      <c r="AJ37" s="135" t="e">
        <f t="shared" si="9"/>
        <v>#N/A</v>
      </c>
    </row>
    <row r="38" spans="4:36" x14ac:dyDescent="0.2">
      <c r="D38" s="165">
        <f t="shared" si="6"/>
        <v>2.606456092707642E-2</v>
      </c>
      <c r="AF38" s="164">
        <f>_xll.qlCalendarAdvance(Calendar,AF37,"1d","mf",,Trigger)</f>
        <v>41943</v>
      </c>
      <c r="AG38" s="175">
        <f>_xll.qlDayCounterYearFraction(DayCounterON,SettlementDate,AF38,,,Trigger)</f>
        <v>0.13698630136986301</v>
      </c>
      <c r="AH38" s="165">
        <f t="shared" si="7"/>
        <v>1.7107550965545595E-3</v>
      </c>
      <c r="AI38" s="165">
        <f t="shared" si="8"/>
        <v>1.4425061200195901E-3</v>
      </c>
      <c r="AJ38" s="135" t="e">
        <f t="shared" si="9"/>
        <v>#N/A</v>
      </c>
    </row>
    <row r="39" spans="4:36" x14ac:dyDescent="0.2">
      <c r="D39" s="165">
        <f t="shared" si="6"/>
        <v>2.6157032743317266E-2</v>
      </c>
      <c r="AF39" s="164">
        <f>_xll.qlCalendarAdvance(Calendar,AF38,"1d","mf",,Trigger)</f>
        <v>41946</v>
      </c>
      <c r="AG39" s="175">
        <f>_xll.qlDayCounterYearFraction(DayCounterON,SettlementDate,AF39,,,Trigger)</f>
        <v>0.14520547945205478</v>
      </c>
      <c r="AH39" s="165">
        <f t="shared" si="7"/>
        <v>1.7107550965545595E-3</v>
      </c>
      <c r="AI39" s="165">
        <f t="shared" si="8"/>
        <v>1.4618976122992263E-3</v>
      </c>
      <c r="AJ39" s="135" t="e">
        <f t="shared" si="9"/>
        <v>#N/A</v>
      </c>
    </row>
    <row r="40" spans="4:36" x14ac:dyDescent="0.2">
      <c r="D40" s="165">
        <f t="shared" si="6"/>
        <v>2.6281802434552966E-2</v>
      </c>
      <c r="AF40" s="164">
        <f>_xll.qlCalendarAdvance(Calendar,AF39,"1d","mf",,Trigger)</f>
        <v>41947</v>
      </c>
      <c r="AG40" s="175">
        <f>_xll.qlDayCounterYearFraction(DayCounterON,SettlementDate,AF40,,,Trigger)</f>
        <v>0.14794520547945206</v>
      </c>
      <c r="AH40" s="165">
        <f t="shared" si="7"/>
        <v>1.7107550965545595E-3</v>
      </c>
      <c r="AI40" s="165">
        <f t="shared" si="8"/>
        <v>1.4683614430591051E-3</v>
      </c>
      <c r="AJ40" s="135" t="e">
        <f t="shared" si="9"/>
        <v>#N/A</v>
      </c>
    </row>
    <row r="41" spans="4:36" ht="12" thickBot="1" x14ac:dyDescent="0.25">
      <c r="D41" s="167">
        <f t="shared" si="6"/>
        <v>2.6388223043187681E-2</v>
      </c>
      <c r="AF41" s="164">
        <f>_xll.qlCalendarAdvance(Calendar,AF40,"1d","mf",,Trigger)</f>
        <v>41948</v>
      </c>
      <c r="AG41" s="175">
        <f>_xll.qlDayCounterYearFraction(DayCounterON,SettlementDate,AF41,,,Trigger)</f>
        <v>0.15068493150684931</v>
      </c>
      <c r="AH41" s="165">
        <f t="shared" si="7"/>
        <v>1.7107550965545595E-3</v>
      </c>
      <c r="AI41" s="165">
        <f t="shared" si="8"/>
        <v>1.4748252738189839E-3</v>
      </c>
      <c r="AJ41" s="135" t="e">
        <f t="shared" si="9"/>
        <v>#N/A</v>
      </c>
    </row>
    <row r="42" spans="4:36" x14ac:dyDescent="0.2">
      <c r="AF42" s="164">
        <f>_xll.qlCalendarAdvance(Calendar,AF41,"1d","mf",,Trigger)</f>
        <v>41949</v>
      </c>
      <c r="AG42" s="175">
        <f>_xll.qlDayCounterYearFraction(DayCounterON,SettlementDate,AF42,,,Trigger)</f>
        <v>0.15342465753424658</v>
      </c>
      <c r="AH42" s="165">
        <f t="shared" si="7"/>
        <v>1.7107550965545595E-3</v>
      </c>
      <c r="AI42" s="165">
        <f t="shared" si="8"/>
        <v>1.4812891045788627E-3</v>
      </c>
      <c r="AJ42" s="135" t="e">
        <f t="shared" si="9"/>
        <v>#N/A</v>
      </c>
    </row>
    <row r="43" spans="4:36" ht="11.25" customHeight="1" x14ac:dyDescent="0.2">
      <c r="N43" s="224"/>
      <c r="AF43" s="164">
        <f>_xll.qlCalendarAdvance(Calendar,AF42,"1d","mf",,Trigger)</f>
        <v>41950</v>
      </c>
      <c r="AG43" s="175">
        <f>_xll.qlDayCounterYearFraction(DayCounterON,SettlementDate,AF43,,,Trigger)</f>
        <v>0.15616438356164383</v>
      </c>
      <c r="AH43" s="165">
        <f t="shared" si="7"/>
        <v>1.7107550965545595E-3</v>
      </c>
      <c r="AI43" s="165">
        <f t="shared" si="8"/>
        <v>1.4877529353387415E-3</v>
      </c>
      <c r="AJ43" s="135" t="e">
        <f t="shared" si="9"/>
        <v>#N/A</v>
      </c>
    </row>
    <row r="44" spans="4:36" x14ac:dyDescent="0.2">
      <c r="J44" s="146"/>
      <c r="K44" s="146"/>
      <c r="N44" s="224"/>
      <c r="AF44" s="164">
        <f>_xll.qlCalendarAdvance(Calendar,AF43,"1d","mf",,Trigger)</f>
        <v>41953</v>
      </c>
      <c r="AG44" s="175">
        <f>_xll.qlDayCounterYearFraction(DayCounterON,SettlementDate,AF44,,,Trigger)</f>
        <v>0.16438356164383561</v>
      </c>
      <c r="AH44" s="165">
        <f t="shared" si="7"/>
        <v>1.7107550965545595E-3</v>
      </c>
      <c r="AI44" s="165">
        <f t="shared" si="8"/>
        <v>1.5071444276183777E-3</v>
      </c>
      <c r="AJ44" s="135" t="e">
        <f t="shared" si="9"/>
        <v>#N/A</v>
      </c>
    </row>
    <row r="45" spans="4:36" x14ac:dyDescent="0.2">
      <c r="N45" s="224"/>
      <c r="AF45" s="164">
        <f>_xll.qlCalendarAdvance(Calendar,AF44,"1d","mf",,Trigger)</f>
        <v>41954</v>
      </c>
      <c r="AG45" s="175">
        <f>_xll.qlDayCounterYearFraction(DayCounterON,SettlementDate,AF45,,,Trigger)</f>
        <v>0.16712328767123288</v>
      </c>
      <c r="AH45" s="165">
        <f t="shared" si="7"/>
        <v>1.7107550965545595E-3</v>
      </c>
      <c r="AI45" s="165">
        <f t="shared" si="8"/>
        <v>1.5136082583782566E-3</v>
      </c>
      <c r="AJ45" s="135" t="e">
        <f t="shared" si="9"/>
        <v>#N/A</v>
      </c>
    </row>
    <row r="46" spans="4:36" x14ac:dyDescent="0.2">
      <c r="N46" s="224"/>
      <c r="AF46" s="164">
        <f>_xll.qlCalendarAdvance(Calendar,AF45,"1d","mf",,Trigger)</f>
        <v>41955</v>
      </c>
      <c r="AG46" s="175">
        <f>_xll.qlDayCounterYearFraction(DayCounterON,SettlementDate,AF46,,,Trigger)</f>
        <v>0.16986301369863013</v>
      </c>
      <c r="AH46" s="165">
        <f t="shared" si="7"/>
        <v>1.7107550965545595E-3</v>
      </c>
      <c r="AI46" s="165">
        <f t="shared" si="8"/>
        <v>1.5200720891381354E-3</v>
      </c>
      <c r="AJ46" s="135" t="e">
        <f t="shared" si="9"/>
        <v>#N/A</v>
      </c>
    </row>
    <row r="47" spans="4:36" x14ac:dyDescent="0.2">
      <c r="N47" s="224"/>
      <c r="AF47" s="164">
        <f>_xll.qlCalendarAdvance(Calendar,AF46,"1d","mf",,Trigger)</f>
        <v>41956</v>
      </c>
      <c r="AG47" s="175">
        <f>_xll.qlDayCounterYearFraction(DayCounterON,SettlementDate,AF47,,,Trigger)</f>
        <v>0.17260273972602741</v>
      </c>
      <c r="AH47" s="165">
        <f t="shared" si="7"/>
        <v>1.7107550965545595E-3</v>
      </c>
      <c r="AI47" s="165">
        <f t="shared" si="8"/>
        <v>1.5265359198980142E-3</v>
      </c>
      <c r="AJ47" s="135" t="e">
        <f t="shared" si="9"/>
        <v>#N/A</v>
      </c>
    </row>
    <row r="48" spans="4:36" x14ac:dyDescent="0.2">
      <c r="AF48" s="164">
        <f>_xll.qlCalendarAdvance(Calendar,AF47,"1d","mf",,Trigger)</f>
        <v>41957</v>
      </c>
      <c r="AG48" s="175">
        <f>_xll.qlDayCounterYearFraction(DayCounterON,SettlementDate,AF48,,,Trigger)</f>
        <v>0.17534246575342466</v>
      </c>
      <c r="AH48" s="165">
        <f t="shared" si="7"/>
        <v>1.7107550965545595E-3</v>
      </c>
      <c r="AI48" s="165">
        <f t="shared" si="8"/>
        <v>1.5329997506578928E-3</v>
      </c>
      <c r="AJ48" s="135" t="e">
        <f t="shared" si="9"/>
        <v>#N/A</v>
      </c>
    </row>
    <row r="49" spans="4:36" x14ac:dyDescent="0.2">
      <c r="AF49" s="164">
        <f>_xll.qlCalendarAdvance(Calendar,AF48,"1d","mf",,Trigger)</f>
        <v>41960</v>
      </c>
      <c r="AG49" s="175">
        <f>_xll.qlDayCounterYearFraction(DayCounterON,SettlementDate,AF49,,,Trigger)</f>
        <v>0.18356164383561643</v>
      </c>
      <c r="AH49" s="165">
        <f t="shared" si="7"/>
        <v>1.7107550965545595E-3</v>
      </c>
      <c r="AI49" s="165">
        <f t="shared" si="8"/>
        <v>1.5523912429375292E-3</v>
      </c>
      <c r="AJ49" s="135" t="e">
        <f t="shared" si="9"/>
        <v>#N/A</v>
      </c>
    </row>
    <row r="50" spans="4:36" x14ac:dyDescent="0.2">
      <c r="AF50" s="164">
        <f>_xll.qlCalendarAdvance(Calendar,AF49,"1d","mf",,Trigger)</f>
        <v>41961</v>
      </c>
      <c r="AG50" s="175">
        <f>_xll.qlDayCounterYearFraction(DayCounterON,SettlementDate,AF50,,,Trigger)</f>
        <v>0.18630136986301371</v>
      </c>
      <c r="AH50" s="165">
        <f t="shared" si="7"/>
        <v>1.7107550965545595E-3</v>
      </c>
      <c r="AI50" s="165">
        <f t="shared" si="8"/>
        <v>1.558855073697408E-3</v>
      </c>
      <c r="AJ50" s="135" t="e">
        <f t="shared" si="9"/>
        <v>#N/A</v>
      </c>
    </row>
    <row r="51" spans="4:36" x14ac:dyDescent="0.2">
      <c r="AF51" s="164">
        <f>_xll.qlCalendarAdvance(Calendar,AF50,"1d","mf",,Trigger)</f>
        <v>41962</v>
      </c>
      <c r="AG51" s="175">
        <f>_xll.qlDayCounterYearFraction(DayCounterON,SettlementDate,AF51,,,Trigger)</f>
        <v>0.18904109589041096</v>
      </c>
      <c r="AH51" s="165">
        <f t="shared" si="7"/>
        <v>1.7107550965545595E-3</v>
      </c>
      <c r="AI51" s="165">
        <f t="shared" si="8"/>
        <v>1.5653189044572868E-3</v>
      </c>
      <c r="AJ51" s="135" t="e">
        <f t="shared" si="9"/>
        <v>#N/A</v>
      </c>
    </row>
    <row r="52" spans="4:36" x14ac:dyDescent="0.2">
      <c r="AF52" s="164">
        <f>_xll.qlCalendarAdvance(Calendar,AF51,"1d","mf",,Trigger)</f>
        <v>41963</v>
      </c>
      <c r="AG52" s="175">
        <f>_xll.qlDayCounterYearFraction(DayCounterON,SettlementDate,AF52,,,Trigger)</f>
        <v>0.19178082191780821</v>
      </c>
      <c r="AH52" s="165">
        <f t="shared" si="7"/>
        <v>1.7107550965545595E-3</v>
      </c>
      <c r="AI52" s="165">
        <f t="shared" si="8"/>
        <v>1.5717827352171654E-3</v>
      </c>
      <c r="AJ52" s="135" t="e">
        <f t="shared" si="9"/>
        <v>#N/A</v>
      </c>
    </row>
    <row r="53" spans="4:36" x14ac:dyDescent="0.2">
      <c r="AF53" s="164">
        <f>_xll.qlCalendarAdvance(Calendar,AF52,"1d","mf",,Trigger)</f>
        <v>41964</v>
      </c>
      <c r="AG53" s="175">
        <f>_xll.qlDayCounterYearFraction(DayCounterON,SettlementDate,AF53,,,Trigger)</f>
        <v>0.19452054794520549</v>
      </c>
      <c r="AH53" s="165">
        <f t="shared" si="7"/>
        <v>1.7107550965545595E-3</v>
      </c>
      <c r="AI53" s="165">
        <f t="shared" si="8"/>
        <v>1.5782465659770443E-3</v>
      </c>
      <c r="AJ53" s="135" t="e">
        <f t="shared" si="9"/>
        <v>#N/A</v>
      </c>
    </row>
    <row r="54" spans="4:36" x14ac:dyDescent="0.2">
      <c r="AF54" s="164">
        <f>_xll.qlCalendarAdvance(Calendar,AF53,"1d","mf",,Trigger)</f>
        <v>41967</v>
      </c>
      <c r="AG54" s="175">
        <f>_xll.qlDayCounterYearFraction(DayCounterON,SettlementDate,AF54,,,Trigger)</f>
        <v>0.20273972602739726</v>
      </c>
      <c r="AH54" s="165">
        <f t="shared" si="7"/>
        <v>1.7107550965545595E-3</v>
      </c>
      <c r="AI54" s="165">
        <f t="shared" si="8"/>
        <v>1.5976380582566805E-3</v>
      </c>
      <c r="AJ54" s="135" t="e">
        <f t="shared" si="9"/>
        <v>#N/A</v>
      </c>
    </row>
    <row r="55" spans="4:36" x14ac:dyDescent="0.2">
      <c r="D55" s="130"/>
      <c r="AF55" s="164">
        <f>_xll.qlCalendarAdvance(Calendar,AF54,"1d","mf",,Trigger)</f>
        <v>41968</v>
      </c>
      <c r="AG55" s="175">
        <f>_xll.qlDayCounterYearFraction(DayCounterON,SettlementDate,AF55,,,Trigger)</f>
        <v>0.20547945205479451</v>
      </c>
      <c r="AH55" s="165">
        <f t="shared" si="7"/>
        <v>1.7107550965545595E-3</v>
      </c>
      <c r="AI55" s="165">
        <f t="shared" si="8"/>
        <v>1.6041018890165593E-3</v>
      </c>
      <c r="AJ55" s="135" t="e">
        <f t="shared" si="9"/>
        <v>#N/A</v>
      </c>
    </row>
    <row r="56" spans="4:36" x14ac:dyDescent="0.2">
      <c r="D56" s="130"/>
      <c r="AF56" s="164">
        <f>_xll.qlCalendarAdvance(Calendar,AF55,"1d","mf",,Trigger)</f>
        <v>41969</v>
      </c>
      <c r="AG56" s="175">
        <f>_xll.qlDayCounterYearFraction(DayCounterON,SettlementDate,AF56,,,Trigger)</f>
        <v>0.20821917808219179</v>
      </c>
      <c r="AH56" s="165">
        <f t="shared" si="7"/>
        <v>1.7107550965545595E-3</v>
      </c>
      <c r="AI56" s="165">
        <f t="shared" si="8"/>
        <v>1.6105657197764381E-3</v>
      </c>
      <c r="AJ56" s="135" t="e">
        <f t="shared" si="9"/>
        <v>#N/A</v>
      </c>
    </row>
    <row r="57" spans="4:36" x14ac:dyDescent="0.2">
      <c r="D57" s="130"/>
      <c r="AF57" s="164">
        <f>_xll.qlCalendarAdvance(Calendar,AF56,"1d","mf",,Trigger)</f>
        <v>41970</v>
      </c>
      <c r="AG57" s="175">
        <f>_xll.qlDayCounterYearFraction(DayCounterON,SettlementDate,AF57,,,Trigger)</f>
        <v>0.21095890410958903</v>
      </c>
      <c r="AH57" s="165">
        <f t="shared" si="7"/>
        <v>1.7107550965545595E-3</v>
      </c>
      <c r="AI57" s="165">
        <f t="shared" si="8"/>
        <v>1.6170295505363169E-3</v>
      </c>
      <c r="AJ57" s="135" t="e">
        <f t="shared" si="9"/>
        <v>#N/A</v>
      </c>
    </row>
    <row r="58" spans="4:36" x14ac:dyDescent="0.2">
      <c r="D58" s="130"/>
      <c r="AF58" s="164">
        <f>_xll.qlCalendarAdvance(Calendar,AF57,"1d","mf",,Trigger)</f>
        <v>41971</v>
      </c>
      <c r="AG58" s="175">
        <f>_xll.qlDayCounterYearFraction(DayCounterON,SettlementDate,AF58,,,Trigger)</f>
        <v>0.21369863013698631</v>
      </c>
      <c r="AH58" s="165">
        <f t="shared" si="7"/>
        <v>1.7107550965545595E-3</v>
      </c>
      <c r="AI58" s="165">
        <f t="shared" si="8"/>
        <v>1.6234933812961957E-3</v>
      </c>
      <c r="AJ58" s="135" t="e">
        <f t="shared" si="9"/>
        <v>#N/A</v>
      </c>
    </row>
    <row r="59" spans="4:36" x14ac:dyDescent="0.2">
      <c r="D59" s="130"/>
      <c r="AF59" s="164">
        <f>_xll.qlCalendarAdvance(Calendar,AF58,"1d","mf",,Trigger)</f>
        <v>41974</v>
      </c>
      <c r="AG59" s="175">
        <f>_xll.qlDayCounterYearFraction(DayCounterON,SettlementDate,AF59,,,Trigger)</f>
        <v>0.22191780821917809</v>
      </c>
      <c r="AH59" s="165">
        <f t="shared" si="7"/>
        <v>1.7107550965545595E-3</v>
      </c>
      <c r="AI59" s="165">
        <f t="shared" si="8"/>
        <v>1.642884873575832E-3</v>
      </c>
      <c r="AJ59" s="135" t="e">
        <f t="shared" si="9"/>
        <v>#N/A</v>
      </c>
    </row>
    <row r="60" spans="4:36" x14ac:dyDescent="0.2">
      <c r="D60" s="130"/>
      <c r="AF60" s="164">
        <f>_xll.qlCalendarAdvance(Calendar,AF59,"1d","mf",,Trigger)</f>
        <v>41975</v>
      </c>
      <c r="AG60" s="175">
        <f>_xll.qlDayCounterYearFraction(DayCounterON,SettlementDate,AF60,,,Trigger)</f>
        <v>0.22465753424657534</v>
      </c>
      <c r="AH60" s="165">
        <f t="shared" si="7"/>
        <v>1.7107550965545595E-3</v>
      </c>
      <c r="AI60" s="165">
        <f t="shared" si="8"/>
        <v>1.6493487043357105E-3</v>
      </c>
      <c r="AJ60" s="135" t="e">
        <f t="shared" si="9"/>
        <v>#N/A</v>
      </c>
    </row>
    <row r="61" spans="4:36" x14ac:dyDescent="0.2">
      <c r="D61" s="130"/>
      <c r="AF61" s="164">
        <f>_xll.qlCalendarAdvance(Calendar,AF60,"1d","mf",,Trigger)</f>
        <v>41976</v>
      </c>
      <c r="AG61" s="175">
        <f>_xll.qlDayCounterYearFraction(DayCounterON,SettlementDate,AF61,,,Trigger)</f>
        <v>0.22739726027397261</v>
      </c>
      <c r="AH61" s="165">
        <f t="shared" si="7"/>
        <v>1.7107550965545595E-3</v>
      </c>
      <c r="AI61" s="165">
        <f t="shared" si="8"/>
        <v>1.6558125350955894E-3</v>
      </c>
      <c r="AJ61" s="135" t="e">
        <f t="shared" si="9"/>
        <v>#N/A</v>
      </c>
    </row>
    <row r="62" spans="4:36" x14ac:dyDescent="0.2">
      <c r="D62" s="130"/>
      <c r="AF62" s="164">
        <f>_xll.qlCalendarAdvance(Calendar,AF61,"1d","mf",,Trigger)</f>
        <v>41977</v>
      </c>
      <c r="AG62" s="175">
        <f>_xll.qlDayCounterYearFraction(DayCounterON,SettlementDate,AF62,,,Trigger)</f>
        <v>0.23013698630136986</v>
      </c>
      <c r="AH62" s="165">
        <f t="shared" si="7"/>
        <v>1.7107550965545595E-3</v>
      </c>
      <c r="AI62" s="165">
        <f t="shared" si="8"/>
        <v>1.6622763658554682E-3</v>
      </c>
      <c r="AJ62" s="135" t="e">
        <f t="shared" si="9"/>
        <v>#N/A</v>
      </c>
    </row>
    <row r="63" spans="4:36" x14ac:dyDescent="0.2">
      <c r="D63" s="130"/>
      <c r="J63" s="146"/>
      <c r="AF63" s="164">
        <f>_xll.qlCalendarAdvance(Calendar,AF62,"1d","mf",,Trigger)</f>
        <v>41978</v>
      </c>
      <c r="AG63" s="175">
        <f>_xll.qlDayCounterYearFraction(DayCounterON,SettlementDate,AF63,,,Trigger)</f>
        <v>0.23287671232876711</v>
      </c>
      <c r="AH63" s="165">
        <f t="shared" si="7"/>
        <v>1.7107550965545595E-3</v>
      </c>
      <c r="AI63" s="165">
        <f t="shared" si="8"/>
        <v>1.668740196615347E-3</v>
      </c>
      <c r="AJ63" s="135" t="e">
        <f t="shared" si="9"/>
        <v>#N/A</v>
      </c>
    </row>
    <row r="64" spans="4:36" x14ac:dyDescent="0.2">
      <c r="D64" s="130"/>
      <c r="J64" s="146"/>
      <c r="AF64" s="164">
        <f>_xll.qlCalendarAdvance(Calendar,AF63,"1d","mf",,Trigger)</f>
        <v>41981</v>
      </c>
      <c r="AG64" s="175">
        <f>_xll.qlDayCounterYearFraction(DayCounterON,SettlementDate,AF64,,,Trigger)</f>
        <v>0.24109589041095891</v>
      </c>
      <c r="AH64" s="165">
        <f t="shared" si="7"/>
        <v>1.7107550965545595E-3</v>
      </c>
      <c r="AI64" s="165">
        <f t="shared" si="8"/>
        <v>1.6881316888949834E-3</v>
      </c>
      <c r="AJ64" s="135" t="e">
        <f t="shared" si="9"/>
        <v>#N/A</v>
      </c>
    </row>
    <row r="65" spans="4:36" x14ac:dyDescent="0.2">
      <c r="D65" s="130"/>
      <c r="J65" s="146"/>
      <c r="AF65" s="164">
        <f>_xll.qlCalendarAdvance(Calendar,AF64,"1d","mf",,Trigger)</f>
        <v>41982</v>
      </c>
      <c r="AG65" s="175">
        <f>_xll.qlDayCounterYearFraction(DayCounterON,SettlementDate,AF65,,,Trigger)</f>
        <v>0.24383561643835616</v>
      </c>
      <c r="AH65" s="165">
        <f t="shared" si="7"/>
        <v>1.7107550965545595E-3</v>
      </c>
      <c r="AI65" s="165">
        <f t="shared" si="8"/>
        <v>1.6945955196548622E-3</v>
      </c>
      <c r="AJ65" s="135" t="e">
        <f t="shared" si="9"/>
        <v>#N/A</v>
      </c>
    </row>
    <row r="66" spans="4:36" x14ac:dyDescent="0.2">
      <c r="D66" s="130"/>
      <c r="J66" s="146"/>
      <c r="AF66" s="164">
        <f>_xll.qlCalendarAdvance(Calendar,AF65,"1d","mf",,Trigger)</f>
        <v>41983</v>
      </c>
      <c r="AG66" s="175">
        <f>_xll.qlDayCounterYearFraction(DayCounterON,SettlementDate,AF66,,,Trigger)</f>
        <v>0.24657534246575341</v>
      </c>
      <c r="AH66" s="165">
        <f t="shared" si="7"/>
        <v>1.7107550965545595E-3</v>
      </c>
      <c r="AI66" s="165">
        <f t="shared" si="8"/>
        <v>1.7010593504147408E-3</v>
      </c>
      <c r="AJ66" s="135" t="e">
        <f t="shared" si="9"/>
        <v>#N/A</v>
      </c>
    </row>
    <row r="67" spans="4:36" x14ac:dyDescent="0.2">
      <c r="D67" s="130"/>
      <c r="J67" s="146"/>
      <c r="AF67" s="164">
        <f>_xll.qlCalendarAdvance(Calendar,AF66,"1d","mf",,Trigger)</f>
        <v>41984</v>
      </c>
      <c r="AG67" s="175">
        <f>_xll.qlDayCounterYearFraction(DayCounterON,SettlementDate,AF67,,,Trigger)</f>
        <v>0.24931506849315069</v>
      </c>
      <c r="AH67" s="165">
        <f t="shared" ref="AH67:AH98" si="10">$W$13</f>
        <v>1.7107550965545595E-3</v>
      </c>
      <c r="AI67" s="165">
        <f t="shared" ref="AI67:AI98" si="11">$W$10+$W$9*AG67</f>
        <v>1.7075231811746196E-3</v>
      </c>
      <c r="AJ67" s="135" t="e">
        <f t="shared" ref="AJ67:AJ98" si="12">($W$5+$W$4*AG67+$W$3*AG67^2)</f>
        <v>#N/A</v>
      </c>
    </row>
    <row r="68" spans="4:36" x14ac:dyDescent="0.2">
      <c r="D68" s="130"/>
      <c r="J68" s="146"/>
      <c r="AF68" s="164">
        <f>_xll.qlCalendarAdvance(Calendar,AF67,"1d","mf",,Trigger)</f>
        <v>41985</v>
      </c>
      <c r="AG68" s="175">
        <f>_xll.qlDayCounterYearFraction(DayCounterON,SettlementDate,AF68,,,Trigger)</f>
        <v>0.25205479452054796</v>
      </c>
      <c r="AH68" s="165">
        <f t="shared" si="10"/>
        <v>1.7107550965545595E-3</v>
      </c>
      <c r="AI68" s="165">
        <f t="shared" si="11"/>
        <v>1.7139870119344985E-3</v>
      </c>
      <c r="AJ68" s="135" t="e">
        <f t="shared" si="12"/>
        <v>#N/A</v>
      </c>
    </row>
    <row r="69" spans="4:36" x14ac:dyDescent="0.2">
      <c r="D69" s="130"/>
      <c r="J69" s="146"/>
      <c r="K69" s="146"/>
      <c r="AF69" s="164">
        <f>_xll.qlCalendarAdvance(Calendar,AF68,"1d","mf",,Trigger)</f>
        <v>41988</v>
      </c>
      <c r="AG69" s="175">
        <f>_xll.qlDayCounterYearFraction(DayCounterON,SettlementDate,AF69,,,Trigger)</f>
        <v>0.26027397260273971</v>
      </c>
      <c r="AH69" s="165">
        <f t="shared" si="10"/>
        <v>1.7107550965545595E-3</v>
      </c>
      <c r="AI69" s="165">
        <f t="shared" si="11"/>
        <v>1.7333785042141347E-3</v>
      </c>
      <c r="AJ69" s="135" t="e">
        <f t="shared" si="12"/>
        <v>#N/A</v>
      </c>
    </row>
    <row r="70" spans="4:36" x14ac:dyDescent="0.2">
      <c r="J70" s="146"/>
      <c r="K70" s="146"/>
      <c r="AF70" s="164">
        <f>_xll.qlCalendarAdvance(Calendar,AF69,"1d","mf",,Trigger)</f>
        <v>41989</v>
      </c>
      <c r="AG70" s="175">
        <f>_xll.qlDayCounterYearFraction(DayCounterON,SettlementDate,AF70,,,Trigger)</f>
        <v>0.26301369863013696</v>
      </c>
      <c r="AH70" s="165">
        <f t="shared" si="10"/>
        <v>1.7107550965545595E-3</v>
      </c>
      <c r="AI70" s="165">
        <f t="shared" si="11"/>
        <v>1.7398423349740135E-3</v>
      </c>
      <c r="AJ70" s="135" t="e">
        <f t="shared" si="12"/>
        <v>#N/A</v>
      </c>
    </row>
    <row r="71" spans="4:36" x14ac:dyDescent="0.2">
      <c r="J71" s="146"/>
      <c r="K71" s="146"/>
      <c r="AF71" s="164">
        <f>_xll.qlCalendarAdvance(Calendar,AF70,"1d","mf",,Trigger)</f>
        <v>41990</v>
      </c>
      <c r="AG71" s="175">
        <f>_xll.qlDayCounterYearFraction(DayCounterON,SettlementDate,AF71,,,Trigger)</f>
        <v>0.26575342465753427</v>
      </c>
      <c r="AH71" s="165">
        <f t="shared" si="10"/>
        <v>1.7107550965545595E-3</v>
      </c>
      <c r="AI71" s="165">
        <f t="shared" si="11"/>
        <v>1.7463061657338923E-3</v>
      </c>
      <c r="AJ71" s="135" t="e">
        <f t="shared" si="12"/>
        <v>#N/A</v>
      </c>
    </row>
    <row r="72" spans="4:36" x14ac:dyDescent="0.2">
      <c r="J72" s="146"/>
      <c r="K72" s="146"/>
      <c r="AF72" s="164">
        <f>_xll.qlCalendarAdvance(Calendar,AF71,"1d","mf",,Trigger)</f>
        <v>41991</v>
      </c>
      <c r="AG72" s="175">
        <f>_xll.qlDayCounterYearFraction(DayCounterON,SettlementDate,AF72,,,Trigger)</f>
        <v>0.26849315068493151</v>
      </c>
      <c r="AH72" s="165">
        <f t="shared" si="10"/>
        <v>1.7107550965545595E-3</v>
      </c>
      <c r="AI72" s="165">
        <f t="shared" si="11"/>
        <v>1.7527699964937711E-3</v>
      </c>
      <c r="AJ72" s="135" t="e">
        <f t="shared" si="12"/>
        <v>#N/A</v>
      </c>
    </row>
    <row r="73" spans="4:36" x14ac:dyDescent="0.2">
      <c r="J73" s="146"/>
      <c r="K73" s="146"/>
      <c r="AF73" s="164">
        <f>_xll.qlCalendarAdvance(Calendar,AF72,"1d","mf",,Trigger)</f>
        <v>41992</v>
      </c>
      <c r="AG73" s="175">
        <f>_xll.qlDayCounterYearFraction(DayCounterON,SettlementDate,AF73,,,Trigger)</f>
        <v>0.27123287671232876</v>
      </c>
      <c r="AH73" s="165">
        <f t="shared" si="10"/>
        <v>1.7107550965545595E-3</v>
      </c>
      <c r="AI73" s="165">
        <f t="shared" si="11"/>
        <v>1.7592338272536499E-3</v>
      </c>
      <c r="AJ73" s="135" t="e">
        <f t="shared" si="12"/>
        <v>#N/A</v>
      </c>
    </row>
    <row r="74" spans="4:36" x14ac:dyDescent="0.2">
      <c r="J74" s="146"/>
      <c r="K74" s="146"/>
      <c r="AF74" s="164">
        <f>_xll.qlCalendarAdvance(Calendar,AF73,"1d","mf",,Trigger)</f>
        <v>41995</v>
      </c>
      <c r="AG74" s="175">
        <f>_xll.qlDayCounterYearFraction(DayCounterON,SettlementDate,AF74,,,Trigger)</f>
        <v>0.27945205479452057</v>
      </c>
      <c r="AH74" s="165">
        <f t="shared" si="10"/>
        <v>1.7107550965545595E-3</v>
      </c>
      <c r="AI74" s="165">
        <f t="shared" si="11"/>
        <v>1.7786253195332862E-3</v>
      </c>
      <c r="AJ74" s="135" t="e">
        <f t="shared" si="12"/>
        <v>#N/A</v>
      </c>
    </row>
    <row r="75" spans="4:36" x14ac:dyDescent="0.2">
      <c r="J75" s="146"/>
      <c r="K75" s="146"/>
      <c r="AF75" s="164">
        <f>_xll.qlCalendarAdvance(Calendar,AF74,"1d","mf",,Trigger)</f>
        <v>41996</v>
      </c>
      <c r="AG75" s="175">
        <f>_xll.qlDayCounterYearFraction(DayCounterON,SettlementDate,AF75,,,Trigger)</f>
        <v>0.28219178082191781</v>
      </c>
      <c r="AH75" s="165">
        <f t="shared" si="10"/>
        <v>1.7107550965545595E-3</v>
      </c>
      <c r="AI75" s="165">
        <f t="shared" si="11"/>
        <v>1.785089150293165E-3</v>
      </c>
      <c r="AJ75" s="135" t="e">
        <f t="shared" si="12"/>
        <v>#N/A</v>
      </c>
    </row>
    <row r="76" spans="4:36" x14ac:dyDescent="0.2">
      <c r="J76" s="146"/>
      <c r="K76" s="146"/>
      <c r="AF76" s="164">
        <f>_xll.qlCalendarAdvance(Calendar,AF75,"1d","mf",,Trigger)</f>
        <v>41997</v>
      </c>
      <c r="AG76" s="175">
        <f>_xll.qlDayCounterYearFraction(DayCounterON,SettlementDate,AF76,,,Trigger)</f>
        <v>0.28493150684931506</v>
      </c>
      <c r="AH76" s="165">
        <f t="shared" si="10"/>
        <v>1.7107550965545595E-3</v>
      </c>
      <c r="AI76" s="165">
        <f t="shared" si="11"/>
        <v>1.7915529810530436E-3</v>
      </c>
      <c r="AJ76" s="135" t="e">
        <f t="shared" si="12"/>
        <v>#N/A</v>
      </c>
    </row>
    <row r="77" spans="4:36" x14ac:dyDescent="0.2">
      <c r="J77" s="146"/>
      <c r="K77" s="146"/>
      <c r="AF77" s="164">
        <f>_xll.qlCalendarAdvance(Calendar,AF76,"1d","mf",,Trigger)</f>
        <v>42002</v>
      </c>
      <c r="AG77" s="175">
        <f>_xll.qlDayCounterYearFraction(DayCounterON,SettlementDate,AF77,,,Trigger)</f>
        <v>0.29863013698630136</v>
      </c>
      <c r="AH77" s="165">
        <f t="shared" si="10"/>
        <v>1.7107550965545595E-3</v>
      </c>
      <c r="AI77" s="165">
        <f t="shared" si="11"/>
        <v>1.8238721348524376E-3</v>
      </c>
      <c r="AJ77" s="135" t="e">
        <f t="shared" si="12"/>
        <v>#N/A</v>
      </c>
    </row>
    <row r="78" spans="4:36" x14ac:dyDescent="0.2">
      <c r="J78" s="146"/>
      <c r="K78" s="146"/>
      <c r="AF78" s="164">
        <f>_xll.qlCalendarAdvance(Calendar,AF77,"1d","mf",,Trigger)</f>
        <v>42003</v>
      </c>
      <c r="AG78" s="175">
        <f>_xll.qlDayCounterYearFraction(DayCounterON,SettlementDate,AF78,,,Trigger)</f>
        <v>0.30136986301369861</v>
      </c>
      <c r="AH78" s="165">
        <f t="shared" si="10"/>
        <v>1.7107550965545595E-3</v>
      </c>
      <c r="AI78" s="165">
        <f t="shared" si="11"/>
        <v>1.8303359656123162E-3</v>
      </c>
      <c r="AJ78" s="135" t="e">
        <f t="shared" si="12"/>
        <v>#N/A</v>
      </c>
    </row>
    <row r="79" spans="4:36" x14ac:dyDescent="0.2">
      <c r="J79" s="146"/>
      <c r="K79" s="146"/>
      <c r="AF79" s="164">
        <f>_xll.qlCalendarAdvance(Calendar,AF78,"1d","mf",,Trigger)</f>
        <v>42004</v>
      </c>
      <c r="AG79" s="175">
        <f>_xll.qlDayCounterYearFraction(DayCounterON,SettlementDate,AF79,,,Trigger)</f>
        <v>0.30410958904109592</v>
      </c>
      <c r="AH79" s="165">
        <f t="shared" si="10"/>
        <v>1.7107550965545595E-3</v>
      </c>
      <c r="AI79" s="165">
        <f t="shared" si="11"/>
        <v>1.8367997963721953E-3</v>
      </c>
      <c r="AJ79" s="135" t="e">
        <f t="shared" si="12"/>
        <v>#N/A</v>
      </c>
    </row>
    <row r="80" spans="4:36" x14ac:dyDescent="0.2">
      <c r="J80" s="146"/>
      <c r="K80" s="146"/>
      <c r="AF80" s="164">
        <f>_xll.qlCalendarAdvance(Calendar,AF79,"1d","mf",,Trigger)</f>
        <v>42006</v>
      </c>
      <c r="AG80" s="175">
        <f>_xll.qlDayCounterYearFraction(DayCounterON,SettlementDate,AF80,,,Trigger)</f>
        <v>0.30958904109589042</v>
      </c>
      <c r="AH80" s="165">
        <f t="shared" si="10"/>
        <v>1.7107550965545595E-3</v>
      </c>
      <c r="AI80" s="165">
        <f t="shared" si="11"/>
        <v>1.8497274578919527E-3</v>
      </c>
      <c r="AJ80" s="135" t="e">
        <f t="shared" si="12"/>
        <v>#N/A</v>
      </c>
    </row>
    <row r="81" spans="10:36" x14ac:dyDescent="0.2">
      <c r="J81" s="146"/>
      <c r="K81" s="146"/>
      <c r="AF81" s="164">
        <f>_xll.qlCalendarAdvance(Calendar,AF80,"1d","mf",,Trigger)</f>
        <v>42009</v>
      </c>
      <c r="AG81" s="175">
        <f>_xll.qlDayCounterYearFraction(DayCounterON,SettlementDate,AF81,,,Trigger)</f>
        <v>0.31780821917808222</v>
      </c>
      <c r="AH81" s="165">
        <f t="shared" si="10"/>
        <v>1.7107550965545595E-3</v>
      </c>
      <c r="AI81" s="165">
        <f t="shared" si="11"/>
        <v>1.8691189501715889E-3</v>
      </c>
      <c r="AJ81" s="135" t="e">
        <f t="shared" si="12"/>
        <v>#N/A</v>
      </c>
    </row>
    <row r="82" spans="10:36" x14ac:dyDescent="0.2">
      <c r="J82" s="146"/>
      <c r="K82" s="146"/>
      <c r="AF82" s="164">
        <f>_xll.qlCalendarAdvance(Calendar,AF81,"1d","mf",,Trigger)</f>
        <v>42010</v>
      </c>
      <c r="AG82" s="175">
        <f>_xll.qlDayCounterYearFraction(DayCounterON,SettlementDate,AF82,,,Trigger)</f>
        <v>0.32054794520547947</v>
      </c>
      <c r="AH82" s="165">
        <f t="shared" si="10"/>
        <v>1.7107550965545595E-3</v>
      </c>
      <c r="AI82" s="165">
        <f t="shared" si="11"/>
        <v>1.8755827809314677E-3</v>
      </c>
      <c r="AJ82" s="135" t="e">
        <f t="shared" si="12"/>
        <v>#N/A</v>
      </c>
    </row>
    <row r="83" spans="10:36" x14ac:dyDescent="0.2">
      <c r="J83" s="146"/>
      <c r="K83" s="146"/>
      <c r="AF83" s="164">
        <f>_xll.qlCalendarAdvance(Calendar,AF82,"1d","mf",,Trigger)</f>
        <v>42011</v>
      </c>
      <c r="AG83" s="175">
        <f>_xll.qlDayCounterYearFraction(DayCounterON,SettlementDate,AF83,,,Trigger)</f>
        <v>0.32328767123287672</v>
      </c>
      <c r="AH83" s="165">
        <f t="shared" si="10"/>
        <v>1.7107550965545595E-3</v>
      </c>
      <c r="AI83" s="165">
        <f t="shared" si="11"/>
        <v>1.8820466116913465E-3</v>
      </c>
      <c r="AJ83" s="135" t="e">
        <f t="shared" si="12"/>
        <v>#N/A</v>
      </c>
    </row>
    <row r="84" spans="10:36" x14ac:dyDescent="0.2">
      <c r="J84" s="146"/>
      <c r="K84" s="146"/>
      <c r="AF84" s="164">
        <f>_xll.qlCalendarAdvance(Calendar,AF83,"1d","mf",,Trigger)</f>
        <v>42012</v>
      </c>
      <c r="AG84" s="175">
        <f>_xll.qlDayCounterYearFraction(DayCounterON,SettlementDate,AF84,,,Trigger)</f>
        <v>0.32602739726027397</v>
      </c>
      <c r="AH84" s="165">
        <f t="shared" si="10"/>
        <v>1.7107550965545595E-3</v>
      </c>
      <c r="AI84" s="165">
        <f t="shared" si="11"/>
        <v>1.8885104424512253E-3</v>
      </c>
      <c r="AJ84" s="135" t="e">
        <f t="shared" si="12"/>
        <v>#N/A</v>
      </c>
    </row>
    <row r="85" spans="10:36" x14ac:dyDescent="0.2">
      <c r="J85" s="146"/>
      <c r="K85" s="146"/>
      <c r="AF85" s="164">
        <f>_xll.qlCalendarAdvance(Calendar,AF84,"1d","mf",,Trigger)</f>
        <v>42013</v>
      </c>
      <c r="AG85" s="175">
        <f>_xll.qlDayCounterYearFraction(DayCounterON,SettlementDate,AF85,,,Trigger)</f>
        <v>0.32876712328767121</v>
      </c>
      <c r="AH85" s="165">
        <f t="shared" si="10"/>
        <v>1.7107550965545595E-3</v>
      </c>
      <c r="AI85" s="165">
        <f t="shared" si="11"/>
        <v>1.8949742732111039E-3</v>
      </c>
      <c r="AJ85" s="135" t="e">
        <f t="shared" si="12"/>
        <v>#N/A</v>
      </c>
    </row>
    <row r="86" spans="10:36" x14ac:dyDescent="0.2">
      <c r="J86" s="146"/>
      <c r="K86" s="146"/>
      <c r="AF86" s="164">
        <f>_xll.qlCalendarAdvance(Calendar,AF85,"1d","mf",,Trigger)</f>
        <v>42016</v>
      </c>
      <c r="AG86" s="175">
        <f>_xll.qlDayCounterYearFraction(DayCounterON,SettlementDate,AF86,,,Trigger)</f>
        <v>0.33698630136986302</v>
      </c>
      <c r="AH86" s="165">
        <f t="shared" si="10"/>
        <v>1.7107550965545595E-3</v>
      </c>
      <c r="AI86" s="165">
        <f t="shared" si="11"/>
        <v>1.9143657654907404E-3</v>
      </c>
      <c r="AJ86" s="135" t="e">
        <f t="shared" si="12"/>
        <v>#N/A</v>
      </c>
    </row>
    <row r="87" spans="10:36" x14ac:dyDescent="0.2">
      <c r="J87" s="146"/>
      <c r="K87" s="146"/>
      <c r="AF87" s="164">
        <f>_xll.qlCalendarAdvance(Calendar,AF86,"1d","mf",,Trigger)</f>
        <v>42017</v>
      </c>
      <c r="AG87" s="175">
        <f>_xll.qlDayCounterYearFraction(DayCounterON,SettlementDate,AF87,,,Trigger)</f>
        <v>0.33972602739726027</v>
      </c>
      <c r="AH87" s="165">
        <f t="shared" si="10"/>
        <v>1.7107550965545595E-3</v>
      </c>
      <c r="AI87" s="165">
        <f t="shared" si="11"/>
        <v>1.920829596250619E-3</v>
      </c>
      <c r="AJ87" s="135" t="e">
        <f t="shared" si="12"/>
        <v>#N/A</v>
      </c>
    </row>
    <row r="88" spans="10:36" x14ac:dyDescent="0.2">
      <c r="J88" s="146"/>
      <c r="K88" s="146"/>
      <c r="AF88" s="164">
        <f>_xll.qlCalendarAdvance(Calendar,AF87,"1d","mf",,Trigger)</f>
        <v>42018</v>
      </c>
      <c r="AG88" s="175">
        <f>_xll.qlDayCounterYearFraction(DayCounterON,SettlementDate,AF88,,,Trigger)</f>
        <v>0.34246575342465752</v>
      </c>
      <c r="AH88" s="165">
        <f t="shared" si="10"/>
        <v>1.7107550965545595E-3</v>
      </c>
      <c r="AI88" s="165">
        <f t="shared" si="11"/>
        <v>1.9272934270104978E-3</v>
      </c>
      <c r="AJ88" s="135" t="e">
        <f t="shared" si="12"/>
        <v>#N/A</v>
      </c>
    </row>
    <row r="89" spans="10:36" x14ac:dyDescent="0.2">
      <c r="J89" s="146"/>
      <c r="K89" s="146"/>
      <c r="AF89" s="164">
        <f>_xll.qlCalendarAdvance(Calendar,AF88,"1d","mf",,Trigger)</f>
        <v>42019</v>
      </c>
      <c r="AG89" s="175">
        <f>_xll.qlDayCounterYearFraction(DayCounterON,SettlementDate,AF89,,,Trigger)</f>
        <v>0.34520547945205482</v>
      </c>
      <c r="AH89" s="165">
        <f t="shared" si="10"/>
        <v>1.7107550965545595E-3</v>
      </c>
      <c r="AI89" s="165">
        <f t="shared" si="11"/>
        <v>1.9337572577703766E-3</v>
      </c>
      <c r="AJ89" s="135" t="e">
        <f t="shared" si="12"/>
        <v>#N/A</v>
      </c>
    </row>
    <row r="90" spans="10:36" x14ac:dyDescent="0.2">
      <c r="J90" s="146"/>
      <c r="K90" s="146"/>
      <c r="AF90" s="164">
        <f>_xll.qlCalendarAdvance(Calendar,AF89,"1d","mf",,Trigger)</f>
        <v>42020</v>
      </c>
      <c r="AG90" s="175">
        <f>_xll.qlDayCounterYearFraction(DayCounterON,SettlementDate,AF90,,,Trigger)</f>
        <v>0.34794520547945207</v>
      </c>
      <c r="AH90" s="165">
        <f t="shared" si="10"/>
        <v>1.7107550965545595E-3</v>
      </c>
      <c r="AI90" s="165">
        <f t="shared" si="11"/>
        <v>1.9402210885302554E-3</v>
      </c>
      <c r="AJ90" s="135" t="e">
        <f t="shared" si="12"/>
        <v>#N/A</v>
      </c>
    </row>
    <row r="91" spans="10:36" x14ac:dyDescent="0.2">
      <c r="J91" s="146"/>
      <c r="K91" s="146"/>
      <c r="AF91" s="164">
        <f>_xll.qlCalendarAdvance(Calendar,AF90,"1d","mf",,Trigger)</f>
        <v>42023</v>
      </c>
      <c r="AG91" s="175">
        <f>_xll.qlDayCounterYearFraction(DayCounterON,SettlementDate,AF91,,,Trigger)</f>
        <v>0.35616438356164382</v>
      </c>
      <c r="AH91" s="165">
        <f t="shared" si="10"/>
        <v>1.7107550965545595E-3</v>
      </c>
      <c r="AI91" s="165">
        <f t="shared" si="11"/>
        <v>1.9596125808098918E-3</v>
      </c>
      <c r="AJ91" s="135" t="e">
        <f t="shared" si="12"/>
        <v>#N/A</v>
      </c>
    </row>
    <row r="92" spans="10:36" x14ac:dyDescent="0.2">
      <c r="J92" s="146"/>
      <c r="K92" s="146"/>
      <c r="AF92" s="164">
        <f>_xll.qlCalendarAdvance(Calendar,AF91,"1d","mf",,Trigger)</f>
        <v>42024</v>
      </c>
      <c r="AG92" s="175">
        <f>_xll.qlDayCounterYearFraction(DayCounterON,SettlementDate,AF92,,,Trigger)</f>
        <v>0.35890410958904112</v>
      </c>
      <c r="AH92" s="165">
        <f t="shared" si="10"/>
        <v>1.7107550965545595E-3</v>
      </c>
      <c r="AI92" s="165">
        <f t="shared" si="11"/>
        <v>1.9660764115697706E-3</v>
      </c>
      <c r="AJ92" s="135" t="e">
        <f t="shared" si="12"/>
        <v>#N/A</v>
      </c>
    </row>
    <row r="93" spans="10:36" x14ac:dyDescent="0.2">
      <c r="J93" s="146"/>
      <c r="K93" s="146"/>
      <c r="AF93" s="164">
        <f>_xll.qlCalendarAdvance(Calendar,AF92,"1d","mf",,Trigger)</f>
        <v>42025</v>
      </c>
      <c r="AG93" s="175">
        <f>_xll.qlDayCounterYearFraction(DayCounterON,SettlementDate,AF93,,,Trigger)</f>
        <v>0.36164383561643837</v>
      </c>
      <c r="AH93" s="165">
        <f t="shared" si="10"/>
        <v>1.7107550965545595E-3</v>
      </c>
      <c r="AI93" s="165">
        <f t="shared" si="11"/>
        <v>1.9725402423296495E-3</v>
      </c>
      <c r="AJ93" s="135" t="e">
        <f t="shared" si="12"/>
        <v>#N/A</v>
      </c>
    </row>
    <row r="94" spans="10:36" x14ac:dyDescent="0.2">
      <c r="J94" s="146"/>
      <c r="K94" s="146"/>
      <c r="AF94" s="164">
        <f>_xll.qlCalendarAdvance(Calendar,AF93,"1d","mf",,Trigger)</f>
        <v>42026</v>
      </c>
      <c r="AG94" s="175">
        <f>_xll.qlDayCounterYearFraction(DayCounterON,SettlementDate,AF94,,,Trigger)</f>
        <v>0.36438356164383562</v>
      </c>
      <c r="AH94" s="165">
        <f t="shared" si="10"/>
        <v>1.7107550965545595E-3</v>
      </c>
      <c r="AI94" s="165">
        <f t="shared" si="11"/>
        <v>1.9790040730895278E-3</v>
      </c>
      <c r="AJ94" s="135" t="e">
        <f t="shared" si="12"/>
        <v>#N/A</v>
      </c>
    </row>
    <row r="95" spans="10:36" x14ac:dyDescent="0.2">
      <c r="J95" s="146"/>
      <c r="K95" s="146"/>
      <c r="AF95" s="164">
        <f>_xll.qlCalendarAdvance(Calendar,AF94,"1d","mf",,Trigger)</f>
        <v>42027</v>
      </c>
      <c r="AG95" s="175">
        <f>_xll.qlDayCounterYearFraction(DayCounterON,SettlementDate,AF95,,,Trigger)</f>
        <v>0.36712328767123287</v>
      </c>
      <c r="AH95" s="165">
        <f t="shared" si="10"/>
        <v>1.7107550965545595E-3</v>
      </c>
      <c r="AI95" s="165">
        <f t="shared" si="11"/>
        <v>1.9854679038494067E-3</v>
      </c>
      <c r="AJ95" s="135" t="e">
        <f t="shared" si="12"/>
        <v>#N/A</v>
      </c>
    </row>
    <row r="96" spans="10:36" x14ac:dyDescent="0.2">
      <c r="J96" s="146"/>
      <c r="K96" s="146"/>
      <c r="AF96" s="164">
        <f>_xll.qlCalendarAdvance(Calendar,AF95,"1d","mf",,Trigger)</f>
        <v>42031</v>
      </c>
      <c r="AG96" s="175">
        <f>_xll.qlDayCounterYearFraction(DayCounterON,SettlementDate,AF96,,,Trigger)</f>
        <v>0.37808219178082192</v>
      </c>
      <c r="AH96" s="165">
        <f t="shared" si="10"/>
        <v>1.7107550965545595E-3</v>
      </c>
      <c r="AI96" s="165">
        <f t="shared" si="11"/>
        <v>2.0113232268889219E-3</v>
      </c>
      <c r="AJ96" s="135" t="e">
        <f t="shared" si="12"/>
        <v>#N/A</v>
      </c>
    </row>
    <row r="97" spans="10:36" x14ac:dyDescent="0.2">
      <c r="J97" s="146"/>
      <c r="K97" s="146"/>
      <c r="AF97" s="164">
        <f>_xll.qlCalendarAdvance(Calendar,AF96,"1d","mf",,Trigger)</f>
        <v>42032</v>
      </c>
      <c r="AG97" s="175">
        <f>_xll.qlDayCounterYearFraction(DayCounterON,SettlementDate,AF97,,,Trigger)</f>
        <v>0.38082191780821917</v>
      </c>
      <c r="AH97" s="165">
        <f t="shared" si="10"/>
        <v>1.7107550965545595E-3</v>
      </c>
      <c r="AI97" s="165">
        <f t="shared" si="11"/>
        <v>2.0177870576488007E-3</v>
      </c>
      <c r="AJ97" s="135" t="e">
        <f t="shared" si="12"/>
        <v>#N/A</v>
      </c>
    </row>
    <row r="98" spans="10:36" x14ac:dyDescent="0.2">
      <c r="J98" s="146"/>
      <c r="K98" s="146"/>
      <c r="AF98" s="164">
        <f>_xll.qlCalendarAdvance(Calendar,AF97,"1d","mf",,Trigger)</f>
        <v>42033</v>
      </c>
      <c r="AG98" s="175">
        <f>_xll.qlDayCounterYearFraction(DayCounterON,SettlementDate,AF98,,,Trigger)</f>
        <v>0.38356164383561642</v>
      </c>
      <c r="AH98" s="165">
        <f t="shared" si="10"/>
        <v>1.7107550965545595E-3</v>
      </c>
      <c r="AI98" s="165">
        <f t="shared" si="11"/>
        <v>2.0242508884086791E-3</v>
      </c>
      <c r="AJ98" s="135" t="e">
        <f t="shared" si="12"/>
        <v>#N/A</v>
      </c>
    </row>
    <row r="99" spans="10:36" x14ac:dyDescent="0.2">
      <c r="J99" s="146"/>
      <c r="K99" s="146"/>
      <c r="AF99" s="164">
        <f>_xll.qlCalendarAdvance(Calendar,AF98,"1d","mf",,Trigger)</f>
        <v>42034</v>
      </c>
      <c r="AG99" s="175">
        <f>_xll.qlDayCounterYearFraction(DayCounterON,SettlementDate,AF99,,,Trigger)</f>
        <v>0.38630136986301372</v>
      </c>
      <c r="AH99" s="165">
        <f t="shared" ref="AH99:AH132" si="13">$W$13</f>
        <v>1.7107550965545595E-3</v>
      </c>
      <c r="AI99" s="165">
        <f t="shared" ref="AI99:AI132" si="14">$W$10+$W$9*AG99</f>
        <v>2.0307147191685583E-3</v>
      </c>
      <c r="AJ99" s="135" t="e">
        <f t="shared" ref="AJ99:AJ132" si="15">($W$5+$W$4*AG99+$W$3*AG99^2)</f>
        <v>#N/A</v>
      </c>
    </row>
    <row r="100" spans="10:36" x14ac:dyDescent="0.2">
      <c r="J100" s="146"/>
      <c r="K100" s="146"/>
      <c r="AF100" s="164">
        <f>_xll.qlCalendarAdvance(Calendar,AF99,"1d","mf",,Trigger)</f>
        <v>42037</v>
      </c>
      <c r="AG100" s="175">
        <f>_xll.qlDayCounterYearFraction(DayCounterON,SettlementDate,AF100,,,Trigger)</f>
        <v>0.39452054794520547</v>
      </c>
      <c r="AH100" s="165">
        <f t="shared" si="13"/>
        <v>1.7107550965545595E-3</v>
      </c>
      <c r="AI100" s="165">
        <f t="shared" si="14"/>
        <v>2.0501062114481943E-3</v>
      </c>
      <c r="AJ100" s="135" t="e">
        <f t="shared" si="15"/>
        <v>#N/A</v>
      </c>
    </row>
    <row r="101" spans="10:36" x14ac:dyDescent="0.2">
      <c r="J101" s="146"/>
      <c r="K101" s="146"/>
      <c r="AF101" s="164">
        <f>_xll.qlCalendarAdvance(Calendar,AF100,"1d","mf",,Trigger)</f>
        <v>42038</v>
      </c>
      <c r="AG101" s="175">
        <f>_xll.qlDayCounterYearFraction(DayCounterON,SettlementDate,AF101,,,Trigger)</f>
        <v>0.39726027397260272</v>
      </c>
      <c r="AH101" s="165">
        <f t="shared" si="13"/>
        <v>1.7107550965545595E-3</v>
      </c>
      <c r="AI101" s="165">
        <f t="shared" si="14"/>
        <v>2.0565700422080732E-3</v>
      </c>
      <c r="AJ101" s="135" t="e">
        <f t="shared" si="15"/>
        <v>#N/A</v>
      </c>
    </row>
    <row r="102" spans="10:36" x14ac:dyDescent="0.2">
      <c r="J102" s="146"/>
      <c r="K102" s="146"/>
      <c r="AF102" s="164">
        <f>_xll.qlCalendarAdvance(Calendar,AF101,"1d","mf",,Trigger)</f>
        <v>42039</v>
      </c>
      <c r="AG102" s="175">
        <f>_xll.qlDayCounterYearFraction(DayCounterON,SettlementDate,AF102,,,Trigger)</f>
        <v>0.4</v>
      </c>
      <c r="AH102" s="165">
        <f t="shared" si="13"/>
        <v>1.7107550965545595E-3</v>
      </c>
      <c r="AI102" s="165">
        <f t="shared" si="14"/>
        <v>2.063033872967952E-3</v>
      </c>
      <c r="AJ102" s="135" t="e">
        <f t="shared" si="15"/>
        <v>#N/A</v>
      </c>
    </row>
    <row r="103" spans="10:36" x14ac:dyDescent="0.2">
      <c r="J103" s="146"/>
      <c r="K103" s="146"/>
      <c r="AF103" s="164">
        <f>_xll.qlCalendarAdvance(Calendar,AF102,"1d","mf",,Trigger)</f>
        <v>42040</v>
      </c>
      <c r="AG103" s="175">
        <f>_xll.qlDayCounterYearFraction(DayCounterON,SettlementDate,AF103,,,Trigger)</f>
        <v>0.40273972602739727</v>
      </c>
      <c r="AH103" s="165">
        <f t="shared" si="13"/>
        <v>1.7107550965545595E-3</v>
      </c>
      <c r="AI103" s="165">
        <f t="shared" si="14"/>
        <v>2.0694977037278308E-3</v>
      </c>
      <c r="AJ103" s="135" t="e">
        <f t="shared" si="15"/>
        <v>#N/A</v>
      </c>
    </row>
    <row r="104" spans="10:36" x14ac:dyDescent="0.2">
      <c r="J104" s="146"/>
      <c r="K104" s="146"/>
      <c r="AF104" s="164">
        <f>_xll.qlCalendarAdvance(Calendar,AF103,"1d","mf",,Trigger)</f>
        <v>42041</v>
      </c>
      <c r="AG104" s="175">
        <f>_xll.qlDayCounterYearFraction(DayCounterON,SettlementDate,AF104,,,Trigger)</f>
        <v>0.40547945205479452</v>
      </c>
      <c r="AH104" s="165">
        <f t="shared" si="13"/>
        <v>1.7107550965545595E-3</v>
      </c>
      <c r="AI104" s="165">
        <f t="shared" si="14"/>
        <v>2.0759615344877096E-3</v>
      </c>
      <c r="AJ104" s="135" t="e">
        <f t="shared" si="15"/>
        <v>#N/A</v>
      </c>
    </row>
    <row r="105" spans="10:36" x14ac:dyDescent="0.2">
      <c r="J105" s="146"/>
      <c r="K105" s="146"/>
      <c r="AF105" s="164">
        <f>_xll.qlCalendarAdvance(Calendar,AF104,"1d","mf",,Trigger)</f>
        <v>42044</v>
      </c>
      <c r="AG105" s="175">
        <f>_xll.qlDayCounterYearFraction(DayCounterON,SettlementDate,AF105,,,Trigger)</f>
        <v>0.41369863013698632</v>
      </c>
      <c r="AH105" s="165">
        <f t="shared" si="13"/>
        <v>1.7107550965545595E-3</v>
      </c>
      <c r="AI105" s="165">
        <f t="shared" si="14"/>
        <v>2.095353026767346E-3</v>
      </c>
      <c r="AJ105" s="135" t="e">
        <f t="shared" si="15"/>
        <v>#N/A</v>
      </c>
    </row>
    <row r="106" spans="10:36" x14ac:dyDescent="0.2">
      <c r="J106" s="146"/>
      <c r="K106" s="146"/>
      <c r="AF106" s="164">
        <f>_xll.qlCalendarAdvance(Calendar,AF105,"1d","mf",,Trigger)</f>
        <v>42045</v>
      </c>
      <c r="AG106" s="175">
        <f>_xll.qlDayCounterYearFraction(DayCounterON,SettlementDate,AF106,,,Trigger)</f>
        <v>0.41643835616438357</v>
      </c>
      <c r="AH106" s="165">
        <f t="shared" si="13"/>
        <v>1.7107550965545595E-3</v>
      </c>
      <c r="AI106" s="165">
        <f t="shared" si="14"/>
        <v>2.1018168575272249E-3</v>
      </c>
      <c r="AJ106" s="135" t="e">
        <f t="shared" si="15"/>
        <v>#N/A</v>
      </c>
    </row>
    <row r="107" spans="10:36" x14ac:dyDescent="0.2">
      <c r="J107" s="146"/>
      <c r="K107" s="146"/>
      <c r="AF107" s="164">
        <f>_xll.qlCalendarAdvance(Calendar,AF106,"1d","mf",,Trigger)</f>
        <v>42046</v>
      </c>
      <c r="AG107" s="175">
        <f>_xll.qlDayCounterYearFraction(DayCounterON,SettlementDate,AF107,,,Trigger)</f>
        <v>0.41917808219178082</v>
      </c>
      <c r="AH107" s="165">
        <f t="shared" si="13"/>
        <v>1.7107550965545595E-3</v>
      </c>
      <c r="AI107" s="165">
        <f t="shared" si="14"/>
        <v>2.1082806882871032E-3</v>
      </c>
      <c r="AJ107" s="135" t="e">
        <f t="shared" si="15"/>
        <v>#N/A</v>
      </c>
    </row>
    <row r="108" spans="10:36" x14ac:dyDescent="0.2">
      <c r="J108" s="146"/>
      <c r="K108" s="146"/>
      <c r="AF108" s="164">
        <f>_xll.qlCalendarAdvance(Calendar,AF107,"1d","mf",,Trigger)</f>
        <v>42047</v>
      </c>
      <c r="AG108" s="175">
        <f>_xll.qlDayCounterYearFraction(DayCounterON,SettlementDate,AF108,,,Trigger)</f>
        <v>0.42191780821917807</v>
      </c>
      <c r="AH108" s="165">
        <f t="shared" si="13"/>
        <v>1.7107550965545595E-3</v>
      </c>
      <c r="AI108" s="165">
        <f t="shared" si="14"/>
        <v>2.114744519046982E-3</v>
      </c>
      <c r="AJ108" s="135" t="e">
        <f t="shared" si="15"/>
        <v>#N/A</v>
      </c>
    </row>
    <row r="109" spans="10:36" x14ac:dyDescent="0.2">
      <c r="J109" s="146"/>
      <c r="K109" s="146"/>
      <c r="AF109" s="164">
        <f>_xll.qlCalendarAdvance(Calendar,AF108,"1d","mf",,Trigger)</f>
        <v>42048</v>
      </c>
      <c r="AG109" s="175">
        <f>_xll.qlDayCounterYearFraction(DayCounterON,SettlementDate,AF109,,,Trigger)</f>
        <v>0.42465753424657532</v>
      </c>
      <c r="AH109" s="165">
        <f t="shared" si="13"/>
        <v>1.7107550965545595E-3</v>
      </c>
      <c r="AI109" s="165">
        <f t="shared" si="14"/>
        <v>2.1212083498068609E-3</v>
      </c>
      <c r="AJ109" s="135" t="e">
        <f t="shared" si="15"/>
        <v>#N/A</v>
      </c>
    </row>
    <row r="110" spans="10:36" x14ac:dyDescent="0.2">
      <c r="J110" s="146"/>
      <c r="K110" s="146"/>
      <c r="AF110" s="164">
        <f>_xll.qlCalendarAdvance(Calendar,AF109,"1d","mf",,Trigger)</f>
        <v>42051</v>
      </c>
      <c r="AG110" s="175">
        <f>_xll.qlDayCounterYearFraction(DayCounterON,SettlementDate,AF110,,,Trigger)</f>
        <v>0.43287671232876712</v>
      </c>
      <c r="AH110" s="165">
        <f t="shared" si="13"/>
        <v>1.7107550965545595E-3</v>
      </c>
      <c r="AI110" s="165">
        <f t="shared" si="14"/>
        <v>2.1405998420864973E-3</v>
      </c>
      <c r="AJ110" s="135" t="e">
        <f t="shared" si="15"/>
        <v>#N/A</v>
      </c>
    </row>
    <row r="111" spans="10:36" x14ac:dyDescent="0.2">
      <c r="J111" s="146"/>
      <c r="K111" s="146"/>
      <c r="AF111" s="164">
        <f>_xll.qlCalendarAdvance(Calendar,AF110,"1d","mf",,Trigger)</f>
        <v>42052</v>
      </c>
      <c r="AG111" s="175">
        <f>_xll.qlDayCounterYearFraction(DayCounterON,SettlementDate,AF111,,,Trigger)</f>
        <v>0.43561643835616437</v>
      </c>
      <c r="AH111" s="165">
        <f t="shared" si="13"/>
        <v>1.7107550965545595E-3</v>
      </c>
      <c r="AI111" s="165">
        <f t="shared" si="14"/>
        <v>2.1470636728463761E-3</v>
      </c>
      <c r="AJ111" s="135" t="e">
        <f t="shared" si="15"/>
        <v>#N/A</v>
      </c>
    </row>
    <row r="112" spans="10:36" x14ac:dyDescent="0.2">
      <c r="J112" s="146"/>
      <c r="K112" s="146"/>
      <c r="AF112" s="164">
        <f>_xll.qlCalendarAdvance(Calendar,AF111,"1d","mf",,Trigger)</f>
        <v>42053</v>
      </c>
      <c r="AG112" s="175">
        <f>_xll.qlDayCounterYearFraction(DayCounterON,SettlementDate,AF112,,,Trigger)</f>
        <v>0.43835616438356162</v>
      </c>
      <c r="AH112" s="165">
        <f t="shared" si="13"/>
        <v>1.7107550965545595E-3</v>
      </c>
      <c r="AI112" s="165">
        <f t="shared" si="14"/>
        <v>2.1535275036062545E-3</v>
      </c>
      <c r="AJ112" s="135" t="e">
        <f t="shared" si="15"/>
        <v>#N/A</v>
      </c>
    </row>
    <row r="113" spans="10:36" x14ac:dyDescent="0.2">
      <c r="J113" s="146"/>
      <c r="K113" s="146"/>
      <c r="AF113" s="164">
        <f>_xll.qlCalendarAdvance(Calendar,AF112,"1d","mf",,Trigger)</f>
        <v>42054</v>
      </c>
      <c r="AG113" s="175">
        <f>_xll.qlDayCounterYearFraction(DayCounterON,SettlementDate,AF113,,,Trigger)</f>
        <v>0.44109589041095892</v>
      </c>
      <c r="AH113" s="165">
        <f t="shared" si="13"/>
        <v>1.7107550965545595E-3</v>
      </c>
      <c r="AI113" s="165">
        <f t="shared" si="14"/>
        <v>2.1599913343661337E-3</v>
      </c>
      <c r="AJ113" s="135" t="e">
        <f t="shared" si="15"/>
        <v>#N/A</v>
      </c>
    </row>
    <row r="114" spans="10:36" x14ac:dyDescent="0.2">
      <c r="J114" s="146"/>
      <c r="K114" s="146"/>
      <c r="AF114" s="164">
        <f>_xll.qlCalendarAdvance(Calendar,AF113,"1d","mf",,Trigger)</f>
        <v>42055</v>
      </c>
      <c r="AG114" s="175">
        <f>_xll.qlDayCounterYearFraction(DayCounterON,SettlementDate,AF114,,,Trigger)</f>
        <v>0.44383561643835617</v>
      </c>
      <c r="AH114" s="165">
        <f t="shared" si="13"/>
        <v>1.7107550965545595E-3</v>
      </c>
      <c r="AI114" s="165">
        <f t="shared" si="14"/>
        <v>2.1664551651260121E-3</v>
      </c>
      <c r="AJ114" s="135" t="e">
        <f t="shared" si="15"/>
        <v>#N/A</v>
      </c>
    </row>
    <row r="115" spans="10:36" x14ac:dyDescent="0.2">
      <c r="J115" s="146"/>
      <c r="K115" s="146"/>
      <c r="AF115" s="164">
        <f>_xll.qlCalendarAdvance(Calendar,AF114,"1d","mf",,Trigger)</f>
        <v>42058</v>
      </c>
      <c r="AG115" s="175">
        <f>_xll.qlDayCounterYearFraction(DayCounterON,SettlementDate,AF115,,,Trigger)</f>
        <v>0.45205479452054792</v>
      </c>
      <c r="AH115" s="165">
        <f t="shared" si="13"/>
        <v>1.7107550965545595E-3</v>
      </c>
      <c r="AI115" s="165">
        <f t="shared" si="14"/>
        <v>2.1858466574056486E-3</v>
      </c>
      <c r="AJ115" s="135" t="e">
        <f t="shared" si="15"/>
        <v>#N/A</v>
      </c>
    </row>
    <row r="116" spans="10:36" x14ac:dyDescent="0.2">
      <c r="J116" s="130"/>
      <c r="K116" s="146"/>
      <c r="AF116" s="164">
        <f>_xll.qlCalendarAdvance(Calendar,AF115,"1d","mf",,Trigger)</f>
        <v>42059</v>
      </c>
      <c r="AG116" s="175">
        <f>_xll.qlDayCounterYearFraction(DayCounterON,SettlementDate,AF116,,,Trigger)</f>
        <v>0.45479452054794522</v>
      </c>
      <c r="AH116" s="165">
        <f t="shared" si="13"/>
        <v>1.7107550965545595E-3</v>
      </c>
      <c r="AI116" s="165">
        <f t="shared" si="14"/>
        <v>2.1923104881655274E-3</v>
      </c>
      <c r="AJ116" s="135" t="e">
        <f t="shared" si="15"/>
        <v>#N/A</v>
      </c>
    </row>
    <row r="117" spans="10:36" x14ac:dyDescent="0.2">
      <c r="J117" s="130"/>
      <c r="K117" s="146"/>
      <c r="AF117" s="164">
        <f>_xll.qlCalendarAdvance(Calendar,AF116,"1d","mf",,Trigger)</f>
        <v>42060</v>
      </c>
      <c r="AG117" s="175">
        <f>_xll.qlDayCounterYearFraction(DayCounterON,SettlementDate,AF117,,,Trigger)</f>
        <v>0.45753424657534247</v>
      </c>
      <c r="AH117" s="165">
        <f t="shared" si="13"/>
        <v>1.7107550965545595E-3</v>
      </c>
      <c r="AI117" s="165">
        <f t="shared" si="14"/>
        <v>2.1987743189254062E-3</v>
      </c>
      <c r="AJ117" s="135" t="e">
        <f t="shared" si="15"/>
        <v>#N/A</v>
      </c>
    </row>
    <row r="118" spans="10:36" x14ac:dyDescent="0.2">
      <c r="J118" s="130"/>
      <c r="K118" s="146"/>
      <c r="AF118" s="164">
        <f>_xll.qlCalendarAdvance(Calendar,AF117,"1d","mf",,Trigger)</f>
        <v>42061</v>
      </c>
      <c r="AG118" s="175">
        <f>_xll.qlDayCounterYearFraction(DayCounterON,SettlementDate,AF118,,,Trigger)</f>
        <v>0.46027397260273972</v>
      </c>
      <c r="AH118" s="165">
        <f t="shared" si="13"/>
        <v>1.7107550965545595E-3</v>
      </c>
      <c r="AI118" s="165">
        <f t="shared" si="14"/>
        <v>2.205238149685285E-3</v>
      </c>
      <c r="AJ118" s="135" t="e">
        <f t="shared" si="15"/>
        <v>#N/A</v>
      </c>
    </row>
    <row r="119" spans="10:36" x14ac:dyDescent="0.2">
      <c r="J119" s="130"/>
      <c r="K119" s="146"/>
      <c r="AF119" s="164">
        <f>_xll.qlCalendarAdvance(Calendar,AF118,"1d","mf",,Trigger)</f>
        <v>42062</v>
      </c>
      <c r="AG119" s="175">
        <f>_xll.qlDayCounterYearFraction(DayCounterON,SettlementDate,AF119,,,Trigger)</f>
        <v>0.46301369863013697</v>
      </c>
      <c r="AH119" s="165">
        <f t="shared" si="13"/>
        <v>1.7107550965545595E-3</v>
      </c>
      <c r="AI119" s="165">
        <f t="shared" si="14"/>
        <v>2.2117019804451638E-3</v>
      </c>
      <c r="AJ119" s="135" t="e">
        <f t="shared" si="15"/>
        <v>#N/A</v>
      </c>
    </row>
    <row r="120" spans="10:36" x14ac:dyDescent="0.2">
      <c r="J120" s="130"/>
      <c r="K120" s="146"/>
      <c r="AF120" s="164">
        <f>_xll.qlCalendarAdvance(Calendar,AF119,"1d","mf",,Trigger)</f>
        <v>42065</v>
      </c>
      <c r="AG120" s="175">
        <f>_xll.qlDayCounterYearFraction(DayCounterON,SettlementDate,AF120,,,Trigger)</f>
        <v>0.47123287671232877</v>
      </c>
      <c r="AH120" s="165">
        <f t="shared" si="13"/>
        <v>1.7107550965545595E-3</v>
      </c>
      <c r="AI120" s="165">
        <f t="shared" si="14"/>
        <v>2.2310934727248002E-3</v>
      </c>
      <c r="AJ120" s="135" t="e">
        <f t="shared" si="15"/>
        <v>#N/A</v>
      </c>
    </row>
    <row r="121" spans="10:36" x14ac:dyDescent="0.2">
      <c r="J121" s="130"/>
      <c r="K121" s="146"/>
      <c r="AF121" s="164">
        <f>_xll.qlCalendarAdvance(Calendar,AF120,"1d","mf",,Trigger)</f>
        <v>42066</v>
      </c>
      <c r="AG121" s="175">
        <f>_xll.qlDayCounterYearFraction(DayCounterON,SettlementDate,AF121,,,Trigger)</f>
        <v>0.47397260273972602</v>
      </c>
      <c r="AH121" s="165">
        <f t="shared" si="13"/>
        <v>1.7107550965545595E-3</v>
      </c>
      <c r="AI121" s="165">
        <f t="shared" si="14"/>
        <v>2.2375573034846786E-3</v>
      </c>
      <c r="AJ121" s="135" t="e">
        <f t="shared" si="15"/>
        <v>#N/A</v>
      </c>
    </row>
    <row r="122" spans="10:36" x14ac:dyDescent="0.2">
      <c r="J122" s="130"/>
      <c r="K122" s="130"/>
      <c r="AF122" s="164">
        <f>_xll.qlCalendarAdvance(Calendar,AF121,"1d","mf",,Trigger)</f>
        <v>42067</v>
      </c>
      <c r="AG122" s="175">
        <f>_xll.qlDayCounterYearFraction(DayCounterON,SettlementDate,AF122,,,Trigger)</f>
        <v>0.47671232876712327</v>
      </c>
      <c r="AH122" s="165">
        <f t="shared" si="13"/>
        <v>1.7107550965545595E-3</v>
      </c>
      <c r="AI122" s="165">
        <f t="shared" si="14"/>
        <v>2.2440211342445579E-3</v>
      </c>
      <c r="AJ122" s="135" t="e">
        <f t="shared" si="15"/>
        <v>#N/A</v>
      </c>
    </row>
    <row r="123" spans="10:36" x14ac:dyDescent="0.2">
      <c r="J123" s="130"/>
      <c r="K123" s="130"/>
      <c r="AF123" s="164">
        <f>_xll.qlCalendarAdvance(Calendar,AF122,"1d","mf",,Trigger)</f>
        <v>42068</v>
      </c>
      <c r="AG123" s="175">
        <f>_xll.qlDayCounterYearFraction(DayCounterON,SettlementDate,AF123,,,Trigger)</f>
        <v>0.47945205479452052</v>
      </c>
      <c r="AH123" s="165">
        <f t="shared" si="13"/>
        <v>1.7107550965545595E-3</v>
      </c>
      <c r="AI123" s="165">
        <f t="shared" si="14"/>
        <v>2.2504849650044362E-3</v>
      </c>
      <c r="AJ123" s="135" t="e">
        <f t="shared" si="15"/>
        <v>#N/A</v>
      </c>
    </row>
    <row r="124" spans="10:36" x14ac:dyDescent="0.2">
      <c r="J124" s="130"/>
      <c r="K124" s="130"/>
      <c r="AF124" s="164">
        <f>_xll.qlCalendarAdvance(Calendar,AF123,"1d","mf",,Trigger)</f>
        <v>42069</v>
      </c>
      <c r="AG124" s="175">
        <f>_xll.qlDayCounterYearFraction(DayCounterON,SettlementDate,AF124,,,Trigger)</f>
        <v>0.48219178082191783</v>
      </c>
      <c r="AH124" s="165">
        <f t="shared" si="13"/>
        <v>1.7107550965545595E-3</v>
      </c>
      <c r="AI124" s="165">
        <f t="shared" si="14"/>
        <v>2.2569487957643151E-3</v>
      </c>
      <c r="AJ124" s="135" t="e">
        <f t="shared" si="15"/>
        <v>#N/A</v>
      </c>
    </row>
    <row r="125" spans="10:36" x14ac:dyDescent="0.2">
      <c r="J125" s="130"/>
      <c r="K125" s="130"/>
      <c r="AF125" s="164">
        <f>_xll.qlCalendarAdvance(Calendar,AF124,"1d","mf",,Trigger)</f>
        <v>42072</v>
      </c>
      <c r="AG125" s="175">
        <f>_xll.qlDayCounterYearFraction(DayCounterON,SettlementDate,AF125,,,Trigger)</f>
        <v>0.49041095890410957</v>
      </c>
      <c r="AH125" s="165">
        <f t="shared" si="13"/>
        <v>1.7107550965545595E-3</v>
      </c>
      <c r="AI125" s="165">
        <f t="shared" si="14"/>
        <v>2.2763402880439515E-3</v>
      </c>
      <c r="AJ125" s="135" t="e">
        <f t="shared" si="15"/>
        <v>#N/A</v>
      </c>
    </row>
    <row r="126" spans="10:36" x14ac:dyDescent="0.2">
      <c r="J126" s="130"/>
      <c r="K126" s="130"/>
      <c r="AF126" s="164">
        <f>_xll.qlCalendarAdvance(Calendar,AF125,"1d","mf",,Trigger)</f>
        <v>42073</v>
      </c>
      <c r="AG126" s="175">
        <f>_xll.qlDayCounterYearFraction(DayCounterON,SettlementDate,AF126,,,Trigger)</f>
        <v>0.49315068493150682</v>
      </c>
      <c r="AH126" s="165">
        <f t="shared" si="13"/>
        <v>1.7107550965545595E-3</v>
      </c>
      <c r="AI126" s="165">
        <f t="shared" si="14"/>
        <v>2.2828041188038299E-3</v>
      </c>
      <c r="AJ126" s="135" t="e">
        <f t="shared" si="15"/>
        <v>#N/A</v>
      </c>
    </row>
    <row r="127" spans="10:36" x14ac:dyDescent="0.2">
      <c r="J127" s="130"/>
      <c r="K127" s="130"/>
      <c r="AF127" s="164">
        <f>_xll.qlCalendarAdvance(Calendar,AF126,"1d","mf",,Trigger)</f>
        <v>42074</v>
      </c>
      <c r="AG127" s="175">
        <f>_xll.qlDayCounterYearFraction(DayCounterON,SettlementDate,AF127,,,Trigger)</f>
        <v>0.49589041095890413</v>
      </c>
      <c r="AH127" s="165">
        <f t="shared" si="13"/>
        <v>1.7107550965545595E-3</v>
      </c>
      <c r="AI127" s="165">
        <f t="shared" si="14"/>
        <v>2.2892679495637091E-3</v>
      </c>
      <c r="AJ127" s="135" t="e">
        <f t="shared" si="15"/>
        <v>#N/A</v>
      </c>
    </row>
    <row r="128" spans="10:36" x14ac:dyDescent="0.2">
      <c r="J128" s="130"/>
      <c r="K128" s="130"/>
      <c r="AF128" s="164">
        <f>_xll.qlCalendarAdvance(Calendar,AF127,"1d","mf",,Trigger)</f>
        <v>42075</v>
      </c>
      <c r="AG128" s="175">
        <f>_xll.qlDayCounterYearFraction(DayCounterON,SettlementDate,AF128,,,Trigger)</f>
        <v>0.49863013698630138</v>
      </c>
      <c r="AH128" s="165">
        <f t="shared" si="13"/>
        <v>1.7107550965545595E-3</v>
      </c>
      <c r="AI128" s="165">
        <f t="shared" si="14"/>
        <v>2.2957317803235875E-3</v>
      </c>
      <c r="AJ128" s="135" t="e">
        <f t="shared" si="15"/>
        <v>#N/A</v>
      </c>
    </row>
    <row r="129" spans="10:36" x14ac:dyDescent="0.2">
      <c r="J129" s="130"/>
      <c r="K129" s="130"/>
      <c r="AF129" s="164">
        <f>_xll.qlCalendarAdvance(Calendar,AF128,"1d","mf",,Trigger)</f>
        <v>42076</v>
      </c>
      <c r="AG129" s="175">
        <f>_xll.qlDayCounterYearFraction(DayCounterON,SettlementDate,AF129,,,Trigger)</f>
        <v>0.50136986301369868</v>
      </c>
      <c r="AH129" s="165">
        <f t="shared" si="13"/>
        <v>1.7107550965545595E-3</v>
      </c>
      <c r="AI129" s="165">
        <f t="shared" si="14"/>
        <v>2.3021956110834668E-3</v>
      </c>
      <c r="AJ129" s="135" t="e">
        <f t="shared" si="15"/>
        <v>#N/A</v>
      </c>
    </row>
    <row r="130" spans="10:36" x14ac:dyDescent="0.2">
      <c r="J130" s="130"/>
      <c r="K130" s="130"/>
      <c r="AF130" s="164">
        <f>_xll.qlCalendarAdvance(Calendar,AF129,"1d","mf",,Trigger)</f>
        <v>42079</v>
      </c>
      <c r="AG130" s="175">
        <f>_xll.qlDayCounterYearFraction(DayCounterON,SettlementDate,AF130,,,Trigger)</f>
        <v>0.50958904109589043</v>
      </c>
      <c r="AH130" s="165">
        <f t="shared" si="13"/>
        <v>1.7107550965545595E-3</v>
      </c>
      <c r="AI130" s="165">
        <f t="shared" si="14"/>
        <v>2.3215871033631028E-3</v>
      </c>
      <c r="AJ130" s="135" t="e">
        <f t="shared" si="15"/>
        <v>#N/A</v>
      </c>
    </row>
    <row r="131" spans="10:36" x14ac:dyDescent="0.2">
      <c r="J131" s="130"/>
      <c r="K131" s="130"/>
      <c r="AF131" s="164">
        <f>_xll.qlCalendarAdvance(Calendar,AF130,"1d","mf",,Trigger)</f>
        <v>42080</v>
      </c>
      <c r="AG131" s="175">
        <f>_xll.qlDayCounterYearFraction(DayCounterON,SettlementDate,AF131,,,Trigger)</f>
        <v>0.51232876712328768</v>
      </c>
      <c r="AH131" s="165">
        <f t="shared" si="13"/>
        <v>1.7107550965545595E-3</v>
      </c>
      <c r="AI131" s="165">
        <f t="shared" si="14"/>
        <v>2.3280509341229816E-3</v>
      </c>
      <c r="AJ131" s="135" t="e">
        <f t="shared" si="15"/>
        <v>#N/A</v>
      </c>
    </row>
    <row r="132" spans="10:36" ht="12" thickBot="1" x14ac:dyDescent="0.25">
      <c r="K132" s="130"/>
      <c r="AF132" s="166">
        <f>_xll.qlCalendarAdvance(Calendar,AF131,"1d","mf",,Trigger)</f>
        <v>42081</v>
      </c>
      <c r="AG132" s="177">
        <f>_xll.qlDayCounterYearFraction(DayCounterON,SettlementDate,AF132,,,Trigger)</f>
        <v>0.51506849315068493</v>
      </c>
      <c r="AH132" s="167">
        <f t="shared" si="13"/>
        <v>1.7107550965545595E-3</v>
      </c>
      <c r="AI132" s="167">
        <f t="shared" si="14"/>
        <v>2.3345147648828604E-3</v>
      </c>
      <c r="AJ132" s="140" t="e">
        <f t="shared" si="15"/>
        <v>#N/A</v>
      </c>
    </row>
    <row r="133" spans="10:36" x14ac:dyDescent="0.2">
      <c r="K133" s="130"/>
    </row>
    <row r="134" spans="10:36" x14ac:dyDescent="0.2">
      <c r="K134" s="130"/>
    </row>
    <row r="135" spans="10:36" x14ac:dyDescent="0.2">
      <c r="K135" s="130"/>
    </row>
    <row r="136" spans="10:36" x14ac:dyDescent="0.2">
      <c r="K136" s="130"/>
    </row>
    <row r="137" spans="10:36" x14ac:dyDescent="0.2">
      <c r="K137" s="130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6"/>
  <sheetViews>
    <sheetView workbookViewId="0">
      <selection activeCell="D18" sqref="D18"/>
    </sheetView>
  </sheetViews>
  <sheetFormatPr defaultColWidth="9.5" defaultRowHeight="11.25" outlineLevelCol="1" x14ac:dyDescent="0.2"/>
  <cols>
    <col min="1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7" style="129" bestFit="1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AUDBBSW1MLastFixing_Quote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_xll.ohFilter(N10:N14,P12:P16)</f>
        <v>5.3378095730178049E-3</v>
      </c>
      <c r="T3" s="149">
        <f t="array" ref="T3:T5">_xll.ohFilter(M10:M14,P12:P16)</f>
        <v>3.176205667104523E-2</v>
      </c>
      <c r="U3" s="150">
        <f t="array" ref="U3:U5">_xll.ohFilter(L10:L14,P12:P16)</f>
        <v>0.24931506849315072</v>
      </c>
      <c r="V3" s="144"/>
      <c r="W3" s="152">
        <f t="array" ref="W3:W5">MMULT(AA3:AC5,Y3:Y5)</f>
        <v>1.8763763801844689E-3</v>
      </c>
      <c r="X3" s="153"/>
      <c r="Y3" s="133">
        <f t="array" ref="Y3:Y5">_xll.ohFilter(N3:N7,P3:P7)</f>
        <v>4.0426512851578483E-4</v>
      </c>
      <c r="AA3" s="148">
        <f t="array" ref="AA3:AC5">MINVERSE(S3:U5)</f>
        <v>32.442718170664286</v>
      </c>
      <c r="AB3" s="149">
        <v>-65.426148310839608</v>
      </c>
      <c r="AC3" s="150">
        <v>31.913760809186034</v>
      </c>
      <c r="AF3" s="161">
        <f>SettlementDate</f>
        <v>41893</v>
      </c>
      <c r="AG3" s="175">
        <f>_xll.qlDayCounterYearFraction(DayCounterON,SettlementDate,AF3,,,Trigger)</f>
        <v>0</v>
      </c>
      <c r="AH3" s="162">
        <f t="shared" ref="AH3:AH66" si="0">$W$13</f>
        <v>1.6215029880028728E-3</v>
      </c>
      <c r="AI3" s="162">
        <f t="shared" ref="AI3:AI66" si="1">$W$10+$W$9*AG3</f>
        <v>1.8568307525842246E-3</v>
      </c>
      <c r="AJ3" s="163">
        <f t="shared" ref="AJ3:AJ66" si="2">($W$5+$W$4*AG3+$W$3*AG3^2)</f>
        <v>1.9367261006494763E-3</v>
      </c>
    </row>
    <row r="4" spans="1:36" x14ac:dyDescent="0.2">
      <c r="D4" s="206" t="s">
        <v>120</v>
      </c>
      <c r="E4" s="132">
        <f>SettlementDate</f>
        <v>41893</v>
      </c>
      <c r="F4" s="132">
        <f>_xll.qlCalendarAdvance(Calendar,E4,"3M","mf",,Trigger)</f>
        <v>41984</v>
      </c>
      <c r="G4" s="131" t="str">
        <f>_xll.qlMakeDatedOIS(,E4,F4,OvernightIndex,0,,,,EvaluationDate)</f>
        <v>obj_0025d#0000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4.0573698406555947E-4</v>
      </c>
      <c r="P4" s="168" t="b">
        <v>0</v>
      </c>
      <c r="R4" s="356"/>
      <c r="S4" s="148">
        <v>3.598732189081711E-2</v>
      </c>
      <c r="T4" s="149">
        <v>9.2550197035091E-2</v>
      </c>
      <c r="U4" s="150">
        <v>0.24657534246575341</v>
      </c>
      <c r="V4" s="145" t="s">
        <v>29</v>
      </c>
      <c r="W4" s="152">
        <v>-2.7896685860906299E-3</v>
      </c>
      <c r="X4" s="145" t="s">
        <v>30</v>
      </c>
      <c r="Y4" s="133">
        <v>2.8689028500674101E-4</v>
      </c>
      <c r="AA4" s="148">
        <v>-32.472346223788172</v>
      </c>
      <c r="AB4" s="149">
        <v>49.219109451184032</v>
      </c>
      <c r="AC4" s="150">
        <v>-16.029742872193903</v>
      </c>
      <c r="AF4" s="164">
        <f>_xll.qlCalendarAdvance(Calendar,AF3,"1d","mf",,Trigger)</f>
        <v>41894</v>
      </c>
      <c r="AG4" s="175">
        <f>_xll.qlDayCounterYearFraction(DayCounterON,SettlementDate,AF4,,,Trigger)</f>
        <v>2.7397260273972603E-3</v>
      </c>
      <c r="AH4" s="165">
        <f t="shared" si="0"/>
        <v>1.6215029880028728E-3</v>
      </c>
      <c r="AI4" s="165">
        <f t="shared" si="1"/>
        <v>1.8517699404426902E-3</v>
      </c>
      <c r="AJ4" s="135">
        <f t="shared" si="2"/>
        <v>1.929097257282669E-3</v>
      </c>
    </row>
    <row r="5" spans="1:36" x14ac:dyDescent="0.2">
      <c r="A5" s="147">
        <v>0</v>
      </c>
      <c r="B5" s="147" t="s">
        <v>29</v>
      </c>
      <c r="C5" s="205">
        <v>3</v>
      </c>
      <c r="D5" s="129" t="str">
        <f>Currency&amp;A5&amp;B5&amp;C5&amp;"F"</f>
        <v>AUD0x3F</v>
      </c>
      <c r="E5" s="132">
        <f>_xll.qlCalendarAdvance(Calendar,EvaluationDate,"1D","f",,Trigger)</f>
        <v>41894</v>
      </c>
      <c r="F5" s="132">
        <f>_xll.qlCalendarAdvance(Calendar,E5,"3M","mf",,Trigger)</f>
        <v>41985</v>
      </c>
      <c r="G5" s="131" t="str">
        <f>_xll.qlMakeDatedOIS(,E5,F5,OvernightIndex,0,,,,EvaluationDate)</f>
        <v>obj_0026a#0000</v>
      </c>
      <c r="H5" s="132" t="b">
        <f>_xll.qlInstrumentSetPricingEngine(G5,OisEngine)</f>
        <v>1</v>
      </c>
      <c r="I5" s="133">
        <f>'1M Swaps'!R30</f>
        <v>2.6279037234583417E-2</v>
      </c>
      <c r="J5" s="134">
        <f>_xll.qlOvernightIndexedSwapFairRate(G5,_xll.ohTrigger(H5,InterestRatesTrigger))</f>
        <v>2.4657534246580546E-2</v>
      </c>
      <c r="K5" s="157">
        <f>I5*_xll.qlDayCounterYearFraction(DayCounter6M,E5,F5,,,Trigger)</f>
        <v>6.5517599680742222E-3</v>
      </c>
      <c r="L5" s="157">
        <f>J5*_xll.qlDayCounterYearFraction(DayCounterOIS,E5,F5,,,Trigger)</f>
        <v>6.1474948395584374E-3</v>
      </c>
      <c r="M5" s="168">
        <f>K5-L5</f>
        <v>4.0426512851578483E-4</v>
      </c>
      <c r="N5" s="168">
        <f>M5</f>
        <v>4.0426512851578483E-4</v>
      </c>
      <c r="P5" s="168" t="b">
        <f>IF(E14="FRA",TRUE,FALSE)</f>
        <v>1</v>
      </c>
      <c r="R5" s="356"/>
      <c r="S5" s="148">
        <v>9.968548760936756E-2</v>
      </c>
      <c r="T5" s="149">
        <v>0.1574479264402327</v>
      </c>
      <c r="U5" s="150">
        <v>0.25205479452054796</v>
      </c>
      <c r="V5" s="147"/>
      <c r="W5" s="152">
        <v>1.9367261006494763E-3</v>
      </c>
      <c r="X5" s="145"/>
      <c r="Y5" s="133">
        <v>2.3598105940374897E-4</v>
      </c>
      <c r="AA5" s="148">
        <v>7.4532817474958222</v>
      </c>
      <c r="AB5" s="149">
        <v>-4.8696126962777466</v>
      </c>
      <c r="AC5" s="150">
        <v>1.3588750395964926</v>
      </c>
      <c r="AF5" s="164">
        <f>_xll.qlCalendarAdvance(Calendar,AF4,"1d","mf",,Trigger)</f>
        <v>41897</v>
      </c>
      <c r="AG5" s="175">
        <f>_xll.qlDayCounterYearFraction(DayCounterON,SettlementDate,AF5,,,Trigger)</f>
        <v>1.0958904109589041E-2</v>
      </c>
      <c r="AH5" s="165">
        <f t="shared" si="0"/>
        <v>1.6215029880028728E-3</v>
      </c>
      <c r="AI5" s="165">
        <f t="shared" si="1"/>
        <v>1.8365875040180868E-3</v>
      </c>
      <c r="AJ5" s="135">
        <f t="shared" si="2"/>
        <v>1.9063797383780604E-3</v>
      </c>
    </row>
    <row r="6" spans="1:36" x14ac:dyDescent="0.2">
      <c r="A6" s="147">
        <f>A5+3</f>
        <v>3</v>
      </c>
      <c r="B6" s="147" t="s">
        <v>29</v>
      </c>
      <c r="C6" s="205">
        <f>C5+3</f>
        <v>6</v>
      </c>
      <c r="D6" s="129" t="str">
        <f>Currency&amp;A6&amp;B6&amp;C6&amp;"F"</f>
        <v>AUD3x6F</v>
      </c>
      <c r="E6" s="132">
        <f>F5</f>
        <v>41985</v>
      </c>
      <c r="F6" s="132">
        <f>_xll.qlCalendarAdvance(Calendar,E6,"3M","mf",,Trigger)</f>
        <v>42075</v>
      </c>
      <c r="G6" s="131" t="str">
        <f>_xll.qlMakeDatedOIS(,E6,F6,OvernightIndex,0,,,,EvaluationDate)</f>
        <v>obj_00265#0000</v>
      </c>
      <c r="H6" s="132" t="b">
        <f>_xll.qlInstrumentSetPricingEngine(G6,OisEngine)</f>
        <v>1</v>
      </c>
      <c r="I6" s="133">
        <f>'1M Swaps'!R31</f>
        <v>2.5717580218887346E-2</v>
      </c>
      <c r="J6" s="134">
        <f>_xll.qlOvernightIndexedSwapFairRate(G6,_xll.ohTrigger(H6,InterestRatesTrigger))</f>
        <v>2.4554080729693343E-2</v>
      </c>
      <c r="K6" s="157">
        <f>I6*_xll.qlDayCounterYearFraction(DayCounter6M,E6,F6,,,Trigger)</f>
        <v>6.3413211498626332E-3</v>
      </c>
      <c r="L6" s="157">
        <f>J6*_xll.qlDayCounterYearFraction(DayCounterOIS,E6,F6,,,Trigger)</f>
        <v>6.0544308648558922E-3</v>
      </c>
      <c r="M6" s="168">
        <f t="shared" ref="M6:M7" si="3">K6-L6</f>
        <v>2.8689028500674101E-4</v>
      </c>
      <c r="N6" s="168">
        <f t="shared" ref="N6:N7" si="4">M6</f>
        <v>2.8689028500674101E-4</v>
      </c>
      <c r="P6" s="168" t="b">
        <v>1</v>
      </c>
      <c r="W6" s="154"/>
      <c r="X6" s="210"/>
      <c r="Y6" s="155"/>
      <c r="AF6" s="164">
        <f>_xll.qlCalendarAdvance(Calendar,AF5,"1d","mf",,Trigger)</f>
        <v>41898</v>
      </c>
      <c r="AG6" s="175">
        <f>_xll.qlDayCounterYearFraction(DayCounterON,SettlementDate,AF6,,,Trigger)</f>
        <v>1.3698630136986301E-2</v>
      </c>
      <c r="AH6" s="165">
        <f t="shared" si="0"/>
        <v>1.6215029880028728E-3</v>
      </c>
      <c r="AI6" s="165">
        <f t="shared" si="1"/>
        <v>1.8315266918765523E-3</v>
      </c>
      <c r="AJ6" s="135">
        <f t="shared" si="2"/>
        <v>1.8988635691417953E-3</v>
      </c>
    </row>
    <row r="7" spans="1:36" ht="12" thickBot="1" x14ac:dyDescent="0.25">
      <c r="A7" s="147">
        <f>A6+3</f>
        <v>6</v>
      </c>
      <c r="B7" s="147" t="s">
        <v>29</v>
      </c>
      <c r="C7" s="205">
        <f>C6+3</f>
        <v>9</v>
      </c>
      <c r="D7" s="265" t="str">
        <f>Currency&amp;A7&amp;B7&amp;C7&amp;"F"</f>
        <v>AUD6x9F</v>
      </c>
      <c r="E7" s="137">
        <f>F6</f>
        <v>42075</v>
      </c>
      <c r="F7" s="137">
        <f>_xll.qlCalendarAdvance(Calendar,E7,"3M","mf",,Trigger)</f>
        <v>42167</v>
      </c>
      <c r="G7" s="136" t="str">
        <f>_xll.qlMakeDatedOIS(,E7,F7,OvernightIndex,0,,,,EvaluationDate)</f>
        <v>obj_0026b#0000</v>
      </c>
      <c r="H7" s="137" t="b">
        <f>_xll.qlInstrumentSetPricingEngine(G7,OisEngine)</f>
        <v>1</v>
      </c>
      <c r="I7" s="138">
        <f>'1M Swaps'!R32</f>
        <v>2.567723632204208E-2</v>
      </c>
      <c r="J7" s="139">
        <f>_xll.qlOvernightIndexedSwapFairRate(G7,_xll.ohTrigger(H7,InterestRatesTrigger))</f>
        <v>2.4741007118972858E-2</v>
      </c>
      <c r="K7" s="158">
        <f>I7*_xll.qlDayCounterYearFraction(DayCounter6M,E7,F7,,,Trigger)</f>
        <v>6.4720705250078669E-3</v>
      </c>
      <c r="L7" s="158">
        <f>J7*_xll.qlDayCounterYearFraction(DayCounterOIS,E7,F7,,,Trigger)</f>
        <v>6.236089465604118E-3</v>
      </c>
      <c r="M7" s="169">
        <f t="shared" si="3"/>
        <v>2.3598105940374897E-4</v>
      </c>
      <c r="N7" s="169">
        <f t="shared" si="4"/>
        <v>2.3598105940374897E-4</v>
      </c>
      <c r="P7" s="168" t="b">
        <v>1</v>
      </c>
      <c r="W7" s="154"/>
      <c r="X7" s="210"/>
      <c r="Y7" s="155"/>
      <c r="AF7" s="164">
        <f>_xll.qlCalendarAdvance(Calendar,AF6,"1d","mf",,Trigger)</f>
        <v>41899</v>
      </c>
      <c r="AG7" s="175">
        <f>_xll.qlDayCounterYearFraction(DayCounterON,SettlementDate,AF7,,,Trigger)</f>
        <v>1.643835616438356E-2</v>
      </c>
      <c r="AH7" s="165">
        <f t="shared" si="0"/>
        <v>1.6215029880028728E-3</v>
      </c>
      <c r="AI7" s="165">
        <f t="shared" si="1"/>
        <v>1.8264658797350179E-3</v>
      </c>
      <c r="AJ7" s="135">
        <f t="shared" si="2"/>
        <v>1.8913755684381657E-3</v>
      </c>
    </row>
    <row r="8" spans="1:36" ht="18.75" customHeight="1" thickBot="1" x14ac:dyDescent="0.25">
      <c r="P8" s="264"/>
      <c r="W8" s="211" t="s">
        <v>76</v>
      </c>
      <c r="X8" s="210"/>
      <c r="Y8" s="155"/>
      <c r="AF8" s="164">
        <f>_xll.qlCalendarAdvance(Calendar,AF7,"1d","mf",,Trigger)</f>
        <v>41900</v>
      </c>
      <c r="AG8" s="175">
        <f>_xll.qlDayCounterYearFraction(DayCounterON,SettlementDate,AF8,,,Trigger)</f>
        <v>1.9178082191780823E-2</v>
      </c>
      <c r="AH8" s="165">
        <f t="shared" si="0"/>
        <v>1.6215029880028728E-3</v>
      </c>
      <c r="AI8" s="165">
        <f t="shared" si="1"/>
        <v>1.8214050675934834E-3</v>
      </c>
      <c r="AJ8" s="135">
        <f t="shared" si="2"/>
        <v>1.8839157362671717E-3</v>
      </c>
    </row>
    <row r="9" spans="1:36" x14ac:dyDescent="0.2">
      <c r="D9" s="141" t="s">
        <v>93</v>
      </c>
      <c r="E9" s="203" t="str">
        <f>Currency&amp;IborType&amp;"1M"</f>
        <v>AUDBBSW1M</v>
      </c>
      <c r="J9" s="141"/>
      <c r="K9" s="142"/>
      <c r="L9" s="142" t="s">
        <v>77</v>
      </c>
      <c r="M9" s="156" t="s">
        <v>78</v>
      </c>
      <c r="N9" s="143" t="s">
        <v>79</v>
      </c>
      <c r="P9" s="264"/>
      <c r="R9" s="355" t="s">
        <v>69</v>
      </c>
      <c r="S9" s="212"/>
      <c r="T9" s="148">
        <f t="array" ref="T9:T10">_xll.ohFilter(M10:M14,P12:P16)</f>
        <v>3.176205667104523E-2</v>
      </c>
      <c r="U9" s="150">
        <f t="array" ref="U9:U10">_xll.ohFilter(L10:L14,P12:P16)</f>
        <v>0.24931506849315072</v>
      </c>
      <c r="V9" s="357" t="s">
        <v>29</v>
      </c>
      <c r="W9" s="152">
        <f t="array" ref="W9:W10">MMULT(AA9:AB10,Y9:Y10)</f>
        <v>-1.8471964316600746E-3</v>
      </c>
      <c r="X9" s="357" t="s">
        <v>30</v>
      </c>
      <c r="Y9" s="133">
        <f t="array" ref="Y9:Y10">_xll.ohFilter(N3:N7,P3:P7)</f>
        <v>4.0426512851578483E-4</v>
      </c>
      <c r="AA9" s="148">
        <f t="array" ref="AA9:AB10">MINVERSE(T9:U10)</f>
        <v>-16.176917005646288</v>
      </c>
      <c r="AB9" s="150">
        <v>16.35666052793125</v>
      </c>
      <c r="AF9" s="164">
        <f>_xll.qlCalendarAdvance(Calendar,AF8,"1d","mf",,Trigger)</f>
        <v>41901</v>
      </c>
      <c r="AG9" s="175">
        <f>_xll.qlDayCounterYearFraction(DayCounterON,SettlementDate,AF9,,,Trigger)</f>
        <v>2.1917808219178082E-2</v>
      </c>
      <c r="AH9" s="165">
        <f t="shared" si="0"/>
        <v>1.6215029880028728E-3</v>
      </c>
      <c r="AI9" s="165">
        <f t="shared" si="1"/>
        <v>1.816344255451949E-3</v>
      </c>
      <c r="AJ9" s="135">
        <f t="shared" si="2"/>
        <v>1.8764840726288132E-3</v>
      </c>
    </row>
    <row r="10" spans="1:36" ht="11.25" customHeight="1" thickBot="1" x14ac:dyDescent="0.25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R10" s="355"/>
      <c r="S10" s="212"/>
      <c r="T10" s="148">
        <v>9.2550197035091E-2</v>
      </c>
      <c r="U10" s="150">
        <v>0.24657534246575341</v>
      </c>
      <c r="V10" s="357"/>
      <c r="W10" s="152">
        <v>1.8568307525842246E-3</v>
      </c>
      <c r="X10" s="357"/>
      <c r="Y10" s="133">
        <v>2.8689028500674101E-4</v>
      </c>
      <c r="AA10" s="148">
        <v>6.0718839171877841</v>
      </c>
      <c r="AB10" s="150">
        <v>-2.0837937384898719</v>
      </c>
      <c r="AF10" s="164">
        <f>_xll.qlCalendarAdvance(Calendar,AF9,"1d","mf",,Trigger)</f>
        <v>41904</v>
      </c>
      <c r="AG10" s="175">
        <f>_xll.qlDayCounterYearFraction(DayCounterON,SettlementDate,AF10,,,Trigger)</f>
        <v>3.0136986301369864E-2</v>
      </c>
      <c r="AH10" s="165">
        <f t="shared" si="0"/>
        <v>1.6215029880028728E-3</v>
      </c>
      <c r="AI10" s="165">
        <f t="shared" si="1"/>
        <v>1.8011618190273456E-3</v>
      </c>
      <c r="AJ10" s="135">
        <f t="shared" si="2"/>
        <v>1.8543580929095511E-3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143" t="s">
        <v>97</v>
      </c>
      <c r="W11" s="154"/>
      <c r="X11" s="210"/>
      <c r="Y11" s="155"/>
      <c r="AF11" s="164">
        <f>_xll.qlCalendarAdvance(Calendar,AF10,"1d","mf",,Trigger)</f>
        <v>41905</v>
      </c>
      <c r="AG11" s="175">
        <f>_xll.qlDayCounterYearFraction(DayCounterON,SettlementDate,AF11,,,Trigger)</f>
        <v>3.287671232876712E-2</v>
      </c>
      <c r="AH11" s="165">
        <f t="shared" si="0"/>
        <v>1.6215029880028728E-3</v>
      </c>
      <c r="AI11" s="165">
        <f t="shared" si="1"/>
        <v>1.7961010068858112E-3</v>
      </c>
      <c r="AJ11" s="135">
        <f t="shared" si="2"/>
        <v>1.8470391034017346E-3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0.25205479452054796</v>
      </c>
      <c r="L12" s="214">
        <f>K12-J12</f>
        <v>0.24931506849315072</v>
      </c>
      <c r="M12" s="214">
        <f>(K12^2-J12^2)/2</f>
        <v>3.176205667104523E-2</v>
      </c>
      <c r="N12" s="215">
        <f>(K12^3-J12^3)/3</f>
        <v>5.3378095730178049E-3</v>
      </c>
      <c r="P12" s="215" t="b">
        <f>P3</f>
        <v>0</v>
      </c>
      <c r="W12" s="209" t="s">
        <v>28</v>
      </c>
      <c r="X12" s="210"/>
      <c r="Y12" s="155"/>
      <c r="AF12" s="164">
        <f>_xll.qlCalendarAdvance(Calendar,AF11,"1d","mf",,Trigger)</f>
        <v>41906</v>
      </c>
      <c r="AG12" s="175">
        <f>_xll.qlDayCounterYearFraction(DayCounterON,SettlementDate,AF12,,,Trigger)</f>
        <v>3.5616438356164383E-2</v>
      </c>
      <c r="AH12" s="165">
        <f t="shared" si="0"/>
        <v>1.6215029880028728E-3</v>
      </c>
      <c r="AI12" s="165">
        <f t="shared" si="1"/>
        <v>1.7910401947442767E-3</v>
      </c>
      <c r="AJ12" s="135">
        <f t="shared" si="2"/>
        <v>1.8397482824265537E-3</v>
      </c>
    </row>
    <row r="13" spans="1:36" ht="11.25" customHeight="1" thickBot="1" x14ac:dyDescent="0.25">
      <c r="D13" s="159" t="s">
        <v>98</v>
      </c>
      <c r="E13" s="204" t="s">
        <v>63</v>
      </c>
      <c r="F13" s="129" t="s">
        <v>111</v>
      </c>
      <c r="G13" s="223" t="s">
        <v>96</v>
      </c>
      <c r="H13" s="208" t="str">
        <f>_xll.qlInterpolation(,E13,E5:E7,M5:M7)</f>
        <v>obj_00557#0000</v>
      </c>
      <c r="J13" s="213">
        <f>_xll.qlDayCounterYearFraction(DayCounterON,SettlementDate,E6,,,Trigger)</f>
        <v>0.25205479452054796</v>
      </c>
      <c r="K13" s="214">
        <f>_xll.qlDayCounterYearFraction(DayCounterON,SettlementDate,F6,,,Trigger)</f>
        <v>0.49863013698630138</v>
      </c>
      <c r="L13" s="214">
        <f>K13-J13</f>
        <v>0.24657534246575341</v>
      </c>
      <c r="M13" s="214">
        <f>(K13^2-J13^2)/2</f>
        <v>9.2550197035091E-2</v>
      </c>
      <c r="N13" s="215">
        <f>(K13^3-J13^3)/3</f>
        <v>3.598732189081711E-2</v>
      </c>
      <c r="P13" s="215" t="b">
        <f>P4</f>
        <v>0</v>
      </c>
      <c r="R13" s="228" t="s">
        <v>70</v>
      </c>
      <c r="U13" s="151">
        <f t="array" ref="U13">_xll.ohFilter(L10:L14,P12:P16)</f>
        <v>0.24931506849315072</v>
      </c>
      <c r="V13" s="228" t="s">
        <v>29</v>
      </c>
      <c r="W13" s="152">
        <f>MMULT(AA13,Y13)</f>
        <v>1.6215029880028728E-3</v>
      </c>
      <c r="X13" s="228" t="s">
        <v>30</v>
      </c>
      <c r="Y13" s="133">
        <f>_xll.ohFilter(N3:N7,P3:P7)</f>
        <v>4.0426512851578483E-4</v>
      </c>
      <c r="AA13" s="151">
        <f>MINVERSE(U13)</f>
        <v>4.0109890109890101</v>
      </c>
      <c r="AF13" s="164">
        <f>_xll.qlCalendarAdvance(Calendar,AF12,"1d","mf",,Trigger)</f>
        <v>41907</v>
      </c>
      <c r="AG13" s="175">
        <f>_xll.qlDayCounterYearFraction(DayCounterON,SettlementDate,AF13,,,Trigger)</f>
        <v>3.8356164383561646E-2</v>
      </c>
      <c r="AH13" s="165">
        <f t="shared" si="0"/>
        <v>1.6215029880028728E-3</v>
      </c>
      <c r="AI13" s="165">
        <f t="shared" si="1"/>
        <v>1.7859793826027423E-3</v>
      </c>
      <c r="AJ13" s="135">
        <f t="shared" si="2"/>
        <v>1.8324856299840086E-3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0.49863013698630138</v>
      </c>
      <c r="K14" s="217">
        <f>_xll.qlDayCounterYearFraction(DayCounterON,SettlementDate,F7,,,Trigger)</f>
        <v>0.75068493150684934</v>
      </c>
      <c r="L14" s="217">
        <f>K14-J14</f>
        <v>0.25205479452054796</v>
      </c>
      <c r="M14" s="217">
        <f>(K14^2-J14^2)/2</f>
        <v>0.1574479264402327</v>
      </c>
      <c r="N14" s="218">
        <f>(K14^3-J14^3)/3</f>
        <v>9.968548760936756E-2</v>
      </c>
      <c r="P14" s="215" t="b">
        <f>P5</f>
        <v>1</v>
      </c>
      <c r="AF14" s="164">
        <f>_xll.qlCalendarAdvance(Calendar,AF13,"1d","mf",,Trigger)</f>
        <v>41908</v>
      </c>
      <c r="AG14" s="175">
        <f>_xll.qlDayCounterYearFraction(DayCounterON,SettlementDate,AF14,,,Trigger)</f>
        <v>4.1095890410958902E-2</v>
      </c>
      <c r="AH14" s="165">
        <f t="shared" si="0"/>
        <v>1.6215029880028728E-3</v>
      </c>
      <c r="AI14" s="165">
        <f t="shared" si="1"/>
        <v>1.7809185704612078E-3</v>
      </c>
      <c r="AJ14" s="135">
        <f t="shared" si="2"/>
        <v>1.8252511460740987E-3</v>
      </c>
    </row>
    <row r="15" spans="1:36" ht="14.25" customHeight="1" thickBot="1" x14ac:dyDescent="0.25">
      <c r="P15" s="215" t="b">
        <f>P6</f>
        <v>1</v>
      </c>
      <c r="AF15" s="164">
        <f>_xll.qlCalendarAdvance(Calendar,AF14,"1d","mf",,Trigger)</f>
        <v>41911</v>
      </c>
      <c r="AG15" s="175">
        <f>_xll.qlDayCounterYearFraction(DayCounterON,SettlementDate,AF15,,,Trigger)</f>
        <v>4.9315068493150684E-2</v>
      </c>
      <c r="AH15" s="165">
        <f t="shared" si="0"/>
        <v>1.6215029880028728E-3</v>
      </c>
      <c r="AI15" s="165">
        <f t="shared" si="1"/>
        <v>1.7657361340366045E-3</v>
      </c>
      <c r="AJ15" s="135">
        <f t="shared" si="2"/>
        <v>1.8037167055401826E-3</v>
      </c>
    </row>
    <row r="16" spans="1:36" ht="11.25" customHeight="1" thickBot="1" x14ac:dyDescent="0.25">
      <c r="M16" s="219" t="s">
        <v>100</v>
      </c>
      <c r="N16" s="220"/>
      <c r="O16" s="221"/>
      <c r="P16" s="266" t="b">
        <f>P7</f>
        <v>1</v>
      </c>
      <c r="AF16" s="164">
        <f>_xll.qlCalendarAdvance(Calendar,AF15,"1d","mf",,Trigger)</f>
        <v>41912</v>
      </c>
      <c r="AG16" s="175">
        <f>_xll.qlDayCounterYearFraction(DayCounterON,SettlementDate,AF16,,,Trigger)</f>
        <v>5.2054794520547946E-2</v>
      </c>
      <c r="AH16" s="165">
        <f t="shared" si="0"/>
        <v>1.6215029880028728E-3</v>
      </c>
      <c r="AI16" s="165">
        <f t="shared" si="1"/>
        <v>1.76067532189507E-3</v>
      </c>
      <c r="AJ16" s="135">
        <f t="shared" si="2"/>
        <v>1.7965948957608148E-3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41913</v>
      </c>
      <c r="AG17" s="175">
        <f>_xll.qlDayCounterYearFraction(DayCounterON,SettlementDate,AF17,,,Trigger)</f>
        <v>5.4794520547945202E-2</v>
      </c>
      <c r="AH17" s="165">
        <f t="shared" si="0"/>
        <v>1.6215029880028728E-3</v>
      </c>
      <c r="AI17" s="165">
        <f t="shared" si="1"/>
        <v>1.7556145097535356E-3</v>
      </c>
      <c r="AJ17" s="135">
        <f t="shared" si="2"/>
        <v>1.7895012545140828E-3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41897</v>
      </c>
      <c r="F18" s="172">
        <f>_xll.qlCalendarAdvance(Calendar,E18,D18,"Following",,Trigger)</f>
        <v>41898</v>
      </c>
      <c r="G18" s="173" t="str">
        <f>_xll.qlMakeDatedOIS(,E18,F18,OvernightIndex,0,,,,EvaluationDate)</f>
        <v>obj_0025c#0000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2.4652903787512056E-2</v>
      </c>
      <c r="J18" s="214">
        <f>_xll.qlDayCounterYearFraction(DayCounterOIS,E18,F18,,,Trigger)</f>
        <v>2.7397260273972603E-3</v>
      </c>
      <c r="K18" s="214">
        <f>_xll.qlDayCounterYearFraction(DayCounter6M,E18,F18,,,Trigger)</f>
        <v>2.7397260273972603E-3</v>
      </c>
      <c r="L18" s="214">
        <f>_xll.qlDayCounterYearFraction(DayCounterON,E18,F18,,,Trigger)</f>
        <v>2.7397260273972603E-3</v>
      </c>
      <c r="M18" s="165">
        <f t="shared" ref="M18:M24" si="5">($I18*$J18+$W$13*L18)/$K18</f>
        <v>2.6274406775514934E-2</v>
      </c>
      <c r="N18" s="165">
        <f t="shared" ref="N18:N24" si="6">($I18*$J18+($W$10*L18+$W$9*L18^2/2))/$K18</f>
        <v>2.6507204134025516E-2</v>
      </c>
      <c r="O18" s="135">
        <f t="shared" ref="O18:O24" si="7">($I18*$J18+($W$5*L18+$W$4*L18^2/2+$W$3*L18^3/3))/$K18</f>
        <v>2.658581311910041E-2</v>
      </c>
      <c r="P18" s="146"/>
      <c r="AF18" s="164">
        <f>_xll.qlCalendarAdvance(Calendar,AF17,"1d","mf",,Trigger)</f>
        <v>41914</v>
      </c>
      <c r="AG18" s="175">
        <f>_xll.qlDayCounterYearFraction(DayCounterON,SettlementDate,AF18,,,Trigger)</f>
        <v>5.7534246575342465E-2</v>
      </c>
      <c r="AH18" s="165">
        <f t="shared" si="0"/>
        <v>1.6215029880028728E-3</v>
      </c>
      <c r="AI18" s="165">
        <f t="shared" si="1"/>
        <v>1.7505536976120011E-3</v>
      </c>
      <c r="AJ18" s="135">
        <f t="shared" si="2"/>
        <v>1.7824357817999863E-3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41897</v>
      </c>
      <c r="F19" s="174">
        <f>_xll.qlCalendarAdvance(Calendar,E19,D19,"Following",,Trigger)</f>
        <v>41904</v>
      </c>
      <c r="G19" s="175" t="str">
        <f>_xll.qlMakeDatedOIS(,E19,F19,OvernightIndex,0,,,,EvaluationDate)</f>
        <v>obj_00259#0000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2.4653753965291663E-2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 t="shared" si="5"/>
        <v>2.6275256953294534E-2</v>
      </c>
      <c r="N19" s="165">
        <f t="shared" si="6"/>
        <v>2.6492871875380516E-2</v>
      </c>
      <c r="O19" s="135">
        <f t="shared" si="7"/>
        <v>2.6563959862241724E-2</v>
      </c>
      <c r="P19" s="146"/>
      <c r="AF19" s="164">
        <f>_xll.qlCalendarAdvance(Calendar,AF18,"1d","mf",,Trigger)</f>
        <v>41915</v>
      </c>
      <c r="AG19" s="175">
        <f>_xll.qlDayCounterYearFraction(DayCounterON,SettlementDate,AF19,,,Trigger)</f>
        <v>6.0273972602739728E-2</v>
      </c>
      <c r="AH19" s="165">
        <f t="shared" si="0"/>
        <v>1.6215029880028728E-3</v>
      </c>
      <c r="AI19" s="165">
        <f t="shared" si="1"/>
        <v>1.7454928854704667E-3</v>
      </c>
      <c r="AJ19" s="135">
        <f t="shared" si="2"/>
        <v>1.7753984776185251E-3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41897</v>
      </c>
      <c r="F20" s="174">
        <f>_xll.qlCalendarAdvance(Calendar,E20,D20,"Following",,Trigger)</f>
        <v>41911</v>
      </c>
      <c r="G20" s="175" t="str">
        <f>_xll.qlMakeDatedOIS(,E20,F20,OvernightIndex,0,,,,EvaluationDate)</f>
        <v>obj_0025f#0000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2.4653625524633554E-2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si="5"/>
        <v>2.6275128512636425E-2</v>
      </c>
      <c r="N20" s="165">
        <f t="shared" si="6"/>
        <v>2.6475030592227038E-2</v>
      </c>
      <c r="O20" s="135">
        <f t="shared" si="7"/>
        <v>2.6537771303917247E-2</v>
      </c>
      <c r="P20" s="146"/>
      <c r="AF20" s="164">
        <f>_xll.qlCalendarAdvance(Calendar,AF19,"1d","mf",,Trigger)</f>
        <v>41919</v>
      </c>
      <c r="AG20" s="175">
        <f>_xll.qlDayCounterYearFraction(DayCounterON,SettlementDate,AF20,,,Trigger)</f>
        <v>7.1232876712328766E-2</v>
      </c>
      <c r="AH20" s="165">
        <f t="shared" si="0"/>
        <v>1.6215029880028728E-3</v>
      </c>
      <c r="AI20" s="165">
        <f t="shared" si="1"/>
        <v>1.7252496369043289E-3</v>
      </c>
      <c r="AJ20" s="135">
        <f t="shared" si="2"/>
        <v>1.7475309462190362E-3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41897</v>
      </c>
      <c r="F21" s="174">
        <f>_xll.qlCalendarAdvance(Calendar,E21,D21,"Following",,Trigger)</f>
        <v>41919</v>
      </c>
      <c r="G21" s="175" t="str">
        <f>_xll.qlMakeDatedOIS(,E21,F21,OvernightIndex,0,,,,EvaluationDate)</f>
        <v>obj_0025e#0000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2.4653150513849604E-2</v>
      </c>
      <c r="J21" s="214">
        <f>_xll.qlDayCounterYearFraction(DayCounterOIS,E21,F21,,,Trigger)</f>
        <v>6.0273972602739728E-2</v>
      </c>
      <c r="K21" s="214">
        <f>_xll.qlDayCounterYearFraction(DayCounter6M,E21,F21,,,Trigger)</f>
        <v>6.0273972602739728E-2</v>
      </c>
      <c r="L21" s="214">
        <f>_xll.qlDayCounterYearFraction(DayCounterON,E21,F21,,,Trigger)</f>
        <v>6.0273972602739728E-2</v>
      </c>
      <c r="M21" s="165">
        <f t="shared" si="5"/>
        <v>2.6274653501852475E-2</v>
      </c>
      <c r="N21" s="165">
        <f t="shared" si="6"/>
        <v>2.6454312332876949E-2</v>
      </c>
      <c r="O21" s="135">
        <f t="shared" si="7"/>
        <v>2.6508076672167303E-2</v>
      </c>
      <c r="P21" s="146"/>
      <c r="AF21" s="164">
        <f>_xll.qlCalendarAdvance(Calendar,AF20,"1d","mf",,Trigger)</f>
        <v>41920</v>
      </c>
      <c r="AG21" s="175">
        <f>_xll.qlDayCounterYearFraction(DayCounterON,SettlementDate,AF21,,,Trigger)</f>
        <v>7.3972602739726029E-2</v>
      </c>
      <c r="AH21" s="165">
        <f t="shared" si="0"/>
        <v>1.6215029880028728E-3</v>
      </c>
      <c r="AI21" s="165">
        <f t="shared" si="1"/>
        <v>1.7201888247627944E-3</v>
      </c>
      <c r="AJ21" s="135">
        <f t="shared" si="2"/>
        <v>1.7406344847007529E-3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41897</v>
      </c>
      <c r="F22" s="174">
        <f>_xll.qlCalendarAdvance(Calendar,E22,D22,"Following",,Trigger)</f>
        <v>41927</v>
      </c>
      <c r="G22" s="175" t="str">
        <f>_xll.qlMakeDatedOIS(,E22,F22,OvernightIndex,0,,,,EvaluationDate)</f>
        <v>obj_00260#0000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2.4652428262607273E-2</v>
      </c>
      <c r="J22" s="214">
        <f>_xll.qlDayCounterYearFraction(DayCounterOIS,E22,F22,,,Trigger)</f>
        <v>8.2191780821917804E-2</v>
      </c>
      <c r="K22" s="214">
        <f>_xll.qlDayCounterYearFraction(DayCounter6M,E22,F22,,,Trigger)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2.6273931250610148E-2</v>
      </c>
      <c r="N22" s="165">
        <f t="shared" si="6"/>
        <v>2.6433346833068482E-2</v>
      </c>
      <c r="O22" s="135">
        <f t="shared" si="7"/>
        <v>2.6478735728655209E-2</v>
      </c>
      <c r="P22" s="146"/>
      <c r="AF22" s="164">
        <f>_xll.qlCalendarAdvance(Calendar,AF21,"1d","mf",,Trigger)</f>
        <v>41921</v>
      </c>
      <c r="AG22" s="175">
        <f>_xll.qlDayCounterYearFraction(DayCounterON,SettlementDate,AF22,,,Trigger)</f>
        <v>7.6712328767123292E-2</v>
      </c>
      <c r="AH22" s="165">
        <f t="shared" si="0"/>
        <v>1.6215029880028728E-3</v>
      </c>
      <c r="AI22" s="165">
        <f t="shared" si="1"/>
        <v>1.7151280126212599E-3</v>
      </c>
      <c r="AJ22" s="135">
        <f t="shared" si="2"/>
        <v>1.733766191715105E-3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41897</v>
      </c>
      <c r="F23" s="174">
        <f>_xll.qlCalendarAdvance(Calendar,E23,D23,"Following",,Trigger)</f>
        <v>41960</v>
      </c>
      <c r="G23" s="175" t="str">
        <f>_xll.qlMakeDatedOIS(,E23,F23,OvernightIndex,0,,,,EvaluationDate)</f>
        <v>obj_0025a#0000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2.4653468749657702E-2</v>
      </c>
      <c r="J23" s="214">
        <f>_xll.qlDayCounterYearFraction(DayCounterOIS,E23,F23,,,Trigger)</f>
        <v>0.17260273972602741</v>
      </c>
      <c r="K23" s="214">
        <f>_xll.qlDayCounterYearFraction(DayCounter6M,E23,F23,,,Trigger)</f>
        <v>0.17260273972602741</v>
      </c>
      <c r="L23" s="214">
        <f>_xll.qlDayCounterYearFraction(DayCounterON,E23,F23,,,Trigger)</f>
        <v>0.17260273972602741</v>
      </c>
      <c r="M23" s="165">
        <f t="shared" si="5"/>
        <v>2.6274971737660573E-2</v>
      </c>
      <c r="N23" s="165">
        <f t="shared" si="6"/>
        <v>2.6350883919783592E-2</v>
      </c>
      <c r="O23" s="135">
        <f t="shared" si="7"/>
        <v>2.6368076114202145E-2</v>
      </c>
      <c r="P23" s="146"/>
      <c r="AF23" s="164">
        <f>_xll.qlCalendarAdvance(Calendar,AF22,"1d","mf",,Trigger)</f>
        <v>41922</v>
      </c>
      <c r="AG23" s="175">
        <f>_xll.qlDayCounterYearFraction(DayCounterON,SettlementDate,AF23,,,Trigger)</f>
        <v>7.9452054794520555E-2</v>
      </c>
      <c r="AH23" s="165">
        <f t="shared" si="0"/>
        <v>1.6215029880028728E-3</v>
      </c>
      <c r="AI23" s="165">
        <f t="shared" si="1"/>
        <v>1.7100672004797255E-3</v>
      </c>
      <c r="AJ23" s="135">
        <f t="shared" si="2"/>
        <v>1.7269260672620928E-3</v>
      </c>
    </row>
    <row r="24" spans="4:36" ht="11.25" customHeight="1" thickBot="1" x14ac:dyDescent="0.25">
      <c r="D24" s="179" t="s">
        <v>33</v>
      </c>
      <c r="E24" s="137">
        <f>_xll.qlCalendarAdvance(Calendar,SettlementDate,"2D","f",,Trigger)</f>
        <v>41897</v>
      </c>
      <c r="F24" s="176">
        <f>_xll.qlCalendarAdvance(Calendar,E24,D24,"Following",,Trigger)</f>
        <v>41988</v>
      </c>
      <c r="G24" s="177" t="str">
        <f>_xll.qlMakeDatedOIS(,E24,F24,OvernightIndex,0,,,,EvaluationDate)</f>
        <v>obj_0025b#0000</v>
      </c>
      <c r="H24" s="201" t="b">
        <f>_xll.qlInstrumentSetPricingEngine(G24,OisEngine)</f>
        <v>1</v>
      </c>
      <c r="I24" s="139">
        <f>_xll.qlOvernightIndexedSwapFairRate(G24,_xll.ohTrigger(InterestRatesTrigger))</f>
        <v>2.4651142045476287E-2</v>
      </c>
      <c r="J24" s="217">
        <f>_xll.qlDayCounterYearFraction(DayCounterOIS,E24,F24,,,Trigger)</f>
        <v>0.24931506849315069</v>
      </c>
      <c r="K24" s="217">
        <f>_xll.qlDayCounterYearFraction(DayCounter6M,E24,F24,,,Trigger)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2.6272645033479158E-2</v>
      </c>
      <c r="N24" s="167">
        <f t="shared" si="6"/>
        <v>2.6277705845620693E-2</v>
      </c>
      <c r="O24" s="140">
        <f t="shared" si="7"/>
        <v>2.627899220861105E-2</v>
      </c>
      <c r="P24" s="146"/>
      <c r="AF24" s="164">
        <f>_xll.qlCalendarAdvance(Calendar,AF23,"1d","mf",,Trigger)</f>
        <v>41925</v>
      </c>
      <c r="AG24" s="175">
        <f>_xll.qlDayCounterYearFraction(DayCounterON,SettlementDate,AF24,,,Trigger)</f>
        <v>8.7671232876712329E-2</v>
      </c>
      <c r="AH24" s="165">
        <f t="shared" si="0"/>
        <v>1.6215029880028728E-3</v>
      </c>
      <c r="AI24" s="165">
        <f t="shared" si="1"/>
        <v>1.6948847640551221E-3</v>
      </c>
      <c r="AJ24" s="135">
        <f t="shared" si="2"/>
        <v>1.706574705098869E-3</v>
      </c>
    </row>
    <row r="25" spans="4:36" x14ac:dyDescent="0.2">
      <c r="P25" s="146"/>
      <c r="AF25" s="164">
        <f>_xll.qlCalendarAdvance(Calendar,AF24,"1d","mf",,Trigger)</f>
        <v>41926</v>
      </c>
      <c r="AG25" s="175">
        <f>_xll.qlDayCounterYearFraction(DayCounterON,SettlementDate,AF25,,,Trigger)</f>
        <v>9.0410958904109592E-2</v>
      </c>
      <c r="AH25" s="165">
        <f t="shared" si="0"/>
        <v>1.6215029880028728E-3</v>
      </c>
      <c r="AI25" s="165">
        <f t="shared" si="1"/>
        <v>1.6898239519135877E-3</v>
      </c>
      <c r="AJ25" s="135">
        <f t="shared" si="2"/>
        <v>1.6998472547763988E-3</v>
      </c>
    </row>
    <row r="26" spans="4:36" x14ac:dyDescent="0.2">
      <c r="P26" s="146"/>
      <c r="AF26" s="164">
        <f>_xll.qlCalendarAdvance(Calendar,AF25,"1d","mf",,Trigger)</f>
        <v>41927</v>
      </c>
      <c r="AG26" s="175">
        <f>_xll.qlDayCounterYearFraction(DayCounterON,SettlementDate,AF26,,,Trigger)</f>
        <v>9.3150684931506855E-2</v>
      </c>
      <c r="AH26" s="165">
        <f t="shared" si="0"/>
        <v>1.6215029880028728E-3</v>
      </c>
      <c r="AI26" s="165">
        <f t="shared" si="1"/>
        <v>1.6847631397720532E-3</v>
      </c>
      <c r="AJ26" s="135">
        <f t="shared" si="2"/>
        <v>1.6931479729865642E-3</v>
      </c>
    </row>
    <row r="27" spans="4:36" x14ac:dyDescent="0.2">
      <c r="P27" s="146"/>
      <c r="AF27" s="164">
        <f>_xll.qlCalendarAdvance(Calendar,AF26,"1d","mf",,Trigger)</f>
        <v>41928</v>
      </c>
      <c r="AG27" s="175">
        <f>_xll.qlDayCounterYearFraction(DayCounterON,SettlementDate,AF27,,,Trigger)</f>
        <v>9.5890410958904104E-2</v>
      </c>
      <c r="AH27" s="165">
        <f t="shared" si="0"/>
        <v>1.6215029880028728E-3</v>
      </c>
      <c r="AI27" s="165">
        <f t="shared" si="1"/>
        <v>1.6797023276305188E-3</v>
      </c>
      <c r="AJ27" s="135">
        <f t="shared" si="2"/>
        <v>1.6864768597293651E-3</v>
      </c>
    </row>
    <row r="28" spans="4:36" x14ac:dyDescent="0.2">
      <c r="P28" s="146"/>
      <c r="AF28" s="164">
        <f>_xll.qlCalendarAdvance(Calendar,AF27,"1d","mf",,Trigger)</f>
        <v>41929</v>
      </c>
      <c r="AG28" s="175">
        <f>_xll.qlDayCounterYearFraction(DayCounterON,SettlementDate,AF28,,,Trigger)</f>
        <v>9.8630136986301367E-2</v>
      </c>
      <c r="AH28" s="165">
        <f t="shared" si="0"/>
        <v>1.6215029880028728E-3</v>
      </c>
      <c r="AI28" s="165">
        <f t="shared" si="1"/>
        <v>1.6746415154889843E-3</v>
      </c>
      <c r="AJ28" s="135">
        <f t="shared" si="2"/>
        <v>1.6798339150048015E-3</v>
      </c>
    </row>
    <row r="29" spans="4:36" ht="12" thickBot="1" x14ac:dyDescent="0.25">
      <c r="P29" s="146"/>
      <c r="AF29" s="164">
        <f>_xll.qlCalendarAdvance(Calendar,AF28,"1d","mf",,Trigger)</f>
        <v>41932</v>
      </c>
      <c r="AG29" s="175">
        <f>_xll.qlDayCounterYearFraction(DayCounterON,SettlementDate,AF29,,,Trigger)</f>
        <v>0.10684931506849316</v>
      </c>
      <c r="AH29" s="165">
        <f t="shared" si="0"/>
        <v>1.6215029880028728E-3</v>
      </c>
      <c r="AI29" s="165">
        <f t="shared" si="1"/>
        <v>1.659459079064381E-3</v>
      </c>
      <c r="AJ29" s="135">
        <f t="shared" si="2"/>
        <v>1.6600740920269239E-3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41933</v>
      </c>
      <c r="AG30" s="175">
        <f>_xll.qlDayCounterYearFraction(DayCounterON,SettlementDate,AF30,,,Trigger)</f>
        <v>0.1095890410958904</v>
      </c>
      <c r="AH30" s="165">
        <f t="shared" si="0"/>
        <v>1.6215029880028728E-3</v>
      </c>
      <c r="AI30" s="165">
        <f t="shared" si="1"/>
        <v>1.6543982669228465E-3</v>
      </c>
      <c r="AJ30" s="135">
        <f t="shared" si="2"/>
        <v>1.6535438214329025E-3</v>
      </c>
    </row>
    <row r="31" spans="4:36" x14ac:dyDescent="0.2">
      <c r="D31" s="226" t="s">
        <v>68</v>
      </c>
      <c r="AF31" s="164">
        <f>_xll.qlCalendarAdvance(Calendar,AF30,"1d","mf",,Trigger)</f>
        <v>41934</v>
      </c>
      <c r="AG31" s="175">
        <f>_xll.qlDayCounterYearFraction(DayCounterON,SettlementDate,AF31,,,Trigger)</f>
        <v>0.11232876712328767</v>
      </c>
      <c r="AH31" s="165">
        <f t="shared" si="0"/>
        <v>1.6215029880028728E-3</v>
      </c>
      <c r="AI31" s="165">
        <f t="shared" si="1"/>
        <v>1.6493374547813121E-3</v>
      </c>
      <c r="AJ31" s="135">
        <f t="shared" si="2"/>
        <v>1.6470417193715167E-3</v>
      </c>
    </row>
    <row r="32" spans="4:36" x14ac:dyDescent="0.2">
      <c r="D32" s="165">
        <f t="shared" ref="D32:D38" si="8">IF($D$31="FLAT",M18,IF($D$31="linear",N18,O18))</f>
        <v>2.658581311910041E-2</v>
      </c>
      <c r="AF32" s="164">
        <f>_xll.qlCalendarAdvance(Calendar,AF31,"1d","mf",,Trigger)</f>
        <v>41935</v>
      </c>
      <c r="AG32" s="175">
        <f>_xll.qlDayCounterYearFraction(DayCounterON,SettlementDate,AF32,,,Trigger)</f>
        <v>0.11506849315068493</v>
      </c>
      <c r="AH32" s="165">
        <f t="shared" si="0"/>
        <v>1.6215029880028728E-3</v>
      </c>
      <c r="AI32" s="165">
        <f t="shared" si="1"/>
        <v>1.6442766426397776E-3</v>
      </c>
      <c r="AJ32" s="135">
        <f t="shared" si="2"/>
        <v>1.6405677858427662E-3</v>
      </c>
    </row>
    <row r="33" spans="4:36" x14ac:dyDescent="0.2">
      <c r="D33" s="165">
        <f t="shared" si="8"/>
        <v>2.6563959862241724E-2</v>
      </c>
      <c r="AF33" s="164">
        <f>_xll.qlCalendarAdvance(Calendar,AF32,"1d","mf",,Trigger)</f>
        <v>41936</v>
      </c>
      <c r="AG33" s="175">
        <f>_xll.qlDayCounterYearFraction(DayCounterON,SettlementDate,AF33,,,Trigger)</f>
        <v>0.11780821917808219</v>
      </c>
      <c r="AH33" s="165">
        <f t="shared" si="0"/>
        <v>1.6215029880028728E-3</v>
      </c>
      <c r="AI33" s="165">
        <f t="shared" si="1"/>
        <v>1.6392158304982432E-3</v>
      </c>
      <c r="AJ33" s="135">
        <f t="shared" si="2"/>
        <v>1.6341220208466515E-3</v>
      </c>
    </row>
    <row r="34" spans="4:36" x14ac:dyDescent="0.2">
      <c r="D34" s="165">
        <f t="shared" si="8"/>
        <v>2.6537771303917247E-2</v>
      </c>
      <c r="AF34" s="164">
        <f>_xll.qlCalendarAdvance(Calendar,AF33,"1d","mf",,Trigger)</f>
        <v>41939</v>
      </c>
      <c r="AG34" s="175">
        <f>_xll.qlDayCounterYearFraction(DayCounterON,SettlementDate,AF34,,,Trigger)</f>
        <v>0.12602739726027398</v>
      </c>
      <c r="AH34" s="165">
        <f t="shared" si="0"/>
        <v>1.6215029880028728E-3</v>
      </c>
      <c r="AI34" s="165">
        <f t="shared" si="1"/>
        <v>1.6240333940736398E-3</v>
      </c>
      <c r="AJ34" s="135">
        <f t="shared" si="2"/>
        <v>1.6149537370541201E-3</v>
      </c>
    </row>
    <row r="35" spans="4:36" x14ac:dyDescent="0.2">
      <c r="D35" s="165">
        <f t="shared" si="8"/>
        <v>2.6508076672167303E-2</v>
      </c>
      <c r="AF35" s="164">
        <f>_xll.qlCalendarAdvance(Calendar,AF34,"1d","mf",,Trigger)</f>
        <v>41940</v>
      </c>
      <c r="AG35" s="175">
        <f>_xll.qlDayCounterYearFraction(DayCounterON,SettlementDate,AF35,,,Trigger)</f>
        <v>0.12876712328767123</v>
      </c>
      <c r="AH35" s="165">
        <f t="shared" si="0"/>
        <v>1.6215029880028728E-3</v>
      </c>
      <c r="AI35" s="165">
        <f t="shared" si="1"/>
        <v>1.6189725819321054E-3</v>
      </c>
      <c r="AJ35" s="135">
        <f t="shared" si="2"/>
        <v>1.6086206461885474E-3</v>
      </c>
    </row>
    <row r="36" spans="4:36" x14ac:dyDescent="0.2">
      <c r="D36" s="165">
        <f t="shared" si="8"/>
        <v>2.6478735728655209E-2</v>
      </c>
      <c r="AF36" s="164">
        <f>_xll.qlCalendarAdvance(Calendar,AF35,"1d","mf",,Trigger)</f>
        <v>41941</v>
      </c>
      <c r="AG36" s="175">
        <f>_xll.qlDayCounterYearFraction(DayCounterON,SettlementDate,AF36,,,Trigger)</f>
        <v>0.13150684931506848</v>
      </c>
      <c r="AH36" s="165">
        <f t="shared" si="0"/>
        <v>1.6215029880028728E-3</v>
      </c>
      <c r="AI36" s="165">
        <f t="shared" si="1"/>
        <v>1.6139117697905709E-3</v>
      </c>
      <c r="AJ36" s="135">
        <f t="shared" si="2"/>
        <v>1.6023157238556102E-3</v>
      </c>
    </row>
    <row r="37" spans="4:36" x14ac:dyDescent="0.2">
      <c r="D37" s="165">
        <f t="shared" si="8"/>
        <v>2.6368076114202145E-2</v>
      </c>
      <c r="AF37" s="164">
        <f>_xll.qlCalendarAdvance(Calendar,AF36,"1d","mf",,Trigger)</f>
        <v>41942</v>
      </c>
      <c r="AG37" s="175">
        <f>_xll.qlDayCounterYearFraction(DayCounterON,SettlementDate,AF37,,,Trigger)</f>
        <v>0.13424657534246576</v>
      </c>
      <c r="AH37" s="165">
        <f t="shared" si="0"/>
        <v>1.6215029880028728E-3</v>
      </c>
      <c r="AI37" s="165">
        <f t="shared" si="1"/>
        <v>1.6088509576490365E-3</v>
      </c>
      <c r="AJ37" s="135">
        <f t="shared" si="2"/>
        <v>1.5960389700553084E-3</v>
      </c>
    </row>
    <row r="38" spans="4:36" x14ac:dyDescent="0.2">
      <c r="D38" s="227">
        <f t="shared" si="8"/>
        <v>2.627899220861105E-2</v>
      </c>
      <c r="AF38" s="164">
        <f>_xll.qlCalendarAdvance(Calendar,AF37,"1d","mf",,Trigger)</f>
        <v>41943</v>
      </c>
      <c r="AG38" s="175">
        <f>_xll.qlDayCounterYearFraction(DayCounterON,SettlementDate,AF38,,,Trigger)</f>
        <v>0.13698630136986301</v>
      </c>
      <c r="AH38" s="165">
        <f t="shared" si="0"/>
        <v>1.6215029880028728E-3</v>
      </c>
      <c r="AI38" s="165">
        <f t="shared" si="1"/>
        <v>1.603790145507502E-3</v>
      </c>
      <c r="AJ38" s="135">
        <f t="shared" si="2"/>
        <v>1.5897903847876423E-3</v>
      </c>
    </row>
    <row r="39" spans="4:36" x14ac:dyDescent="0.2">
      <c r="AF39" s="164">
        <f>_xll.qlCalendarAdvance(Calendar,AF38,"1d","mf",,Trigger)</f>
        <v>41946</v>
      </c>
      <c r="AG39" s="175">
        <f>_xll.qlDayCounterYearFraction(DayCounterON,SettlementDate,AF39,,,Trigger)</f>
        <v>0.14520547945205478</v>
      </c>
      <c r="AH39" s="165">
        <f t="shared" si="0"/>
        <v>1.6215029880028728E-3</v>
      </c>
      <c r="AI39" s="165">
        <f t="shared" si="1"/>
        <v>1.5886077090828989E-3</v>
      </c>
      <c r="AJ39" s="135">
        <f t="shared" si="2"/>
        <v>1.5712136401804574E-3</v>
      </c>
    </row>
    <row r="40" spans="4:36" x14ac:dyDescent="0.2">
      <c r="AF40" s="164">
        <f>_xll.qlCalendarAdvance(Calendar,AF39,"1d","mf",,Trigger)</f>
        <v>41947</v>
      </c>
      <c r="AG40" s="175">
        <f>_xll.qlDayCounterYearFraction(DayCounterON,SettlementDate,AF40,,,Trigger)</f>
        <v>0.14794520547945206</v>
      </c>
      <c r="AH40" s="165">
        <f t="shared" si="0"/>
        <v>1.6215029880028728E-3</v>
      </c>
      <c r="AI40" s="165">
        <f t="shared" si="1"/>
        <v>1.5835468969413642E-3</v>
      </c>
      <c r="AJ40" s="135">
        <f t="shared" si="2"/>
        <v>1.5650777290433331E-3</v>
      </c>
    </row>
    <row r="41" spans="4:36" x14ac:dyDescent="0.2">
      <c r="AF41" s="164">
        <f>_xll.qlCalendarAdvance(Calendar,AF40,"1d","mf",,Trigger)</f>
        <v>41948</v>
      </c>
      <c r="AG41" s="175">
        <f>_xll.qlDayCounterYearFraction(DayCounterON,SettlementDate,AF41,,,Trigger)</f>
        <v>0.15068493150684931</v>
      </c>
      <c r="AH41" s="165">
        <f t="shared" si="0"/>
        <v>1.6215029880028728E-3</v>
      </c>
      <c r="AI41" s="165">
        <f t="shared" si="1"/>
        <v>1.5784860847998297E-3</v>
      </c>
      <c r="AJ41" s="135">
        <f t="shared" si="2"/>
        <v>1.558969986438845E-3</v>
      </c>
    </row>
    <row r="42" spans="4:36" x14ac:dyDescent="0.2">
      <c r="AF42" s="164">
        <f>_xll.qlCalendarAdvance(Calendar,AF41,"1d","mf",,Trigger)</f>
        <v>41949</v>
      </c>
      <c r="AG42" s="175">
        <f>_xll.qlDayCounterYearFraction(DayCounterON,SettlementDate,AF42,,,Trigger)</f>
        <v>0.15342465753424658</v>
      </c>
      <c r="AH42" s="165">
        <f t="shared" si="0"/>
        <v>1.6215029880028728E-3</v>
      </c>
      <c r="AI42" s="165">
        <f t="shared" si="1"/>
        <v>1.5734252726582953E-3</v>
      </c>
      <c r="AJ42" s="135">
        <f t="shared" si="2"/>
        <v>1.5528904123669918E-3</v>
      </c>
    </row>
    <row r="43" spans="4:36" ht="11.25" customHeight="1" x14ac:dyDescent="0.2">
      <c r="AF43" s="164">
        <f>_xll.qlCalendarAdvance(Calendar,AF42,"1d","mf",,Trigger)</f>
        <v>41950</v>
      </c>
      <c r="AG43" s="175">
        <f>_xll.qlDayCounterYearFraction(DayCounterON,SettlementDate,AF43,,,Trigger)</f>
        <v>0.15616438356164383</v>
      </c>
      <c r="AH43" s="165">
        <f t="shared" si="0"/>
        <v>1.6215029880028728E-3</v>
      </c>
      <c r="AI43" s="165">
        <f t="shared" si="1"/>
        <v>1.5683644605167608E-3</v>
      </c>
      <c r="AJ43" s="135">
        <f t="shared" si="2"/>
        <v>1.5468390068277746E-3</v>
      </c>
    </row>
    <row r="44" spans="4:36" x14ac:dyDescent="0.2">
      <c r="AF44" s="164">
        <f>_xll.qlCalendarAdvance(Calendar,AF43,"1d","mf",,Trigger)</f>
        <v>41953</v>
      </c>
      <c r="AG44" s="175">
        <f>_xll.qlDayCounterYearFraction(DayCounterON,SettlementDate,AF44,,,Trigger)</f>
        <v>0.16438356164383561</v>
      </c>
      <c r="AH44" s="165">
        <f t="shared" si="0"/>
        <v>1.6215029880028728E-3</v>
      </c>
      <c r="AI44" s="165">
        <f t="shared" si="1"/>
        <v>1.5531820240921577E-3</v>
      </c>
      <c r="AJ44" s="135">
        <f t="shared" si="2"/>
        <v>1.5288538014059357E-3</v>
      </c>
    </row>
    <row r="45" spans="4:36" x14ac:dyDescent="0.2">
      <c r="N45" s="224"/>
      <c r="AF45" s="164">
        <f>_xll.qlCalendarAdvance(Calendar,AF44,"1d","mf",,Trigger)</f>
        <v>41954</v>
      </c>
      <c r="AG45" s="175">
        <f>_xll.qlDayCounterYearFraction(DayCounterON,SettlementDate,AF45,,,Trigger)</f>
        <v>0.16712328767123288</v>
      </c>
      <c r="AH45" s="165">
        <f t="shared" si="0"/>
        <v>1.6215029880028728E-3</v>
      </c>
      <c r="AI45" s="165">
        <f t="shared" si="1"/>
        <v>1.548121211950623E-3</v>
      </c>
      <c r="AJ45" s="135">
        <f t="shared" si="2"/>
        <v>1.5229150699972605E-3</v>
      </c>
    </row>
    <row r="46" spans="4:36" x14ac:dyDescent="0.2">
      <c r="J46" s="146"/>
      <c r="K46" s="146"/>
      <c r="N46" s="224"/>
      <c r="AF46" s="164">
        <f>_xll.qlCalendarAdvance(Calendar,AF45,"1d","mf",,Trigger)</f>
        <v>41955</v>
      </c>
      <c r="AG46" s="175">
        <f>_xll.qlDayCounterYearFraction(DayCounterON,SettlementDate,AF46,,,Trigger)</f>
        <v>0.16986301369863013</v>
      </c>
      <c r="AH46" s="165">
        <f t="shared" si="0"/>
        <v>1.6215029880028728E-3</v>
      </c>
      <c r="AI46" s="165">
        <f t="shared" si="1"/>
        <v>1.5430603998090886E-3</v>
      </c>
      <c r="AJ46" s="135">
        <f t="shared" si="2"/>
        <v>1.5170045071212206E-3</v>
      </c>
    </row>
    <row r="47" spans="4:36" x14ac:dyDescent="0.2">
      <c r="N47" s="224"/>
      <c r="AF47" s="164">
        <f>_xll.qlCalendarAdvance(Calendar,AF46,"1d","mf",,Trigger)</f>
        <v>41956</v>
      </c>
      <c r="AG47" s="175">
        <f>_xll.qlDayCounterYearFraction(DayCounterON,SettlementDate,AF47,,,Trigger)</f>
        <v>0.17260273972602741</v>
      </c>
      <c r="AH47" s="165">
        <f t="shared" si="0"/>
        <v>1.6215029880028728E-3</v>
      </c>
      <c r="AI47" s="165">
        <f t="shared" si="1"/>
        <v>1.5379995876675541E-3</v>
      </c>
      <c r="AJ47" s="135">
        <f t="shared" si="2"/>
        <v>1.5111221127778165E-3</v>
      </c>
    </row>
    <row r="48" spans="4:36" x14ac:dyDescent="0.2">
      <c r="N48" s="224"/>
      <c r="AF48" s="164">
        <f>_xll.qlCalendarAdvance(Calendar,AF47,"1d","mf",,Trigger)</f>
        <v>41957</v>
      </c>
      <c r="AG48" s="175">
        <f>_xll.qlDayCounterYearFraction(DayCounterON,SettlementDate,AF48,,,Trigger)</f>
        <v>0.17534246575342466</v>
      </c>
      <c r="AH48" s="165">
        <f t="shared" si="0"/>
        <v>1.6215029880028728E-3</v>
      </c>
      <c r="AI48" s="165">
        <f t="shared" si="1"/>
        <v>1.5329387755260197E-3</v>
      </c>
      <c r="AJ48" s="135">
        <f t="shared" si="2"/>
        <v>1.5052678869670478E-3</v>
      </c>
    </row>
    <row r="49" spans="14:36" x14ac:dyDescent="0.2">
      <c r="N49" s="224"/>
      <c r="AF49" s="164">
        <f>_xll.qlCalendarAdvance(Calendar,AF48,"1d","mf",,Trigger)</f>
        <v>41960</v>
      </c>
      <c r="AG49" s="175">
        <f>_xll.qlDayCounterYearFraction(DayCounterON,SettlementDate,AF49,,,Trigger)</f>
        <v>0.18356164383561643</v>
      </c>
      <c r="AH49" s="165">
        <f t="shared" si="0"/>
        <v>1.6215029880028728E-3</v>
      </c>
      <c r="AI49" s="165">
        <f t="shared" si="1"/>
        <v>1.5177563391014165E-3</v>
      </c>
      <c r="AJ49" s="135">
        <f t="shared" si="2"/>
        <v>1.4878742207305551E-3</v>
      </c>
    </row>
    <row r="50" spans="14:36" x14ac:dyDescent="0.2">
      <c r="AF50" s="164">
        <f>_xll.qlCalendarAdvance(Calendar,AF49,"1d","mf",,Trigger)</f>
        <v>41961</v>
      </c>
      <c r="AG50" s="175">
        <f>_xll.qlDayCounterYearFraction(DayCounterON,SettlementDate,AF50,,,Trigger)</f>
        <v>0.18630136986301371</v>
      </c>
      <c r="AH50" s="165">
        <f t="shared" si="0"/>
        <v>1.6215029880028728E-3</v>
      </c>
      <c r="AI50" s="165">
        <f t="shared" si="1"/>
        <v>1.5126955269598819E-3</v>
      </c>
      <c r="AJ50" s="135">
        <f t="shared" si="2"/>
        <v>1.4821326690503285E-3</v>
      </c>
    </row>
    <row r="51" spans="14:36" x14ac:dyDescent="0.2">
      <c r="AF51" s="164">
        <f>_xll.qlCalendarAdvance(Calendar,AF50,"1d","mf",,Trigger)</f>
        <v>41962</v>
      </c>
      <c r="AG51" s="175">
        <f>_xll.qlDayCounterYearFraction(DayCounterON,SettlementDate,AF51,,,Trigger)</f>
        <v>0.18904109589041096</v>
      </c>
      <c r="AH51" s="165">
        <f t="shared" si="0"/>
        <v>1.6215029880028728E-3</v>
      </c>
      <c r="AI51" s="165">
        <f t="shared" si="1"/>
        <v>1.5076347148183474E-3</v>
      </c>
      <c r="AJ51" s="135">
        <f t="shared" si="2"/>
        <v>1.4764192859027375E-3</v>
      </c>
    </row>
    <row r="52" spans="14:36" x14ac:dyDescent="0.2">
      <c r="AF52" s="164">
        <f>_xll.qlCalendarAdvance(Calendar,AF51,"1d","mf",,Trigger)</f>
        <v>41963</v>
      </c>
      <c r="AG52" s="175">
        <f>_xll.qlDayCounterYearFraction(DayCounterON,SettlementDate,AF52,,,Trigger)</f>
        <v>0.19178082191780821</v>
      </c>
      <c r="AH52" s="165">
        <f t="shared" si="0"/>
        <v>1.6215029880028728E-3</v>
      </c>
      <c r="AI52" s="165">
        <f t="shared" si="1"/>
        <v>1.5025739026768132E-3</v>
      </c>
      <c r="AJ52" s="135">
        <f t="shared" si="2"/>
        <v>1.4707340712877823E-3</v>
      </c>
    </row>
    <row r="53" spans="14:36" x14ac:dyDescent="0.2">
      <c r="AF53" s="164">
        <f>_xll.qlCalendarAdvance(Calendar,AF52,"1d","mf",,Trigger)</f>
        <v>41964</v>
      </c>
      <c r="AG53" s="175">
        <f>_xll.qlDayCounterYearFraction(DayCounterON,SettlementDate,AF53,,,Trigger)</f>
        <v>0.19452054794520549</v>
      </c>
      <c r="AH53" s="165">
        <f t="shared" si="0"/>
        <v>1.6215029880028728E-3</v>
      </c>
      <c r="AI53" s="165">
        <f t="shared" si="1"/>
        <v>1.4975130905352785E-3</v>
      </c>
      <c r="AJ53" s="135">
        <f t="shared" si="2"/>
        <v>1.4650770252054622E-3</v>
      </c>
    </row>
    <row r="54" spans="14:36" x14ac:dyDescent="0.2">
      <c r="AF54" s="164">
        <f>_xll.qlCalendarAdvance(Calendar,AF53,"1d","mf",,Trigger)</f>
        <v>41967</v>
      </c>
      <c r="AG54" s="175">
        <f>_xll.qlDayCounterYearFraction(DayCounterON,SettlementDate,AF54,,,Trigger)</f>
        <v>0.20273972602739726</v>
      </c>
      <c r="AH54" s="165">
        <f t="shared" si="0"/>
        <v>1.6215029880028728E-3</v>
      </c>
      <c r="AI54" s="165">
        <f t="shared" si="1"/>
        <v>1.4823306541106754E-3</v>
      </c>
      <c r="AJ54" s="135">
        <f t="shared" si="2"/>
        <v>1.4482748981543159E-3</v>
      </c>
    </row>
    <row r="55" spans="14:36" x14ac:dyDescent="0.2">
      <c r="AF55" s="164">
        <f>_xll.qlCalendarAdvance(Calendar,AF54,"1d","mf",,Trigger)</f>
        <v>41968</v>
      </c>
      <c r="AG55" s="175">
        <f>_xll.qlDayCounterYearFraction(DayCounterON,SettlementDate,AF55,,,Trigger)</f>
        <v>0.20547945205479451</v>
      </c>
      <c r="AH55" s="165">
        <f t="shared" si="0"/>
        <v>1.6215029880028728E-3</v>
      </c>
      <c r="AI55" s="165">
        <f t="shared" si="1"/>
        <v>1.4772698419691409E-3</v>
      </c>
      <c r="AJ55" s="135">
        <f t="shared" si="2"/>
        <v>1.4427305262025378E-3</v>
      </c>
    </row>
    <row r="56" spans="14:36" x14ac:dyDescent="0.2">
      <c r="AF56" s="164">
        <f>_xll.qlCalendarAdvance(Calendar,AF55,"1d","mf",,Trigger)</f>
        <v>41969</v>
      </c>
      <c r="AG56" s="175">
        <f>_xll.qlDayCounterYearFraction(DayCounterON,SettlementDate,AF56,,,Trigger)</f>
        <v>0.20821917808219179</v>
      </c>
      <c r="AH56" s="165">
        <f t="shared" si="0"/>
        <v>1.6215029880028728E-3</v>
      </c>
      <c r="AI56" s="165">
        <f t="shared" si="1"/>
        <v>1.4722090298276062E-3</v>
      </c>
      <c r="AJ56" s="135">
        <f t="shared" si="2"/>
        <v>1.437214322783396E-3</v>
      </c>
    </row>
    <row r="57" spans="14:36" x14ac:dyDescent="0.2">
      <c r="AF57" s="164">
        <f>_xll.qlCalendarAdvance(Calendar,AF56,"1d","mf",,Trigger)</f>
        <v>41970</v>
      </c>
      <c r="AG57" s="175">
        <f>_xll.qlDayCounterYearFraction(DayCounterON,SettlementDate,AF57,,,Trigger)</f>
        <v>0.21095890410958903</v>
      </c>
      <c r="AH57" s="165">
        <f t="shared" si="0"/>
        <v>1.6215029880028728E-3</v>
      </c>
      <c r="AI57" s="165">
        <f t="shared" si="1"/>
        <v>1.467148217686072E-3</v>
      </c>
      <c r="AJ57" s="135">
        <f t="shared" si="2"/>
        <v>1.431726287896889E-3</v>
      </c>
    </row>
    <row r="58" spans="14:36" x14ac:dyDescent="0.2">
      <c r="AF58" s="164">
        <f>_xll.qlCalendarAdvance(Calendar,AF57,"1d","mf",,Trigger)</f>
        <v>41971</v>
      </c>
      <c r="AG58" s="175">
        <f>_xll.qlDayCounterYearFraction(DayCounterON,SettlementDate,AF58,,,Trigger)</f>
        <v>0.21369863013698631</v>
      </c>
      <c r="AH58" s="165">
        <f t="shared" si="0"/>
        <v>1.6215029880028728E-3</v>
      </c>
      <c r="AI58" s="165">
        <f t="shared" si="1"/>
        <v>1.4620874055445373E-3</v>
      </c>
      <c r="AJ58" s="135">
        <f t="shared" si="2"/>
        <v>1.426266421543018E-3</v>
      </c>
    </row>
    <row r="59" spans="14:36" x14ac:dyDescent="0.2">
      <c r="AF59" s="164">
        <f>_xll.qlCalendarAdvance(Calendar,AF58,"1d","mf",,Trigger)</f>
        <v>41974</v>
      </c>
      <c r="AG59" s="175">
        <f>_xll.qlDayCounterYearFraction(DayCounterON,SettlementDate,AF59,,,Trigger)</f>
        <v>0.22191780821917809</v>
      </c>
      <c r="AH59" s="165">
        <f t="shared" si="0"/>
        <v>1.6215029880028728E-3</v>
      </c>
      <c r="AI59" s="165">
        <f t="shared" si="1"/>
        <v>1.4469049691199342E-3</v>
      </c>
      <c r="AJ59" s="135">
        <f t="shared" si="2"/>
        <v>1.4100558336772174E-3</v>
      </c>
    </row>
    <row r="60" spans="14:36" x14ac:dyDescent="0.2">
      <c r="AF60" s="164">
        <f>_xll.qlCalendarAdvance(Calendar,AF59,"1d","mf",,Trigger)</f>
        <v>41975</v>
      </c>
      <c r="AG60" s="175">
        <f>_xll.qlDayCounterYearFraction(DayCounterON,SettlementDate,AF60,,,Trigger)</f>
        <v>0.22465753424657534</v>
      </c>
      <c r="AH60" s="165">
        <f t="shared" si="0"/>
        <v>1.6215029880028728E-3</v>
      </c>
      <c r="AI60" s="165">
        <f t="shared" si="1"/>
        <v>1.4418441569783997E-3</v>
      </c>
      <c r="AJ60" s="135">
        <f t="shared" si="2"/>
        <v>1.4047086414538887E-3</v>
      </c>
    </row>
    <row r="61" spans="14:36" x14ac:dyDescent="0.2">
      <c r="AF61" s="164">
        <f>_xll.qlCalendarAdvance(Calendar,AF60,"1d","mf",,Trigger)</f>
        <v>41976</v>
      </c>
      <c r="AG61" s="175">
        <f>_xll.qlDayCounterYearFraction(DayCounterON,SettlementDate,AF61,,,Trigger)</f>
        <v>0.22739726027397261</v>
      </c>
      <c r="AH61" s="165">
        <f t="shared" si="0"/>
        <v>1.6215029880028728E-3</v>
      </c>
      <c r="AI61" s="165">
        <f t="shared" si="1"/>
        <v>1.4367833448368651E-3</v>
      </c>
      <c r="AJ61" s="135">
        <f t="shared" si="2"/>
        <v>1.3993896177631948E-3</v>
      </c>
    </row>
    <row r="62" spans="14:36" x14ac:dyDescent="0.2">
      <c r="AF62" s="164">
        <f>_xll.qlCalendarAdvance(Calendar,AF61,"1d","mf",,Trigger)</f>
        <v>41977</v>
      </c>
      <c r="AG62" s="175">
        <f>_xll.qlDayCounterYearFraction(DayCounterON,SettlementDate,AF62,,,Trigger)</f>
        <v>0.23013698630136986</v>
      </c>
      <c r="AH62" s="165">
        <f t="shared" si="0"/>
        <v>1.6215029880028728E-3</v>
      </c>
      <c r="AI62" s="165">
        <f t="shared" si="1"/>
        <v>1.4317225326953308E-3</v>
      </c>
      <c r="AJ62" s="135">
        <f t="shared" si="2"/>
        <v>1.3940987626051371E-3</v>
      </c>
    </row>
    <row r="63" spans="14:36" x14ac:dyDescent="0.2">
      <c r="AF63" s="164">
        <f>_xll.qlCalendarAdvance(Calendar,AF62,"1d","mf",,Trigger)</f>
        <v>41978</v>
      </c>
      <c r="AG63" s="175">
        <f>_xll.qlDayCounterYearFraction(DayCounterON,SettlementDate,AF63,,,Trigger)</f>
        <v>0.23287671232876711</v>
      </c>
      <c r="AH63" s="165">
        <f t="shared" si="0"/>
        <v>1.6215029880028728E-3</v>
      </c>
      <c r="AI63" s="165">
        <f t="shared" si="1"/>
        <v>1.4266617205537964E-3</v>
      </c>
      <c r="AJ63" s="135">
        <f t="shared" si="2"/>
        <v>1.3888360759797146E-3</v>
      </c>
    </row>
    <row r="64" spans="14:36" x14ac:dyDescent="0.2">
      <c r="AF64" s="164">
        <f>_xll.qlCalendarAdvance(Calendar,AF63,"1d","mf",,Trigger)</f>
        <v>41981</v>
      </c>
      <c r="AG64" s="175">
        <f>_xll.qlDayCounterYearFraction(DayCounterON,SettlementDate,AF64,,,Trigger)</f>
        <v>0.24109589041095891</v>
      </c>
      <c r="AH64" s="165">
        <f t="shared" si="0"/>
        <v>1.6215029880028728E-3</v>
      </c>
      <c r="AI64" s="165">
        <f t="shared" si="1"/>
        <v>1.411479284129193E-3</v>
      </c>
      <c r="AJ64" s="135">
        <f t="shared" si="2"/>
        <v>1.3732170272992604E-3</v>
      </c>
    </row>
    <row r="65" spans="10:36" x14ac:dyDescent="0.2">
      <c r="J65" s="146"/>
      <c r="AF65" s="164">
        <f>_xll.qlCalendarAdvance(Calendar,AF64,"1d","mf",,Trigger)</f>
        <v>41982</v>
      </c>
      <c r="AG65" s="175">
        <f>_xll.qlDayCounterYearFraction(DayCounterON,SettlementDate,AF65,,,Trigger)</f>
        <v>0.24383561643835616</v>
      </c>
      <c r="AH65" s="165">
        <f t="shared" si="0"/>
        <v>1.6215029880028728E-3</v>
      </c>
      <c r="AI65" s="165">
        <f t="shared" si="1"/>
        <v>1.4064184719876586E-3</v>
      </c>
      <c r="AJ65" s="135">
        <f t="shared" si="2"/>
        <v>1.3680670148043801E-3</v>
      </c>
    </row>
    <row r="66" spans="10:36" x14ac:dyDescent="0.2">
      <c r="J66" s="146"/>
      <c r="AF66" s="164">
        <f>_xll.qlCalendarAdvance(Calendar,AF65,"1d","mf",,Trigger)</f>
        <v>41983</v>
      </c>
      <c r="AG66" s="175">
        <f>_xll.qlDayCounterYearFraction(DayCounterON,SettlementDate,AF66,,,Trigger)</f>
        <v>0.24657534246575341</v>
      </c>
      <c r="AH66" s="165">
        <f t="shared" si="0"/>
        <v>1.6215029880028728E-3</v>
      </c>
      <c r="AI66" s="165">
        <f t="shared" si="1"/>
        <v>1.4013576598461241E-3</v>
      </c>
      <c r="AJ66" s="135">
        <f t="shared" si="2"/>
        <v>1.3629451708421353E-3</v>
      </c>
    </row>
    <row r="67" spans="10:36" x14ac:dyDescent="0.2">
      <c r="J67" s="146"/>
      <c r="AF67" s="164">
        <f>_xll.qlCalendarAdvance(Calendar,AF66,"1d","mf",,Trigger)</f>
        <v>41984</v>
      </c>
      <c r="AG67" s="175">
        <f>_xll.qlDayCounterYearFraction(DayCounterON,SettlementDate,AF67,,,Trigger)</f>
        <v>0.24931506849315069</v>
      </c>
      <c r="AH67" s="165">
        <f t="shared" ref="AH67:AH69" si="9">$W$13</f>
        <v>1.6215029880028728E-3</v>
      </c>
      <c r="AI67" s="165">
        <f t="shared" ref="AI67:AI69" si="10">$W$10+$W$9*AG67</f>
        <v>1.3962968477045897E-3</v>
      </c>
      <c r="AJ67" s="135">
        <f t="shared" ref="AJ67:AJ69" si="11">($W$5+$W$4*AG67+$W$3*AG67^2)</f>
        <v>1.3578514954125261E-3</v>
      </c>
    </row>
    <row r="68" spans="10:36" x14ac:dyDescent="0.2">
      <c r="J68" s="146"/>
      <c r="AF68" s="164">
        <f>_xll.qlCalendarAdvance(Calendar,AF67,"1d","mf",,Trigger)</f>
        <v>41985</v>
      </c>
      <c r="AG68" s="175">
        <f>_xll.qlDayCounterYearFraction(DayCounterON,SettlementDate,AF68,,,Trigger)</f>
        <v>0.25205479452054796</v>
      </c>
      <c r="AH68" s="165">
        <f t="shared" si="9"/>
        <v>1.6215029880028728E-3</v>
      </c>
      <c r="AI68" s="165">
        <f t="shared" si="10"/>
        <v>1.391236035563055E-3</v>
      </c>
      <c r="AJ68" s="135">
        <f t="shared" si="11"/>
        <v>1.3527859885155524E-3</v>
      </c>
    </row>
    <row r="69" spans="10:36" ht="12" thickBot="1" x14ac:dyDescent="0.25">
      <c r="J69" s="146"/>
      <c r="AF69" s="166">
        <f>_xll.qlCalendarAdvance(Calendar,AF68,"1d","mf",,Trigger)</f>
        <v>41988</v>
      </c>
      <c r="AG69" s="177">
        <f>_xll.qlDayCounterYearFraction(DayCounterON,SettlementDate,AF69,,,Trigger)</f>
        <v>0.26027397260273971</v>
      </c>
      <c r="AH69" s="167">
        <f t="shared" si="9"/>
        <v>1.6215029880028728E-3</v>
      </c>
      <c r="AI69" s="167">
        <f t="shared" si="10"/>
        <v>1.3760535991384519E-3</v>
      </c>
      <c r="AJ69" s="140">
        <f t="shared" si="11"/>
        <v>1.3377584790204447E-3</v>
      </c>
    </row>
    <row r="70" spans="10:36" x14ac:dyDescent="0.2">
      <c r="J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30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30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27"/>
  <sheetViews>
    <sheetView tabSelected="1" workbookViewId="0">
      <selection activeCell="B2" sqref="B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7" width="3.1640625" style="34" customWidth="1"/>
    <col min="8" max="8" width="4.33203125" style="34" customWidth="1"/>
    <col min="9" max="9" width="7.83203125" style="34" customWidth="1"/>
    <col min="10" max="10" width="9.33203125" style="34" bestFit="1" customWidth="1"/>
    <col min="11" max="11" width="3.1640625" style="34" customWidth="1"/>
    <col min="12" max="12" width="9.33203125" style="34" bestFit="1" customWidth="1"/>
    <col min="13" max="13" width="3.1640625" style="34" customWidth="1"/>
    <col min="14" max="14" width="11.6640625" style="34" bestFit="1" customWidth="1"/>
    <col min="15" max="15" width="10.5" style="34" bestFit="1" customWidth="1"/>
    <col min="16" max="16" width="5.83203125" style="34" customWidth="1"/>
    <col min="17" max="16384" width="9.33203125" style="39"/>
  </cols>
  <sheetData>
    <row r="1" spans="1:16" ht="12" thickBot="1" x14ac:dyDescent="0.25">
      <c r="A1" s="31"/>
      <c r="D1" s="32"/>
      <c r="E1" s="32"/>
      <c r="F1" s="33"/>
      <c r="H1" s="35"/>
      <c r="I1" s="36"/>
      <c r="J1" s="36"/>
      <c r="K1" s="37"/>
      <c r="L1" s="37"/>
      <c r="M1" s="37"/>
      <c r="N1" s="36"/>
      <c r="P1" s="38"/>
    </row>
    <row r="2" spans="1:16" ht="12" thickBot="1" x14ac:dyDescent="0.25">
      <c r="A2" s="96"/>
      <c r="B2" s="141"/>
      <c r="C2" s="141" t="str">
        <f>Currency&amp;"_015_SyntheticQuotes"&amp;".xml"</f>
        <v>AUD_015_SyntheticQuotes.xml</v>
      </c>
      <c r="D2" s="141" t="str">
        <f>IF(Serialize,_xll.ohObjectSave(D3:D26,SerializationPath&amp;C2,FileOverwrite,Serialize),"---")</f>
        <v>---</v>
      </c>
      <c r="E2" s="141" t="str">
        <f>_xll.ohRangeRetrieveError(D2)</f>
        <v/>
      </c>
      <c r="F2" s="40"/>
      <c r="H2" s="41"/>
      <c r="I2" s="141"/>
      <c r="J2" s="141" t="s">
        <v>42</v>
      </c>
      <c r="K2" s="42"/>
      <c r="L2" s="141" t="s">
        <v>43</v>
      </c>
      <c r="M2" s="42"/>
      <c r="N2" s="141" t="s">
        <v>44</v>
      </c>
      <c r="O2" s="141" t="s">
        <v>45</v>
      </c>
      <c r="P2" s="113">
        <f>_xll.ohTrigger(O3:O9)</f>
        <v>10</v>
      </c>
    </row>
    <row r="3" spans="1:16" ht="12" thickBot="1" x14ac:dyDescent="0.25">
      <c r="A3" s="141">
        <v>1</v>
      </c>
      <c r="B3" s="97" t="s">
        <v>46</v>
      </c>
      <c r="C3" s="98" t="str">
        <f t="shared" ref="C3" si="0">Currency&amp;$B3&amp;"_SYNTH"&amp;Tenor1M&amp;QuoteSuffix</f>
        <v>AUDSND_SYNTH1M_Quote</v>
      </c>
      <c r="D3" s="99" t="str">
        <f>_xll.qlSimpleQuote(C3,,RateTickValue,Permanent,Trigger,ObjectOverwrite)</f>
        <v>AUDSND_SYNTH1M_Quote#0000</v>
      </c>
      <c r="E3" s="354" t="str">
        <f>_xll.ohRangeRetrieveError(D3)</f>
        <v/>
      </c>
      <c r="F3" s="40"/>
      <c r="H3" s="41"/>
      <c r="I3" s="71" t="str">
        <f>B3</f>
        <v>SND</v>
      </c>
      <c r="J3" s="72">
        <f>'1MSynthDepo'!D32</f>
        <v>2.658581311910041E-2</v>
      </c>
      <c r="K3" s="44" t="s">
        <v>47</v>
      </c>
      <c r="L3" s="77">
        <v>1.0405862330434276E-2</v>
      </c>
      <c r="M3" s="42"/>
      <c r="N3" s="80">
        <f t="array" ref="N3:N26">QuoteLive</f>
        <v>2.658581311910041E-2</v>
      </c>
      <c r="O3" s="81">
        <f>_xll.qlSimpleQuoteSetValue(D3,ROUND($N3,6),EvaluationDate)</f>
        <v>0</v>
      </c>
      <c r="P3" s="43"/>
    </row>
    <row r="4" spans="1:16" x14ac:dyDescent="0.2">
      <c r="A4" s="141" t="str">
        <f>_xll.qlPeriodEquivalent(Months1M&amp;"M")</f>
        <v>1M</v>
      </c>
      <c r="B4" s="100" t="s">
        <v>48</v>
      </c>
      <c r="C4" s="45" t="str">
        <f t="shared" ref="C4:C9" si="1">Currency&amp;$B4&amp;"_SYNTH"&amp;Tenor1M&amp;QuoteSuffix</f>
        <v>AUDSWD_SYNTH1M_Quote</v>
      </c>
      <c r="D4" s="101" t="str">
        <f>_xll.qlSimpleQuote(C4,,RateTickValue,Permanent,Trigger,ObjectOverwrite)</f>
        <v>AUDSWD_SYNTH1M_Quote#0000</v>
      </c>
      <c r="E4" s="352" t="str">
        <f>_xll.ohRangeRetrieveError(D4)</f>
        <v/>
      </c>
      <c r="F4" s="40"/>
      <c r="H4" s="41"/>
      <c r="I4" s="71" t="str">
        <f t="shared" ref="I4:I26" si="2">B4</f>
        <v>SWD</v>
      </c>
      <c r="J4" s="72">
        <f>'1MSynthDepo'!D33</f>
        <v>2.6563959862241724E-2</v>
      </c>
      <c r="K4" s="44" t="s">
        <v>47</v>
      </c>
      <c r="L4" s="77">
        <v>1.0965679117003316E-2</v>
      </c>
      <c r="M4" s="42"/>
      <c r="N4" s="80">
        <v>2.6563959862241724E-2</v>
      </c>
      <c r="O4" s="81">
        <f>_xll.qlSimpleQuoteSetValue(D4,ROUND($N4,6),EvaluationDate)</f>
        <v>0</v>
      </c>
      <c r="P4" s="43"/>
    </row>
    <row r="5" spans="1:16" x14ac:dyDescent="0.2">
      <c r="A5" s="106"/>
      <c r="B5" s="100" t="s">
        <v>49</v>
      </c>
      <c r="C5" s="45" t="str">
        <f t="shared" si="1"/>
        <v>AUD2WD_SYNTH1M_Quote</v>
      </c>
      <c r="D5" s="101" t="str">
        <f>_xll.qlSimpleQuote(C5,,RateTickValue,Permanent,Trigger,ObjectOverwrite)</f>
        <v>AUD2WD_SYNTH1M_Quote#0000</v>
      </c>
      <c r="E5" s="352" t="str">
        <f>_xll.ohRangeRetrieveError(D5)</f>
        <v/>
      </c>
      <c r="F5" s="40"/>
      <c r="H5" s="41"/>
      <c r="I5" s="71" t="str">
        <f t="shared" si="2"/>
        <v>2WD</v>
      </c>
      <c r="J5" s="72">
        <f>'1MSynthDepo'!D34</f>
        <v>2.6537771303917247E-2</v>
      </c>
      <c r="K5" s="44" t="s">
        <v>47</v>
      </c>
      <c r="L5" s="77">
        <v>1.1919109632675905E-2</v>
      </c>
      <c r="M5" s="42"/>
      <c r="N5" s="80">
        <v>2.6537771303917247E-2</v>
      </c>
      <c r="O5" s="81">
        <f>_xll.qlSimpleQuoteSetValue(D5,ROUND($N5,6),EvaluationDate)</f>
        <v>0</v>
      </c>
      <c r="P5" s="43"/>
    </row>
    <row r="6" spans="1:16" x14ac:dyDescent="0.2">
      <c r="A6" s="106"/>
      <c r="B6" s="100" t="s">
        <v>50</v>
      </c>
      <c r="C6" s="45" t="str">
        <f t="shared" si="1"/>
        <v>AUD3WD_SYNTH1M_Quote</v>
      </c>
      <c r="D6" s="101" t="str">
        <f>_xll.qlSimpleQuote(C6,,RateTickValue,Permanent,Trigger,ObjectOverwrite)</f>
        <v>AUD3WD_SYNTH1M_Quote#0000</v>
      </c>
      <c r="E6" s="352" t="str">
        <f>_xll.ohRangeRetrieveError(D6)</f>
        <v/>
      </c>
      <c r="F6" s="40"/>
      <c r="H6" s="41"/>
      <c r="I6" s="73" t="str">
        <f t="shared" si="2"/>
        <v>3WD</v>
      </c>
      <c r="J6" s="74">
        <f>'1MSynthDepo'!D35</f>
        <v>2.6508076672167303E-2</v>
      </c>
      <c r="K6" s="44" t="s">
        <v>47</v>
      </c>
      <c r="L6" s="78">
        <v>1.2840437570788649E-2</v>
      </c>
      <c r="M6" s="42"/>
      <c r="N6" s="82">
        <v>2.6508076672167303E-2</v>
      </c>
      <c r="O6" s="83">
        <f>_xll.qlSimpleQuoteSetValue(D6,ROUND($N6,6),EvaluationDate)</f>
        <v>0</v>
      </c>
      <c r="P6" s="43"/>
    </row>
    <row r="7" spans="1:16" x14ac:dyDescent="0.2">
      <c r="A7" s="106"/>
      <c r="B7" s="100" t="s">
        <v>51</v>
      </c>
      <c r="C7" s="45" t="str">
        <f t="shared" si="1"/>
        <v>AUD1MD_SYNTH1M_Quote</v>
      </c>
      <c r="D7" s="101" t="str">
        <f>_xll.qlSimpleQuote(C7,,RateTickValue,Permanent,Trigger,ObjectOverwrite)</f>
        <v>AUD1MD_SYNTH1M_Quote#0000</v>
      </c>
      <c r="E7" s="352" t="str">
        <f>_xll.ohRangeRetrieveError(D7)</f>
        <v/>
      </c>
      <c r="F7" s="40"/>
      <c r="H7" s="41"/>
      <c r="I7" s="71" t="str">
        <f t="shared" si="2"/>
        <v>1MD</v>
      </c>
      <c r="J7" s="72">
        <f>'1MSynthDepo'!D36</f>
        <v>2.6478735728655209E-2</v>
      </c>
      <c r="K7" s="44"/>
      <c r="L7" s="77">
        <v>1.4101364083897583E-2</v>
      </c>
      <c r="M7" s="42"/>
      <c r="N7" s="80">
        <v>2.6478735728655209E-2</v>
      </c>
      <c r="O7" s="81">
        <f>_xll.qlSimpleQuoteSetValue(D7,ROUND($N7,6),EvaluationDate)</f>
        <v>0</v>
      </c>
      <c r="P7" s="43"/>
    </row>
    <row r="8" spans="1:16" x14ac:dyDescent="0.2">
      <c r="A8" s="106"/>
      <c r="B8" s="100" t="s">
        <v>52</v>
      </c>
      <c r="C8" s="45" t="str">
        <f t="shared" si="1"/>
        <v>AUD2MD_SYNTH1M_Quote</v>
      </c>
      <c r="D8" s="101" t="str">
        <f>_xll.qlSimpleQuote(C8,,RateTickValue,Permanent,Trigger,ObjectOverwrite)</f>
        <v>AUD2MD_SYNTH1M_Quote#0000</v>
      </c>
      <c r="E8" s="352" t="str">
        <f>_xll.ohRangeRetrieveError(D8)</f>
        <v/>
      </c>
      <c r="F8" s="40"/>
      <c r="H8" s="41"/>
      <c r="I8" s="71" t="str">
        <f t="shared" si="2"/>
        <v>2MD</v>
      </c>
      <c r="J8" s="72">
        <f>'1MSynthDepo'!D37</f>
        <v>2.6368076114202145E-2</v>
      </c>
      <c r="K8" s="44"/>
      <c r="L8" s="77">
        <v>1.7491048907350572E-2</v>
      </c>
      <c r="M8" s="42"/>
      <c r="N8" s="80">
        <v>2.6368076114202145E-2</v>
      </c>
      <c r="O8" s="81">
        <f>_xll.qlSimpleQuoteSetValue(D8,ROUND($N8,6),EvaluationDate)</f>
        <v>0</v>
      </c>
      <c r="P8" s="43"/>
    </row>
    <row r="9" spans="1:16" ht="12" thickBot="1" x14ac:dyDescent="0.25">
      <c r="A9" s="107"/>
      <c r="B9" s="105" t="s">
        <v>53</v>
      </c>
      <c r="C9" s="70" t="str">
        <f t="shared" si="1"/>
        <v>AUD3MD_SYNTH1M_Quote</v>
      </c>
      <c r="D9" s="104" t="str">
        <f>_xll.qlSimpleQuote(C9,,RateTickValue,Permanent,Trigger,ObjectOverwrite)</f>
        <v>AUD3MD_SYNTH1M_Quote#0000</v>
      </c>
      <c r="E9" s="352" t="str">
        <f>_xll.ohRangeRetrieveError(D9)</f>
        <v/>
      </c>
      <c r="F9" s="40"/>
      <c r="H9" s="89"/>
      <c r="I9" s="75" t="str">
        <f t="shared" si="2"/>
        <v>3MD</v>
      </c>
      <c r="J9" s="76">
        <f>'1MSynthDepo'!D38</f>
        <v>2.627899220861105E-2</v>
      </c>
      <c r="K9" s="90" t="s">
        <v>47</v>
      </c>
      <c r="L9" s="79">
        <v>2.0283100739603384E-2</v>
      </c>
      <c r="M9" s="89"/>
      <c r="N9" s="84">
        <v>2.627899220861105E-2</v>
      </c>
      <c r="O9" s="85">
        <f>_xll.qlSimpleQuoteSetValue(D9,ROUND($N9,6),EvaluationDate)</f>
        <v>0</v>
      </c>
      <c r="P9" s="89"/>
    </row>
    <row r="10" spans="1:16" ht="12" thickBot="1" x14ac:dyDescent="0.25">
      <c r="A10" s="141">
        <v>3</v>
      </c>
      <c r="B10" s="97" t="s">
        <v>46</v>
      </c>
      <c r="C10" s="98" t="str">
        <f t="shared" ref="C10:C16" si="3">Currency&amp;$B10&amp;"_SYNTH"&amp;Tenor3M&amp;QuoteSuffix</f>
        <v>AUDSND_SYNTH3M_Quote</v>
      </c>
      <c r="D10" s="99" t="str">
        <f>_xll.qlSimpleQuote(C10,,RateTickValue,Permanent,Trigger,ObjectOverwrite)</f>
        <v>AUDSND_SYNTH3M_Quote#0000</v>
      </c>
      <c r="E10" s="351" t="str">
        <f>_xll.ohRangeRetrieveError(D10)</f>
        <v/>
      </c>
      <c r="F10" s="47"/>
      <c r="H10" s="50"/>
      <c r="I10" s="91" t="str">
        <f t="shared" si="2"/>
        <v>SND</v>
      </c>
      <c r="J10" s="92">
        <f>'3MSynthDepo'!D32</f>
        <v>2.6839245802759787E-2</v>
      </c>
      <c r="K10" s="51"/>
      <c r="L10" s="93">
        <v>2.5975553639145887E-2</v>
      </c>
      <c r="M10" s="49"/>
      <c r="N10" s="94">
        <v>2.6839245802759787E-2</v>
      </c>
      <c r="O10" s="95">
        <f>_xll.qlSimpleQuoteSetValue(D10,ROUND($N10,6),EvaluationDate)</f>
        <v>0</v>
      </c>
      <c r="P10" s="114">
        <f>_xll.ohTrigger(O10:O16)</f>
        <v>10</v>
      </c>
    </row>
    <row r="11" spans="1:16" x14ac:dyDescent="0.2">
      <c r="A11" s="141" t="str">
        <f>_xll.qlPeriodEquivalent(Months3M&amp;"M")</f>
        <v>3M</v>
      </c>
      <c r="B11" s="100" t="s">
        <v>48</v>
      </c>
      <c r="C11" s="45" t="str">
        <f t="shared" si="3"/>
        <v>AUDSWD_SYNTH3M_Quote</v>
      </c>
      <c r="D11" s="101" t="str">
        <f>_xll.qlSimpleQuote(C11,,RateTickValue,Permanent,Trigger,ObjectOverwrite)</f>
        <v>AUDSWD_SYNTH3M_Quote#0000</v>
      </c>
      <c r="E11" s="352" t="str">
        <f>_xll.ohRangeRetrieveError(D11)</f>
        <v/>
      </c>
      <c r="F11" s="47"/>
      <c r="H11" s="50"/>
      <c r="I11" s="86" t="str">
        <f t="shared" si="2"/>
        <v>SWD</v>
      </c>
      <c r="J11" s="72">
        <f>'3MSynthDepo'!D33</f>
        <v>2.6827555375232074E-2</v>
      </c>
      <c r="K11" s="51"/>
      <c r="L11" s="77">
        <v>2.5986503257622456E-2</v>
      </c>
      <c r="M11" s="49"/>
      <c r="N11" s="80">
        <v>2.6827555375232074E-2</v>
      </c>
      <c r="O11" s="81">
        <f>_xll.qlSimpleQuoteSetValue(D11,ROUND($N11,6),EvaluationDate)</f>
        <v>0</v>
      </c>
      <c r="P11" s="43"/>
    </row>
    <row r="12" spans="1:16" x14ac:dyDescent="0.2">
      <c r="A12" s="46"/>
      <c r="B12" s="100" t="s">
        <v>49</v>
      </c>
      <c r="C12" s="45" t="str">
        <f t="shared" si="3"/>
        <v>AUD2WD_SYNTH3M_Quote</v>
      </c>
      <c r="D12" s="101" t="str">
        <f>_xll.qlSimpleQuote(C12,,RateTickValue,Permanent,Trigger,ObjectOverwrite)</f>
        <v>AUD2WD_SYNTH3M_Quote#0000</v>
      </c>
      <c r="E12" s="352" t="str">
        <f>_xll.ohRangeRetrieveError(D12)</f>
        <v/>
      </c>
      <c r="F12" s="47"/>
      <c r="H12" s="50"/>
      <c r="I12" s="86" t="str">
        <f t="shared" si="2"/>
        <v>2WD</v>
      </c>
      <c r="J12" s="72">
        <f>'3MSynthDepo'!D34</f>
        <v>2.6813094503491852E-2</v>
      </c>
      <c r="K12" s="51"/>
      <c r="L12" s="77">
        <v>2.6003996530783297E-2</v>
      </c>
      <c r="M12" s="49"/>
      <c r="N12" s="80">
        <v>2.6813094503491852E-2</v>
      </c>
      <c r="O12" s="81">
        <f>_xll.qlSimpleQuoteSetValue(D12,ROUND($N12,6),EvaluationDate)</f>
        <v>0</v>
      </c>
      <c r="P12" s="43"/>
    </row>
    <row r="13" spans="1:16" x14ac:dyDescent="0.2">
      <c r="A13" s="46"/>
      <c r="B13" s="100" t="s">
        <v>50</v>
      </c>
      <c r="C13" s="45" t="str">
        <f t="shared" si="3"/>
        <v>AUD3WD_SYNTH3M_Quote</v>
      </c>
      <c r="D13" s="101" t="str">
        <f>_xll.qlSimpleQuote(C13,,RateTickValue,Permanent,Trigger,ObjectOverwrite)</f>
        <v>AUD3WD_SYNTH3M_Quote#0000</v>
      </c>
      <c r="E13" s="352" t="str">
        <f>_xll.ohRangeRetrieveError(D13)</f>
        <v/>
      </c>
      <c r="F13" s="47"/>
      <c r="H13" s="50"/>
      <c r="I13" s="87" t="str">
        <f t="shared" si="2"/>
        <v>3WD</v>
      </c>
      <c r="J13" s="74">
        <f>'3MSynthDepo'!D35</f>
        <v>2.6796632901286265E-2</v>
      </c>
      <c r="K13" s="51"/>
      <c r="L13" s="78">
        <v>2.6020671246666238E-2</v>
      </c>
      <c r="M13" s="49"/>
      <c r="N13" s="82">
        <v>2.6796632901286265E-2</v>
      </c>
      <c r="O13" s="83">
        <f>_xll.qlSimpleQuoteSetValue(D13,ROUND($N13,6),EvaluationDate)</f>
        <v>0</v>
      </c>
      <c r="P13" s="43"/>
    </row>
    <row r="14" spans="1:16" x14ac:dyDescent="0.2">
      <c r="A14" s="46"/>
      <c r="B14" s="100" t="s">
        <v>51</v>
      </c>
      <c r="C14" s="45" t="str">
        <f t="shared" si="3"/>
        <v>AUD1MD_SYNTH3M_Quote</v>
      </c>
      <c r="D14" s="102" t="str">
        <f>_xll.qlSimpleQuote(C14,,RateTickValue,Permanent,Trigger,ObjectOverwrite)</f>
        <v>AUD1MD_SYNTH3M_Quote#0000</v>
      </c>
      <c r="E14" s="352" t="str">
        <f>_xll.ohRangeRetrieveError(D14)</f>
        <v/>
      </c>
      <c r="F14" s="47"/>
      <c r="H14" s="50"/>
      <c r="I14" s="86" t="str">
        <f t="shared" si="2"/>
        <v>1MD</v>
      </c>
      <c r="J14" s="72">
        <f>'3MSynthDepo'!D36</f>
        <v>2.6780343610425042E-2</v>
      </c>
      <c r="K14" s="51"/>
      <c r="L14" s="77">
        <v>2.6043504212180855E-2</v>
      </c>
      <c r="M14" s="49"/>
      <c r="N14" s="80">
        <v>2.6780343610425042E-2</v>
      </c>
      <c r="O14" s="81">
        <f>_xll.qlSimpleQuoteSetValue(D14,ROUND($N14,6),EvaluationDate)</f>
        <v>0</v>
      </c>
      <c r="P14" s="43"/>
    </row>
    <row r="15" spans="1:16" x14ac:dyDescent="0.2">
      <c r="A15" s="46"/>
      <c r="B15" s="100" t="s">
        <v>52</v>
      </c>
      <c r="C15" s="45" t="str">
        <f t="shared" si="3"/>
        <v>AUD2MD_SYNTH3M_Quote</v>
      </c>
      <c r="D15" s="102" t="str">
        <f>_xll.qlSimpleQuote(C15,,RateTickValue,Permanent,Trigger,ObjectOverwrite)</f>
        <v>AUD2MD_SYNTH3M_Quote#0000</v>
      </c>
      <c r="E15" s="352" t="str">
        <f>_xll.ohRangeRetrieveError(D15)</f>
        <v/>
      </c>
      <c r="F15" s="47"/>
      <c r="H15" s="50"/>
      <c r="I15" s="86" t="str">
        <f t="shared" si="2"/>
        <v>2MD</v>
      </c>
      <c r="J15" s="72">
        <f>'3MSynthDepo'!D37</f>
        <v>2.6721604852712411E-2</v>
      </c>
      <c r="K15" s="51"/>
      <c r="L15" s="77">
        <v>2.6101978028956276E-2</v>
      </c>
      <c r="M15" s="49"/>
      <c r="N15" s="80">
        <v>2.6721604852712411E-2</v>
      </c>
      <c r="O15" s="81">
        <f>_xll.qlSimpleQuoteSetValue(D15,ROUND($N15,6),EvaluationDate)</f>
        <v>0</v>
      </c>
      <c r="P15" s="43"/>
    </row>
    <row r="16" spans="1:16" ht="12" thickBot="1" x14ac:dyDescent="0.25">
      <c r="A16" s="46"/>
      <c r="B16" s="103" t="s">
        <v>53</v>
      </c>
      <c r="C16" s="70" t="str">
        <f t="shared" si="3"/>
        <v>AUD3MD_SYNTH3M_Quote</v>
      </c>
      <c r="D16" s="104" t="str">
        <f>_xll.qlSimpleQuote(C16,,RateTickValue,Permanent,Trigger,ObjectOverwrite)</f>
        <v>AUD3MD_SYNTH3M_Quote#0000</v>
      </c>
      <c r="E16" s="353" t="str">
        <f>_xll.ohRangeRetrieveError(D16)</f>
        <v/>
      </c>
      <c r="F16" s="47"/>
      <c r="H16" s="50"/>
      <c r="I16" s="88" t="str">
        <f t="shared" si="2"/>
        <v>3MD</v>
      </c>
      <c r="J16" s="76">
        <f>'3MSynthDepo'!D38</f>
        <v>2.667415475946347E-2</v>
      </c>
      <c r="K16" s="51"/>
      <c r="L16" s="79">
        <v>2.6137423308689584E-2</v>
      </c>
      <c r="M16" s="49"/>
      <c r="N16" s="84">
        <v>2.667415475946347E-2</v>
      </c>
      <c r="O16" s="85">
        <f>_xll.qlSimpleQuoteSetValue(D16,ROUND($N16,6),EvaluationDate)</f>
        <v>0</v>
      </c>
      <c r="P16" s="43"/>
    </row>
    <row r="17" spans="1:16" ht="12" thickBot="1" x14ac:dyDescent="0.25">
      <c r="A17" s="141">
        <v>6</v>
      </c>
      <c r="B17" s="108" t="s">
        <v>46</v>
      </c>
      <c r="C17" s="98" t="str">
        <f t="shared" ref="C17:C26" si="4">Currency&amp;$B17&amp;"_SYNTH"&amp;Tenor6M&amp;QuoteSuffix</f>
        <v>AUDSND_SYNTH6M_Quote</v>
      </c>
      <c r="D17" s="99" t="str">
        <f>_xll.qlSimpleQuote(C17,,RateTickValue,Permanent,Trigger,ObjectOverwrite)</f>
        <v>AUDSND_SYNTH6M_Quote#0000</v>
      </c>
      <c r="E17" s="351" t="str">
        <f>_xll.ohRangeRetrieveError(D17)</f>
        <v/>
      </c>
      <c r="F17" s="47"/>
      <c r="H17" s="50"/>
      <c r="I17" s="91" t="str">
        <f t="shared" si="2"/>
        <v>SND</v>
      </c>
      <c r="J17" s="92">
        <f>'6MSynthDepo'!D32</f>
        <v>2.5775450284917647E-2</v>
      </c>
      <c r="K17" s="51"/>
      <c r="L17" s="93">
        <v>2.5900865171198613E-2</v>
      </c>
      <c r="M17" s="49"/>
      <c r="N17" s="94">
        <v>2.5775450284917647E-2</v>
      </c>
      <c r="O17" s="95">
        <f>_xll.qlSimpleQuoteSetValue(D17,ROUND($N17,6),EvaluationDate)</f>
        <v>0</v>
      </c>
      <c r="P17" s="115">
        <f>_xll.ohTrigger(O17:O26)</f>
        <v>13</v>
      </c>
    </row>
    <row r="18" spans="1:16" x14ac:dyDescent="0.2">
      <c r="A18" s="141" t="str">
        <f>_xll.qlPeriodEquivalent(Months6M&amp;"M")</f>
        <v>6M</v>
      </c>
      <c r="B18" s="109" t="s">
        <v>48</v>
      </c>
      <c r="C18" s="45" t="str">
        <f t="shared" si="4"/>
        <v>AUDSWD_SYNTH6M_Quote</v>
      </c>
      <c r="D18" s="101" t="str">
        <f>_xll.qlSimpleQuote(C18,,RateTickValue,Permanent,Trigger,ObjectOverwrite)</f>
        <v>AUDSWD_SYNTH6M_Quote#0000</v>
      </c>
      <c r="E18" s="352" t="str">
        <f>_xll.ohRangeRetrieveError(D18)</f>
        <v/>
      </c>
      <c r="F18" s="47"/>
      <c r="H18" s="50"/>
      <c r="I18" s="86" t="str">
        <f t="shared" si="2"/>
        <v>SWD</v>
      </c>
      <c r="J18" s="72">
        <f>'6MSynthDepo'!D33</f>
        <v>2.5795691954976888E-2</v>
      </c>
      <c r="K18" s="51"/>
      <c r="L18" s="77">
        <v>2.5909785781771593E-2</v>
      </c>
      <c r="M18" s="49"/>
      <c r="N18" s="80">
        <v>2.5795691954976888E-2</v>
      </c>
      <c r="O18" s="81">
        <f>_xll.qlSimpleQuoteSetValue(D18,ROUND($N18,6),EvaluationDate)</f>
        <v>0</v>
      </c>
      <c r="P18" s="52"/>
    </row>
    <row r="19" spans="1:16" x14ac:dyDescent="0.2">
      <c r="A19" s="111"/>
      <c r="B19" s="109" t="s">
        <v>49</v>
      </c>
      <c r="C19" s="45" t="str">
        <f t="shared" si="4"/>
        <v>AUD2WD_SYNTH6M_Quote</v>
      </c>
      <c r="D19" s="101" t="str">
        <f>_xll.qlSimpleQuote(C19,,RateTickValue,Permanent,Trigger,ObjectOverwrite)</f>
        <v>AUD2WD_SYNTH6M_Quote#0000</v>
      </c>
      <c r="E19" s="352" t="str">
        <f>_xll.ohRangeRetrieveError(D19)</f>
        <v/>
      </c>
      <c r="F19" s="47"/>
      <c r="H19" s="48"/>
      <c r="I19" s="86" t="str">
        <f t="shared" si="2"/>
        <v>2WD</v>
      </c>
      <c r="J19" s="72">
        <f>'6MSynthDepo'!D34</f>
        <v>2.5818186921978355E-2</v>
      </c>
      <c r="K19" s="51"/>
      <c r="L19" s="77">
        <v>2.5923860198961455E-2</v>
      </c>
      <c r="M19" s="49"/>
      <c r="N19" s="80">
        <v>2.5818186921978355E-2</v>
      </c>
      <c r="O19" s="81">
        <f>_xll.qlSimpleQuoteSetValue(D19,ROUND($N19,6),EvaluationDate)</f>
        <v>0</v>
      </c>
      <c r="P19" s="52"/>
    </row>
    <row r="20" spans="1:16" x14ac:dyDescent="0.2">
      <c r="A20" s="112"/>
      <c r="B20" s="109" t="s">
        <v>50</v>
      </c>
      <c r="C20" s="45" t="str">
        <f t="shared" si="4"/>
        <v>AUD3WD_SYNTH6M_Quote</v>
      </c>
      <c r="D20" s="101" t="str">
        <f>_xll.qlSimpleQuote(C20,,RateTickValue,Permanent,Trigger,ObjectOverwrite)</f>
        <v>AUD3WD_SYNTH6M_Quote#0000</v>
      </c>
      <c r="E20" s="352" t="str">
        <f>_xll.ohRangeRetrieveError(D20)</f>
        <v/>
      </c>
      <c r="F20" s="47"/>
      <c r="H20" s="48"/>
      <c r="I20" s="86" t="str">
        <f t="shared" si="2"/>
        <v>3WD</v>
      </c>
      <c r="J20" s="72">
        <f>'6MSynthDepo'!D35</f>
        <v>2.5843567234233922E-2</v>
      </c>
      <c r="K20" s="51"/>
      <c r="L20" s="77">
        <v>2.5937283941604685E-2</v>
      </c>
      <c r="M20" s="49"/>
      <c r="N20" s="80">
        <v>2.5843567234233922E-2</v>
      </c>
      <c r="O20" s="81">
        <f>_xll.qlSimpleQuoteSetValue(D20,ROUND($N20,6),EvaluationDate)</f>
        <v>0</v>
      </c>
      <c r="P20" s="52"/>
    </row>
    <row r="21" spans="1:16" x14ac:dyDescent="0.2">
      <c r="A21" s="112"/>
      <c r="B21" s="109" t="s">
        <v>51</v>
      </c>
      <c r="C21" s="45" t="str">
        <f t="shared" si="4"/>
        <v>AUD1MD_SYNTH6M_Quote</v>
      </c>
      <c r="D21" s="101" t="str">
        <f>_xll.qlSimpleQuote(C21,,RateTickValue,Permanent,Trigger,ObjectOverwrite)</f>
        <v>AUD1MD_SYNTH6M_Quote#0000</v>
      </c>
      <c r="E21" s="352" t="str">
        <f>_xll.ohRangeRetrieveError(D21)</f>
        <v/>
      </c>
      <c r="F21" s="47"/>
      <c r="H21" s="48"/>
      <c r="I21" s="86" t="str">
        <f t="shared" si="2"/>
        <v>1MD</v>
      </c>
      <c r="J21" s="72">
        <f>'6MSynthDepo'!D36</f>
        <v>2.5868700306031112E-2</v>
      </c>
      <c r="K21" s="51"/>
      <c r="L21" s="77">
        <v>2.59557638847801E-2</v>
      </c>
      <c r="M21" s="49"/>
      <c r="N21" s="80">
        <v>2.5868700306031112E-2</v>
      </c>
      <c r="O21" s="81">
        <f>_xll.qlSimpleQuoteSetValue(D21,ROUND($N21,6),EvaluationDate)</f>
        <v>0</v>
      </c>
      <c r="P21" s="52"/>
    </row>
    <row r="22" spans="1:16" x14ac:dyDescent="0.2">
      <c r="A22" s="112"/>
      <c r="B22" s="109" t="s">
        <v>52</v>
      </c>
      <c r="C22" s="45" t="str">
        <f t="shared" si="4"/>
        <v>AUD2MD_SYNTH6M_Quote</v>
      </c>
      <c r="D22" s="101" t="str">
        <f>_xll.qlSimpleQuote(C22,,RateTickValue,Permanent,Trigger,ObjectOverwrite)</f>
        <v>AUD2MD_SYNTH6M_Quote#0000</v>
      </c>
      <c r="E22" s="352" t="str">
        <f>_xll.ohRangeRetrieveError(D22)</f>
        <v/>
      </c>
      <c r="F22" s="47"/>
      <c r="H22" s="48"/>
      <c r="I22" s="86" t="str">
        <f t="shared" si="2"/>
        <v>2MD</v>
      </c>
      <c r="J22" s="72">
        <f>'6MSynthDepo'!D37</f>
        <v>2.5976394000619536E-2</v>
      </c>
      <c r="K22" s="51"/>
      <c r="L22" s="77">
        <v>2.6003234341451513E-2</v>
      </c>
      <c r="M22" s="49"/>
      <c r="N22" s="80">
        <v>2.5976394000619536E-2</v>
      </c>
      <c r="O22" s="81">
        <f>_xll.qlSimpleQuoteSetValue(D22,ROUND($N22,6),EvaluationDate)</f>
        <v>0</v>
      </c>
      <c r="P22" s="52"/>
    </row>
    <row r="23" spans="1:16" x14ac:dyDescent="0.2">
      <c r="A23" s="112"/>
      <c r="B23" s="109" t="s">
        <v>53</v>
      </c>
      <c r="C23" s="45" t="str">
        <f t="shared" si="4"/>
        <v>AUD3MD_SYNTH6M_Quote</v>
      </c>
      <c r="D23" s="101" t="str">
        <f>_xll.qlSimpleQuote(C23,,RateTickValue,Permanent,Trigger,ObjectOverwrite)</f>
        <v>AUD3MD_SYNTH6M_Quote#0000</v>
      </c>
      <c r="E23" s="352" t="str">
        <f>_xll.ohRangeRetrieveError(D23)</f>
        <v/>
      </c>
      <c r="F23" s="47"/>
      <c r="H23" s="48"/>
      <c r="I23" s="86" t="str">
        <f t="shared" si="2"/>
        <v>3MD</v>
      </c>
      <c r="J23" s="72">
        <f>'6MSynthDepo'!D38</f>
        <v>2.606456092707642E-2</v>
      </c>
      <c r="K23" s="51"/>
      <c r="L23" s="77">
        <v>2.6030759821451213E-2</v>
      </c>
      <c r="M23" s="49"/>
      <c r="N23" s="80">
        <v>2.606456092707642E-2</v>
      </c>
      <c r="O23" s="81">
        <f>_xll.qlSimpleQuoteSetValue(D23,ROUND($N23,6),EvaluationDate)</f>
        <v>0</v>
      </c>
      <c r="P23" s="52"/>
    </row>
    <row r="24" spans="1:16" x14ac:dyDescent="0.2">
      <c r="A24" s="112"/>
      <c r="B24" s="109" t="s">
        <v>54</v>
      </c>
      <c r="C24" s="45" t="str">
        <f t="shared" si="4"/>
        <v>AUD4MD_SYNTH6M_Quote</v>
      </c>
      <c r="D24" s="101" t="str">
        <f>_xll.qlSimpleQuote(C24,,RateTickValue,Permanent,Trigger,ObjectOverwrite)</f>
        <v>AUD4MD_SYNTH6M_Quote#0000</v>
      </c>
      <c r="E24" s="352" t="str">
        <f>_xll.ohRangeRetrieveError(D24)</f>
        <v/>
      </c>
      <c r="F24" s="47"/>
      <c r="H24" s="48"/>
      <c r="I24" s="86" t="str">
        <f t="shared" si="2"/>
        <v>4MD</v>
      </c>
      <c r="J24" s="72">
        <f>'6MSynthDepo'!D39</f>
        <v>2.6157032743317266E-2</v>
      </c>
      <c r="K24" s="51"/>
      <c r="L24" s="77">
        <v>2.6057594178047948E-2</v>
      </c>
      <c r="M24" s="49"/>
      <c r="N24" s="80">
        <v>2.6157032743317266E-2</v>
      </c>
      <c r="O24" s="81">
        <f>_xll.qlSimpleQuoteSetValue(D24,ROUND($N24,6),EvaluationDate)</f>
        <v>0</v>
      </c>
      <c r="P24" s="52"/>
    </row>
    <row r="25" spans="1:16" x14ac:dyDescent="0.2">
      <c r="A25" s="112"/>
      <c r="B25" s="109" t="s">
        <v>55</v>
      </c>
      <c r="C25" s="45" t="str">
        <f t="shared" si="4"/>
        <v>AUD5MD_SYNTH6M_Quote</v>
      </c>
      <c r="D25" s="101" t="str">
        <f>_xll.qlSimpleQuote(C25,,RateTickValue,Permanent,Trigger,ObjectOverwrite)</f>
        <v>AUD5MD_SYNTH6M_Quote#0000</v>
      </c>
      <c r="E25" s="352" t="str">
        <f>_xll.ohRangeRetrieveError(D25)</f>
        <v/>
      </c>
      <c r="F25" s="47"/>
      <c r="H25" s="48"/>
      <c r="I25" s="86" t="str">
        <f t="shared" si="2"/>
        <v>5MD</v>
      </c>
      <c r="J25" s="72">
        <f>'6MSynthDepo'!D40</f>
        <v>2.6281802434552966E-2</v>
      </c>
      <c r="K25" s="51"/>
      <c r="L25" s="77">
        <v>2.6117175301643539E-2</v>
      </c>
      <c r="M25" s="49"/>
      <c r="N25" s="80">
        <v>2.6281802434552966E-2</v>
      </c>
      <c r="O25" s="81">
        <f>_xll.qlSimpleQuoteSetValue(D25,ROUND($N25,6),EvaluationDate)</f>
        <v>0</v>
      </c>
      <c r="P25" s="52"/>
    </row>
    <row r="26" spans="1:16" ht="12" thickBot="1" x14ac:dyDescent="0.25">
      <c r="A26" s="112"/>
      <c r="B26" s="105" t="s">
        <v>56</v>
      </c>
      <c r="C26" s="70" t="str">
        <f t="shared" si="4"/>
        <v>AUD6MD_SYNTH6M_Quote</v>
      </c>
      <c r="D26" s="110" t="str">
        <f>_xll.qlSimpleQuote(C26,,RateTickValue,Permanent,Trigger,ObjectOverwrite)</f>
        <v>AUD6MD_SYNTH6M_Quote#0000</v>
      </c>
      <c r="E26" s="353" t="str">
        <f>_xll.ohRangeRetrieveError(D26)</f>
        <v/>
      </c>
      <c r="F26" s="47"/>
      <c r="H26" s="48"/>
      <c r="I26" s="88" t="str">
        <f t="shared" si="2"/>
        <v>6MD</v>
      </c>
      <c r="J26" s="76">
        <f>'6MSynthDepo'!D41</f>
        <v>2.6388223043187681E-2</v>
      </c>
      <c r="K26" s="51"/>
      <c r="L26" s="79">
        <v>2.61470620181086E-2</v>
      </c>
      <c r="M26" s="49"/>
      <c r="N26" s="84">
        <v>2.6388223043187681E-2</v>
      </c>
      <c r="O26" s="85">
        <f>_xll.qlSimpleQuoteSetValue(D26,ROUND($N26,6),EvaluationDate)</f>
        <v>0</v>
      </c>
      <c r="P26" s="52"/>
    </row>
    <row r="27" spans="1:16" ht="12" thickBot="1" x14ac:dyDescent="0.25">
      <c r="A27" s="56"/>
      <c r="B27" s="65"/>
      <c r="C27" s="66"/>
      <c r="D27" s="66"/>
      <c r="E27" s="66"/>
      <c r="F27" s="57"/>
      <c r="H27" s="53"/>
      <c r="I27" s="54"/>
      <c r="J27" s="54"/>
      <c r="K27" s="54"/>
      <c r="L27" s="54"/>
      <c r="M27" s="54"/>
      <c r="N27" s="54"/>
      <c r="O27" s="54"/>
      <c r="P27" s="55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1.25" x14ac:dyDescent="0.2"/>
  <cols>
    <col min="1" max="1" width="3.1640625" style="233" customWidth="1"/>
    <col min="2" max="2" width="11.6640625" style="233" bestFit="1" customWidth="1"/>
    <col min="3" max="3" width="4.6640625" style="233" customWidth="1"/>
    <col min="4" max="4" width="3.5" style="233" bestFit="1" customWidth="1"/>
    <col min="5" max="7" width="4.6640625" style="233" bestFit="1" customWidth="1"/>
    <col min="8" max="8" width="9.33203125" style="233" bestFit="1" customWidth="1"/>
    <col min="9" max="9" width="32.1640625" style="233" bestFit="1" customWidth="1"/>
    <col min="10" max="10" width="36.5" style="233" bestFit="1" customWidth="1"/>
    <col min="11" max="11" width="37" style="233" bestFit="1" customWidth="1"/>
    <col min="12" max="12" width="9.33203125" style="233" bestFit="1" customWidth="1"/>
    <col min="13" max="13" width="2.83203125" style="233" customWidth="1"/>
    <col min="14" max="14" width="9.33203125" style="233" bestFit="1" customWidth="1"/>
    <col min="15" max="17" width="10.5" style="233" bestFit="1" customWidth="1"/>
    <col min="18" max="20" width="14.1640625" style="233" bestFit="1" customWidth="1"/>
    <col min="21" max="16384" width="9.33203125" style="233"/>
  </cols>
  <sheetData>
    <row r="1" spans="1:13" x14ac:dyDescent="0.2">
      <c r="A1" s="245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46"/>
      <c r="B2" s="295" t="s">
        <v>112</v>
      </c>
      <c r="C2" s="295"/>
      <c r="D2" s="295"/>
      <c r="E2" s="295"/>
      <c r="F2" s="295"/>
      <c r="G2" s="295"/>
      <c r="H2" s="295" t="s">
        <v>113</v>
      </c>
      <c r="I2" s="295" t="s">
        <v>114</v>
      </c>
      <c r="J2" s="295" t="str">
        <f>Currency&amp;"_020_Sw"&amp;$D$5&amp;$E$5&amp;IF(H5=0,,"_Spr"&amp;$F5&amp;$G5)&amp;".xml"</f>
        <v>AUD_020_SwQM3AB.xml</v>
      </c>
      <c r="K2" s="295" t="str">
        <f>IF(Serialize,_xll.ohObjectSave(K5:K7,SerializationPath&amp;J2,FileOverwrite,Serialize),"---")</f>
        <v>---</v>
      </c>
      <c r="L2" s="295" t="str">
        <f>_xll.ohRangeRetrieveError(K2)</f>
        <v/>
      </c>
      <c r="M2" s="235"/>
    </row>
    <row r="3" spans="1:13" x14ac:dyDescent="0.2">
      <c r="A3" s="246"/>
      <c r="B3" s="247" t="s">
        <v>121</v>
      </c>
      <c r="C3" s="248" t="s">
        <v>33</v>
      </c>
      <c r="D3" s="247" t="s">
        <v>115</v>
      </c>
      <c r="E3" s="247" t="s">
        <v>116</v>
      </c>
      <c r="F3" s="247" t="s">
        <v>122</v>
      </c>
      <c r="G3" s="247" t="s">
        <v>117</v>
      </c>
      <c r="H3" s="249">
        <v>0</v>
      </c>
      <c r="I3" s="250" t="str">
        <f t="shared" ref="I3:I35" si="0">PROPER(Currency)&amp;IborType&amp;"SwapForBasisCalc"&amp;$C3</f>
        <v>AudBBSWSwapForBasisCalc3M</v>
      </c>
      <c r="J3" s="250" t="str">
        <f t="shared" ref="J3:J35" si="1">Currency&amp;$D3&amp;$E3&amp;$C3&amp;"_S"&amp;$F3&amp;$G3&amp;QuoteSuffix</f>
        <v>AUDQM3AB3M_S1BR3BR_Quote</v>
      </c>
      <c r="K3" s="250" t="str">
        <f>_xll.qlForwardSwapQuote(J3,I3,H3,B3,Permanent,Trigger,ObjectOverwrite)</f>
        <v>AUDQM3AB3M_S1BR3BR_Quote#0000</v>
      </c>
      <c r="L3" s="254" t="str">
        <f>_xll.ohRangeRetrieveError(K3)</f>
        <v/>
      </c>
      <c r="M3" s="235"/>
    </row>
    <row r="4" spans="1:13" x14ac:dyDescent="0.2">
      <c r="A4" s="246"/>
      <c r="B4" s="251" t="s">
        <v>121</v>
      </c>
      <c r="C4" s="252" t="s">
        <v>34</v>
      </c>
      <c r="D4" s="251" t="s">
        <v>115</v>
      </c>
      <c r="E4" s="251" t="s">
        <v>116</v>
      </c>
      <c r="F4" s="251" t="s">
        <v>122</v>
      </c>
      <c r="G4" s="251" t="s">
        <v>117</v>
      </c>
      <c r="H4" s="253">
        <v>0</v>
      </c>
      <c r="I4" s="254" t="str">
        <f t="shared" si="0"/>
        <v>AudBBSWSwapForBasisCalc6M</v>
      </c>
      <c r="J4" s="254" t="str">
        <f t="shared" si="1"/>
        <v>AUDQM3AB6M_S1BR3BR_Quote</v>
      </c>
      <c r="K4" s="254" t="str">
        <f>_xll.qlForwardSwapQuote(J4,I4,H4,B4,Permanent,Trigger,ObjectOverwrite)</f>
        <v>AUDQM3AB6M_S1BR3BR_Quote#0000</v>
      </c>
      <c r="L4" s="254" t="str">
        <f>_xll.ohRangeRetrieveError(K4)</f>
        <v/>
      </c>
      <c r="M4" s="235"/>
    </row>
    <row r="5" spans="1:13" x14ac:dyDescent="0.2">
      <c r="A5" s="246"/>
      <c r="B5" s="251" t="s">
        <v>121</v>
      </c>
      <c r="C5" s="252" t="s">
        <v>123</v>
      </c>
      <c r="D5" s="251" t="s">
        <v>115</v>
      </c>
      <c r="E5" s="251" t="s">
        <v>116</v>
      </c>
      <c r="F5" s="251" t="s">
        <v>122</v>
      </c>
      <c r="G5" s="251" t="s">
        <v>117</v>
      </c>
      <c r="H5" s="253">
        <v>0</v>
      </c>
      <c r="I5" s="254" t="str">
        <f t="shared" si="0"/>
        <v>AudBBSWSwapForBasisCalc9M</v>
      </c>
      <c r="J5" s="254" t="str">
        <f t="shared" si="1"/>
        <v>AUDQM3AB9M_S1BR3BR_Quote</v>
      </c>
      <c r="K5" s="254" t="str">
        <f>_xll.qlForwardSwapQuote(J5,I5,H5,B5,Permanent,Trigger,ObjectOverwrite)</f>
        <v>AUDQM3AB9M_S1BR3BR_Quote#0000</v>
      </c>
      <c r="L5" s="254" t="str">
        <f>_xll.ohRangeRetrieveError(K5)</f>
        <v/>
      </c>
      <c r="M5" s="235"/>
    </row>
    <row r="6" spans="1:13" x14ac:dyDescent="0.2">
      <c r="A6" s="246"/>
      <c r="B6" s="251" t="s">
        <v>121</v>
      </c>
      <c r="C6" s="252" t="s">
        <v>25</v>
      </c>
      <c r="D6" s="251" t="s">
        <v>115</v>
      </c>
      <c r="E6" s="251" t="s">
        <v>116</v>
      </c>
      <c r="F6" s="251" t="s">
        <v>122</v>
      </c>
      <c r="G6" s="251" t="s">
        <v>117</v>
      </c>
      <c r="H6" s="253">
        <v>0</v>
      </c>
      <c r="I6" s="254" t="str">
        <f t="shared" si="0"/>
        <v>AudBBSWSwapForBasisCalc1Y</v>
      </c>
      <c r="J6" s="254" t="str">
        <f t="shared" si="1"/>
        <v>AUDQM3AB1Y_S1BR3BR_Quote</v>
      </c>
      <c r="K6" s="254" t="str">
        <f>_xll.qlForwardSwapQuote(J6,I6,H6,B6,Permanent,Trigger,ObjectOverwrite)</f>
        <v>AUDQM3AB1Y_S1BR3BR_Quote#0000</v>
      </c>
      <c r="L6" s="254" t="str">
        <f>_xll.ohRangeRetrieveError(K6)</f>
        <v/>
      </c>
      <c r="M6" s="235"/>
    </row>
    <row r="7" spans="1:13" x14ac:dyDescent="0.2">
      <c r="A7" s="255"/>
      <c r="B7" s="251" t="s">
        <v>121</v>
      </c>
      <c r="C7" s="252" t="s">
        <v>119</v>
      </c>
      <c r="D7" s="251" t="s">
        <v>115</v>
      </c>
      <c r="E7" s="251" t="s">
        <v>116</v>
      </c>
      <c r="F7" s="251" t="s">
        <v>122</v>
      </c>
      <c r="G7" s="251" t="s">
        <v>117</v>
      </c>
      <c r="H7" s="253">
        <v>0</v>
      </c>
      <c r="I7" s="254" t="str">
        <f t="shared" si="0"/>
        <v>AudBBSWSwapForBasisCalc2Y</v>
      </c>
      <c r="J7" s="254" t="str">
        <f t="shared" si="1"/>
        <v>AUDQM3AB2Y_S1BR3BR_Quote</v>
      </c>
      <c r="K7" s="254" t="str">
        <f>_xll.qlForwardSwapQuote(J7,I7,H7,B7,Permanent,Trigger,ObjectOverwrite)</f>
        <v>AUDQM3AB2Y_S1BR3BR_Quote#0000</v>
      </c>
      <c r="L7" s="254" t="str">
        <f>_xll.ohRangeRetrieveError(K7)</f>
        <v/>
      </c>
      <c r="M7" s="235"/>
    </row>
    <row r="8" spans="1:13" x14ac:dyDescent="0.2">
      <c r="A8" s="246"/>
      <c r="B8" s="251" t="s">
        <v>121</v>
      </c>
      <c r="C8" s="252" t="s">
        <v>58</v>
      </c>
      <c r="D8" s="251" t="s">
        <v>115</v>
      </c>
      <c r="E8" s="251" t="s">
        <v>116</v>
      </c>
      <c r="F8" s="251" t="s">
        <v>122</v>
      </c>
      <c r="G8" s="251" t="s">
        <v>117</v>
      </c>
      <c r="H8" s="253">
        <v>0</v>
      </c>
      <c r="I8" s="254" t="str">
        <f t="shared" si="0"/>
        <v>AudBBSWSwapForBasisCalc3Y</v>
      </c>
      <c r="J8" s="254" t="str">
        <f t="shared" si="1"/>
        <v>AUDQM3AB3Y_S1BR3BR_Quote</v>
      </c>
      <c r="K8" s="254" t="str">
        <f>_xll.qlForwardSwapQuote(J8,I8,H8,B8,Permanent,Trigger,ObjectOverwrite)</f>
        <v>AUDQM3AB3Y_S1BR3BR_Quote#0000</v>
      </c>
      <c r="L8" s="254" t="str">
        <f>_xll.ohRangeRetrieveError(K8)</f>
        <v/>
      </c>
      <c r="M8" s="235"/>
    </row>
    <row r="9" spans="1:13" x14ac:dyDescent="0.2">
      <c r="A9" s="246"/>
      <c r="B9" s="251" t="s">
        <v>121</v>
      </c>
      <c r="C9" s="252" t="s">
        <v>124</v>
      </c>
      <c r="D9" s="251" t="s">
        <v>115</v>
      </c>
      <c r="E9" s="251" t="s">
        <v>116</v>
      </c>
      <c r="F9" s="251" t="s">
        <v>122</v>
      </c>
      <c r="G9" s="251" t="s">
        <v>117</v>
      </c>
      <c r="H9" s="253">
        <v>0</v>
      </c>
      <c r="I9" s="254" t="str">
        <f t="shared" si="0"/>
        <v>AudBBSWSwapForBasisCalc4Y</v>
      </c>
      <c r="J9" s="254" t="str">
        <f t="shared" si="1"/>
        <v>AUDQM3AB4Y_S1BR3BR_Quote</v>
      </c>
      <c r="K9" s="254" t="str">
        <f>_xll.qlForwardSwapQuote(J9,I9,H9,B9,Permanent,Trigger,ObjectOverwrite)</f>
        <v>AUDQM3AB4Y_S1BR3BR_Quote#0000</v>
      </c>
      <c r="L9" s="254" t="str">
        <f>_xll.ohRangeRetrieveError(K9)</f>
        <v/>
      </c>
      <c r="M9" s="235"/>
    </row>
    <row r="10" spans="1:13" x14ac:dyDescent="0.2">
      <c r="A10" s="246"/>
      <c r="B10" s="251" t="s">
        <v>121</v>
      </c>
      <c r="C10" s="252" t="s">
        <v>125</v>
      </c>
      <c r="D10" s="251" t="s">
        <v>115</v>
      </c>
      <c r="E10" s="251" t="s">
        <v>116</v>
      </c>
      <c r="F10" s="251" t="s">
        <v>122</v>
      </c>
      <c r="G10" s="251" t="s">
        <v>117</v>
      </c>
      <c r="H10" s="253">
        <v>0</v>
      </c>
      <c r="I10" s="254" t="str">
        <f t="shared" si="0"/>
        <v>AudBBSWSwapForBasisCalc5Y</v>
      </c>
      <c r="J10" s="254" t="str">
        <f t="shared" si="1"/>
        <v>AUDQM3AB5Y_S1BR3BR_Quote</v>
      </c>
      <c r="K10" s="254" t="str">
        <f>_xll.qlForwardSwapQuote(J10,I10,H10,B10,Permanent,Trigger,ObjectOverwrite)</f>
        <v>AUDQM3AB5Y_S1BR3BR_Quote#0000</v>
      </c>
      <c r="L10" s="254" t="str">
        <f>_xll.ohRangeRetrieveError(K10)</f>
        <v/>
      </c>
      <c r="M10" s="235"/>
    </row>
    <row r="11" spans="1:13" x14ac:dyDescent="0.2">
      <c r="A11" s="246"/>
      <c r="B11" s="251" t="s">
        <v>121</v>
      </c>
      <c r="C11" s="252" t="s">
        <v>126</v>
      </c>
      <c r="D11" s="251" t="s">
        <v>115</v>
      </c>
      <c r="E11" s="251" t="s">
        <v>116</v>
      </c>
      <c r="F11" s="251" t="s">
        <v>122</v>
      </c>
      <c r="G11" s="251" t="s">
        <v>117</v>
      </c>
      <c r="H11" s="253">
        <v>0</v>
      </c>
      <c r="I11" s="254" t="str">
        <f t="shared" si="0"/>
        <v>AudBBSWSwapForBasisCalc6Y</v>
      </c>
      <c r="J11" s="254" t="str">
        <f t="shared" si="1"/>
        <v>AUDQM3AB6Y_S1BR3BR_Quote</v>
      </c>
      <c r="K11" s="254" t="str">
        <f>_xll.qlForwardSwapQuote(J11,I11,H11,B11,Permanent,Trigger,ObjectOverwrite)</f>
        <v>AUDQM3AB6Y_S1BR3BR_Quote#0000</v>
      </c>
      <c r="L11" s="254" t="str">
        <f>_xll.ohRangeRetrieveError(K11)</f>
        <v/>
      </c>
      <c r="M11" s="235"/>
    </row>
    <row r="12" spans="1:13" x14ac:dyDescent="0.2">
      <c r="A12" s="246"/>
      <c r="B12" s="251" t="s">
        <v>121</v>
      </c>
      <c r="C12" s="252" t="s">
        <v>127</v>
      </c>
      <c r="D12" s="251" t="s">
        <v>115</v>
      </c>
      <c r="E12" s="251" t="s">
        <v>116</v>
      </c>
      <c r="F12" s="251" t="s">
        <v>122</v>
      </c>
      <c r="G12" s="251" t="s">
        <v>117</v>
      </c>
      <c r="H12" s="253">
        <v>0</v>
      </c>
      <c r="I12" s="254" t="str">
        <f t="shared" si="0"/>
        <v>AudBBSWSwapForBasisCalc7Y</v>
      </c>
      <c r="J12" s="254" t="str">
        <f t="shared" si="1"/>
        <v>AUDQM3AB7Y_S1BR3BR_Quote</v>
      </c>
      <c r="K12" s="254" t="str">
        <f>_xll.qlForwardSwapQuote(J12,I12,H12,B12,Permanent,Trigger,ObjectOverwrite)</f>
        <v>AUDQM3AB7Y_S1BR3BR_Quote#0000</v>
      </c>
      <c r="L12" s="254" t="str">
        <f>_xll.ohRangeRetrieveError(K12)</f>
        <v/>
      </c>
      <c r="M12" s="235"/>
    </row>
    <row r="13" spans="1:13" x14ac:dyDescent="0.2">
      <c r="A13" s="246"/>
      <c r="B13" s="251" t="s">
        <v>121</v>
      </c>
      <c r="C13" s="252" t="s">
        <v>128</v>
      </c>
      <c r="D13" s="251" t="s">
        <v>115</v>
      </c>
      <c r="E13" s="251" t="s">
        <v>116</v>
      </c>
      <c r="F13" s="251" t="s">
        <v>122</v>
      </c>
      <c r="G13" s="251" t="s">
        <v>117</v>
      </c>
      <c r="H13" s="253">
        <v>0</v>
      </c>
      <c r="I13" s="254" t="str">
        <f t="shared" si="0"/>
        <v>AudBBSWSwapForBasisCalc8Y</v>
      </c>
      <c r="J13" s="254" t="str">
        <f t="shared" si="1"/>
        <v>AUDQM3AB8Y_S1BR3BR_Quote</v>
      </c>
      <c r="K13" s="254" t="str">
        <f>_xll.qlForwardSwapQuote(J13,I13,H13,B13,Permanent,Trigger,ObjectOverwrite)</f>
        <v>AUDQM3AB8Y_S1BR3BR_Quote#0000</v>
      </c>
      <c r="L13" s="254" t="str">
        <f>_xll.ohRangeRetrieveError(K13)</f>
        <v/>
      </c>
      <c r="M13" s="235"/>
    </row>
    <row r="14" spans="1:13" x14ac:dyDescent="0.2">
      <c r="A14" s="246"/>
      <c r="B14" s="251" t="s">
        <v>121</v>
      </c>
      <c r="C14" s="252" t="s">
        <v>129</v>
      </c>
      <c r="D14" s="251" t="s">
        <v>115</v>
      </c>
      <c r="E14" s="251" t="s">
        <v>116</v>
      </c>
      <c r="F14" s="251" t="s">
        <v>122</v>
      </c>
      <c r="G14" s="251" t="s">
        <v>117</v>
      </c>
      <c r="H14" s="253">
        <v>0</v>
      </c>
      <c r="I14" s="254" t="str">
        <f t="shared" si="0"/>
        <v>AudBBSWSwapForBasisCalc9Y</v>
      </c>
      <c r="J14" s="254" t="str">
        <f t="shared" si="1"/>
        <v>AUDQM3AB9Y_S1BR3BR_Quote</v>
      </c>
      <c r="K14" s="254" t="str">
        <f>_xll.qlForwardSwapQuote(J14,I14,H14,B14,Permanent,Trigger,ObjectOverwrite)</f>
        <v>AUDQM3AB9Y_S1BR3BR_Quote#0000</v>
      </c>
      <c r="L14" s="254" t="str">
        <f>_xll.ohRangeRetrieveError(K14)</f>
        <v/>
      </c>
      <c r="M14" s="235"/>
    </row>
    <row r="15" spans="1:13" x14ac:dyDescent="0.2">
      <c r="A15" s="246"/>
      <c r="B15" s="251" t="s">
        <v>121</v>
      </c>
      <c r="C15" s="252" t="s">
        <v>130</v>
      </c>
      <c r="D15" s="251" t="s">
        <v>115</v>
      </c>
      <c r="E15" s="251" t="s">
        <v>116</v>
      </c>
      <c r="F15" s="251" t="s">
        <v>122</v>
      </c>
      <c r="G15" s="251" t="s">
        <v>117</v>
      </c>
      <c r="H15" s="253">
        <v>0</v>
      </c>
      <c r="I15" s="254" t="str">
        <f t="shared" si="0"/>
        <v>AudBBSWSwapForBasisCalc10Y</v>
      </c>
      <c r="J15" s="254" t="str">
        <f t="shared" si="1"/>
        <v>AUDQM3AB10Y_S1BR3BR_Quote</v>
      </c>
      <c r="K15" s="254" t="str">
        <f>_xll.qlForwardSwapQuote(J15,I15,H15,B15,Permanent,Trigger,ObjectOverwrite)</f>
        <v>AUDQM3AB10Y_S1BR3BR_Quote#0000</v>
      </c>
      <c r="L15" s="254" t="str">
        <f>_xll.ohRangeRetrieveError(K15)</f>
        <v/>
      </c>
      <c r="M15" s="235"/>
    </row>
    <row r="16" spans="1:13" x14ac:dyDescent="0.2">
      <c r="A16" s="246"/>
      <c r="B16" s="251" t="s">
        <v>121</v>
      </c>
      <c r="C16" s="252" t="s">
        <v>131</v>
      </c>
      <c r="D16" s="251" t="s">
        <v>115</v>
      </c>
      <c r="E16" s="251" t="s">
        <v>116</v>
      </c>
      <c r="F16" s="251" t="s">
        <v>122</v>
      </c>
      <c r="G16" s="251" t="s">
        <v>117</v>
      </c>
      <c r="H16" s="253">
        <v>0</v>
      </c>
      <c r="I16" s="254" t="str">
        <f t="shared" si="0"/>
        <v>AudBBSWSwapForBasisCalc11Y</v>
      </c>
      <c r="J16" s="254" t="str">
        <f t="shared" si="1"/>
        <v>AUDQM3AB11Y_S1BR3BR_Quote</v>
      </c>
      <c r="K16" s="254" t="str">
        <f>_xll.qlForwardSwapQuote(J16,I16,H16,B16,Permanent,Trigger,ObjectOverwrite)</f>
        <v>AUDQM3AB11Y_S1BR3BR_Quote#0000</v>
      </c>
      <c r="L16" s="254" t="str">
        <f>_xll.ohRangeRetrieveError(K16)</f>
        <v/>
      </c>
      <c r="M16" s="235"/>
    </row>
    <row r="17" spans="1:20" x14ac:dyDescent="0.2">
      <c r="A17" s="246"/>
      <c r="B17" s="251" t="s">
        <v>121</v>
      </c>
      <c r="C17" s="252" t="s">
        <v>132</v>
      </c>
      <c r="D17" s="251" t="s">
        <v>115</v>
      </c>
      <c r="E17" s="251" t="s">
        <v>116</v>
      </c>
      <c r="F17" s="251" t="s">
        <v>122</v>
      </c>
      <c r="G17" s="251" t="s">
        <v>117</v>
      </c>
      <c r="H17" s="253">
        <v>0</v>
      </c>
      <c r="I17" s="254" t="str">
        <f t="shared" si="0"/>
        <v>AudBBSWSwapForBasisCalc12Y</v>
      </c>
      <c r="J17" s="254" t="str">
        <f t="shared" si="1"/>
        <v>AUDQM3AB12Y_S1BR3BR_Quote</v>
      </c>
      <c r="K17" s="254" t="str">
        <f>_xll.qlForwardSwapQuote(J17,I17,H17,B17,Permanent,Trigger,ObjectOverwrite)</f>
        <v>AUDQM3AB12Y_S1BR3BR_Quote#0000</v>
      </c>
      <c r="L17" s="254" t="str">
        <f>_xll.ohRangeRetrieveError(K17)</f>
        <v/>
      </c>
      <c r="M17" s="235"/>
    </row>
    <row r="18" spans="1:20" x14ac:dyDescent="0.2">
      <c r="A18" s="246"/>
      <c r="B18" s="251" t="s">
        <v>121</v>
      </c>
      <c r="C18" s="252" t="s">
        <v>133</v>
      </c>
      <c r="D18" s="251" t="s">
        <v>115</v>
      </c>
      <c r="E18" s="251" t="s">
        <v>116</v>
      </c>
      <c r="F18" s="251" t="s">
        <v>122</v>
      </c>
      <c r="G18" s="251" t="s">
        <v>117</v>
      </c>
      <c r="H18" s="253">
        <v>0</v>
      </c>
      <c r="I18" s="254" t="str">
        <f t="shared" si="0"/>
        <v>AudBBSWSwapForBasisCalc13Y</v>
      </c>
      <c r="J18" s="254" t="str">
        <f t="shared" si="1"/>
        <v>AUDQM3AB13Y_S1BR3BR_Quote</v>
      </c>
      <c r="K18" s="254" t="str">
        <f>_xll.qlForwardSwapQuote(J18,I18,H18,B18,Permanent,Trigger,ObjectOverwrite)</f>
        <v>AUDQM3AB13Y_S1BR3BR_Quote#0000</v>
      </c>
      <c r="L18" s="254" t="str">
        <f>_xll.ohRangeRetrieveError(K18)</f>
        <v/>
      </c>
      <c r="M18" s="235"/>
    </row>
    <row r="19" spans="1:20" x14ac:dyDescent="0.2">
      <c r="A19" s="246"/>
      <c r="B19" s="251" t="s">
        <v>121</v>
      </c>
      <c r="C19" s="252" t="s">
        <v>134</v>
      </c>
      <c r="D19" s="251" t="s">
        <v>115</v>
      </c>
      <c r="E19" s="251" t="s">
        <v>116</v>
      </c>
      <c r="F19" s="251" t="s">
        <v>122</v>
      </c>
      <c r="G19" s="251" t="s">
        <v>117</v>
      </c>
      <c r="H19" s="253">
        <v>0</v>
      </c>
      <c r="I19" s="254" t="str">
        <f t="shared" si="0"/>
        <v>AudBBSWSwapForBasisCalc14Y</v>
      </c>
      <c r="J19" s="254" t="str">
        <f t="shared" si="1"/>
        <v>AUDQM3AB14Y_S1BR3BR_Quote</v>
      </c>
      <c r="K19" s="254" t="str">
        <f>_xll.qlForwardSwapQuote(J19,I19,H19,B19,Permanent,Trigger,ObjectOverwrite)</f>
        <v>AUDQM3AB14Y_S1BR3BR_Quote#0000</v>
      </c>
      <c r="L19" s="254" t="str">
        <f>_xll.ohRangeRetrieveError(K19)</f>
        <v/>
      </c>
      <c r="M19" s="235"/>
    </row>
    <row r="20" spans="1:20" x14ac:dyDescent="0.2">
      <c r="A20" s="246"/>
      <c r="B20" s="251" t="s">
        <v>121</v>
      </c>
      <c r="C20" s="252" t="s">
        <v>135</v>
      </c>
      <c r="D20" s="251" t="s">
        <v>115</v>
      </c>
      <c r="E20" s="251" t="s">
        <v>116</v>
      </c>
      <c r="F20" s="251" t="s">
        <v>122</v>
      </c>
      <c r="G20" s="251" t="s">
        <v>117</v>
      </c>
      <c r="H20" s="253">
        <v>0</v>
      </c>
      <c r="I20" s="254" t="str">
        <f t="shared" si="0"/>
        <v>AudBBSWSwapForBasisCalc15Y</v>
      </c>
      <c r="J20" s="254" t="str">
        <f t="shared" si="1"/>
        <v>AUDQM3AB15Y_S1BR3BR_Quote</v>
      </c>
      <c r="K20" s="254" t="str">
        <f>_xll.qlForwardSwapQuote(J20,I20,H20,B20,Permanent,Trigger,ObjectOverwrite)</f>
        <v>AUDQM3AB15Y_S1BR3BR_Quote#0000</v>
      </c>
      <c r="L20" s="254" t="str">
        <f>_xll.ohRangeRetrieveError(K20)</f>
        <v/>
      </c>
      <c r="M20" s="235"/>
    </row>
    <row r="21" spans="1:20" x14ac:dyDescent="0.2">
      <c r="A21" s="246"/>
      <c r="B21" s="251" t="s">
        <v>121</v>
      </c>
      <c r="C21" s="252" t="s">
        <v>136</v>
      </c>
      <c r="D21" s="251" t="s">
        <v>115</v>
      </c>
      <c r="E21" s="251" t="s">
        <v>116</v>
      </c>
      <c r="F21" s="251" t="s">
        <v>122</v>
      </c>
      <c r="G21" s="251" t="s">
        <v>117</v>
      </c>
      <c r="H21" s="253">
        <v>0</v>
      </c>
      <c r="I21" s="254" t="str">
        <f t="shared" si="0"/>
        <v>AudBBSWSwapForBasisCalc16Y</v>
      </c>
      <c r="J21" s="254" t="str">
        <f t="shared" si="1"/>
        <v>AUDQM3AB16Y_S1BR3BR_Quote</v>
      </c>
      <c r="K21" s="254" t="str">
        <f>_xll.qlForwardSwapQuote(J21,I21,H21,B21,Permanent,Trigger,ObjectOverwrite)</f>
        <v>AUDQM3AB16Y_S1BR3BR_Quote#0000</v>
      </c>
      <c r="L21" s="254" t="str">
        <f>_xll.ohRangeRetrieveError(K21)</f>
        <v/>
      </c>
      <c r="M21" s="235"/>
    </row>
    <row r="22" spans="1:20" x14ac:dyDescent="0.2">
      <c r="A22" s="246"/>
      <c r="B22" s="251" t="s">
        <v>121</v>
      </c>
      <c r="C22" s="252" t="s">
        <v>137</v>
      </c>
      <c r="D22" s="251" t="s">
        <v>115</v>
      </c>
      <c r="E22" s="251" t="s">
        <v>116</v>
      </c>
      <c r="F22" s="251" t="s">
        <v>122</v>
      </c>
      <c r="G22" s="251" t="s">
        <v>117</v>
      </c>
      <c r="H22" s="253">
        <v>0</v>
      </c>
      <c r="I22" s="254" t="str">
        <f t="shared" si="0"/>
        <v>AudBBSWSwapForBasisCalc17Y</v>
      </c>
      <c r="J22" s="254" t="str">
        <f t="shared" si="1"/>
        <v>AUDQM3AB17Y_S1BR3BR_Quote</v>
      </c>
      <c r="K22" s="254" t="str">
        <f>_xll.qlForwardSwapQuote(J22,I22,H22,B22,Permanent,Trigger,ObjectOverwrite)</f>
        <v>AUDQM3AB17Y_S1BR3BR_Quote#0000</v>
      </c>
      <c r="L22" s="254" t="str">
        <f>_xll.ohRangeRetrieveError(K22)</f>
        <v/>
      </c>
      <c r="M22" s="235"/>
    </row>
    <row r="23" spans="1:20" x14ac:dyDescent="0.2">
      <c r="A23" s="246"/>
      <c r="B23" s="251" t="s">
        <v>121</v>
      </c>
      <c r="C23" s="252" t="s">
        <v>138</v>
      </c>
      <c r="D23" s="251" t="s">
        <v>115</v>
      </c>
      <c r="E23" s="251" t="s">
        <v>116</v>
      </c>
      <c r="F23" s="251" t="s">
        <v>122</v>
      </c>
      <c r="G23" s="251" t="s">
        <v>117</v>
      </c>
      <c r="H23" s="253">
        <v>0</v>
      </c>
      <c r="I23" s="254" t="str">
        <f t="shared" si="0"/>
        <v>AudBBSWSwapForBasisCalc18Y</v>
      </c>
      <c r="J23" s="254" t="str">
        <f t="shared" si="1"/>
        <v>AUDQM3AB18Y_S1BR3BR_Quote</v>
      </c>
      <c r="K23" s="254" t="str">
        <f>_xll.qlForwardSwapQuote(J23,I23,H23,B23,Permanent,Trigger,ObjectOverwrite)</f>
        <v>AUDQM3AB18Y_S1BR3BR_Quote#0000</v>
      </c>
      <c r="L23" s="254" t="str">
        <f>_xll.ohRangeRetrieveError(K23)</f>
        <v/>
      </c>
      <c r="M23" s="235"/>
    </row>
    <row r="24" spans="1:20" x14ac:dyDescent="0.2">
      <c r="A24" s="246"/>
      <c r="B24" s="251" t="s">
        <v>121</v>
      </c>
      <c r="C24" s="252" t="s">
        <v>139</v>
      </c>
      <c r="D24" s="251" t="s">
        <v>115</v>
      </c>
      <c r="E24" s="251" t="s">
        <v>116</v>
      </c>
      <c r="F24" s="251" t="s">
        <v>122</v>
      </c>
      <c r="G24" s="251" t="s">
        <v>117</v>
      </c>
      <c r="H24" s="253">
        <v>0</v>
      </c>
      <c r="I24" s="254" t="str">
        <f t="shared" si="0"/>
        <v>AudBBSWSwapForBasisCalc19Y</v>
      </c>
      <c r="J24" s="254" t="str">
        <f t="shared" si="1"/>
        <v>AUDQM3AB19Y_S1BR3BR_Quote</v>
      </c>
      <c r="K24" s="254" t="str">
        <f>_xll.qlForwardSwapQuote(J24,I24,H24,B24,Permanent,Trigger,ObjectOverwrite)</f>
        <v>AUDQM3AB19Y_S1BR3BR_Quote#0000</v>
      </c>
      <c r="L24" s="254" t="str">
        <f>_xll.ohRangeRetrieveError(K24)</f>
        <v/>
      </c>
      <c r="M24" s="235"/>
    </row>
    <row r="25" spans="1:20" x14ac:dyDescent="0.2">
      <c r="A25" s="246"/>
      <c r="B25" s="251" t="s">
        <v>121</v>
      </c>
      <c r="C25" s="252" t="s">
        <v>140</v>
      </c>
      <c r="D25" s="251" t="s">
        <v>115</v>
      </c>
      <c r="E25" s="251" t="s">
        <v>116</v>
      </c>
      <c r="F25" s="251" t="s">
        <v>122</v>
      </c>
      <c r="G25" s="251" t="s">
        <v>117</v>
      </c>
      <c r="H25" s="253">
        <v>0</v>
      </c>
      <c r="I25" s="254" t="str">
        <f t="shared" si="0"/>
        <v>AudBBSWSwapForBasisCalc20Y</v>
      </c>
      <c r="J25" s="254" t="str">
        <f t="shared" si="1"/>
        <v>AUDQM3AB20Y_S1BR3BR_Quote</v>
      </c>
      <c r="K25" s="254" t="str">
        <f>_xll.qlForwardSwapQuote(J25,I25,H25,B25,Permanent,Trigger,ObjectOverwrite)</f>
        <v>AUDQM3AB20Y_S1BR3BR_Quote#0000</v>
      </c>
      <c r="L25" s="254" t="str">
        <f>_xll.ohRangeRetrieveError(K25)</f>
        <v/>
      </c>
      <c r="M25" s="235"/>
    </row>
    <row r="26" spans="1:20" x14ac:dyDescent="0.2">
      <c r="A26" s="246"/>
      <c r="B26" s="251" t="s">
        <v>121</v>
      </c>
      <c r="C26" s="252" t="s">
        <v>141</v>
      </c>
      <c r="D26" s="251" t="s">
        <v>115</v>
      </c>
      <c r="E26" s="251" t="s">
        <v>116</v>
      </c>
      <c r="F26" s="251" t="s">
        <v>122</v>
      </c>
      <c r="G26" s="251" t="s">
        <v>117</v>
      </c>
      <c r="H26" s="253">
        <v>0</v>
      </c>
      <c r="I26" s="254" t="str">
        <f t="shared" si="0"/>
        <v>AudBBSWSwapForBasisCalc21Y</v>
      </c>
      <c r="J26" s="254" t="str">
        <f t="shared" si="1"/>
        <v>AUDQM3AB21Y_S1BR3BR_Quote</v>
      </c>
      <c r="K26" s="254" t="str">
        <f>_xll.qlForwardSwapQuote(J26,I26,H26,B26,Permanent,Trigger,ObjectOverwrite)</f>
        <v>AUDQM3AB21Y_S1BR3BR_Quote#0000</v>
      </c>
      <c r="L26" s="254" t="str">
        <f>_xll.ohRangeRetrieveError(K26)</f>
        <v/>
      </c>
      <c r="M26" s="235"/>
    </row>
    <row r="27" spans="1:20" x14ac:dyDescent="0.2">
      <c r="A27" s="246"/>
      <c r="B27" s="251" t="s">
        <v>121</v>
      </c>
      <c r="C27" s="252" t="s">
        <v>142</v>
      </c>
      <c r="D27" s="251" t="s">
        <v>115</v>
      </c>
      <c r="E27" s="251" t="s">
        <v>116</v>
      </c>
      <c r="F27" s="251" t="s">
        <v>122</v>
      </c>
      <c r="G27" s="251" t="s">
        <v>117</v>
      </c>
      <c r="H27" s="253">
        <v>0</v>
      </c>
      <c r="I27" s="254" t="str">
        <f t="shared" si="0"/>
        <v>AudBBSWSwapForBasisCalc22Y</v>
      </c>
      <c r="J27" s="254" t="str">
        <f t="shared" si="1"/>
        <v>AUDQM3AB22Y_S1BR3BR_Quote</v>
      </c>
      <c r="K27" s="254" t="str">
        <f>_xll.qlForwardSwapQuote(J27,I27,H27,B27,Permanent,Trigger,ObjectOverwrite)</f>
        <v>AUDQM3AB22Y_S1BR3BR_Quote#0000</v>
      </c>
      <c r="L27" s="254" t="str">
        <f>_xll.ohRangeRetrieveError(K27)</f>
        <v/>
      </c>
      <c r="M27" s="235"/>
    </row>
    <row r="28" spans="1:20" x14ac:dyDescent="0.2">
      <c r="A28" s="246"/>
      <c r="B28" s="251" t="s">
        <v>121</v>
      </c>
      <c r="C28" s="252" t="s">
        <v>143</v>
      </c>
      <c r="D28" s="251" t="s">
        <v>115</v>
      </c>
      <c r="E28" s="251" t="s">
        <v>116</v>
      </c>
      <c r="F28" s="251" t="s">
        <v>122</v>
      </c>
      <c r="G28" s="251" t="s">
        <v>117</v>
      </c>
      <c r="H28" s="253">
        <v>0</v>
      </c>
      <c r="I28" s="254" t="str">
        <f t="shared" si="0"/>
        <v>AudBBSWSwapForBasisCalc23Y</v>
      </c>
      <c r="J28" s="254" t="str">
        <f t="shared" si="1"/>
        <v>AUDQM3AB23Y_S1BR3BR_Quote</v>
      </c>
      <c r="K28" s="254" t="str">
        <f>_xll.qlForwardSwapQuote(J28,I28,H28,B28,Permanent,Trigger,ObjectOverwrite)</f>
        <v>AUDQM3AB23Y_S1BR3BR_Quote#0000</v>
      </c>
      <c r="L28" s="254" t="str">
        <f>_xll.ohRangeRetrieveError(K28)</f>
        <v/>
      </c>
      <c r="M28" s="235"/>
    </row>
    <row r="29" spans="1:20" x14ac:dyDescent="0.2">
      <c r="A29" s="246"/>
      <c r="B29" s="251" t="s">
        <v>121</v>
      </c>
      <c r="C29" s="252" t="s">
        <v>144</v>
      </c>
      <c r="D29" s="251" t="s">
        <v>115</v>
      </c>
      <c r="E29" s="251" t="s">
        <v>116</v>
      </c>
      <c r="F29" s="251" t="s">
        <v>122</v>
      </c>
      <c r="G29" s="251" t="s">
        <v>117</v>
      </c>
      <c r="H29" s="253">
        <v>0</v>
      </c>
      <c r="I29" s="254" t="str">
        <f t="shared" si="0"/>
        <v>AudBBSWSwapForBasisCalc24Y</v>
      </c>
      <c r="J29" s="254" t="str">
        <f t="shared" si="1"/>
        <v>AUDQM3AB24Y_S1BR3BR_Quote</v>
      </c>
      <c r="K29" s="254" t="str">
        <f>_xll.qlForwardSwapQuote(J29,I29,H29,B29,Permanent,Trigger,ObjectOverwrite)</f>
        <v>AUDQM3AB24Y_S1BR3BR_Quote#0000</v>
      </c>
      <c r="L29" s="254" t="str">
        <f>_xll.ohRangeRetrieveError(K29)</f>
        <v/>
      </c>
      <c r="M29" s="235"/>
    </row>
    <row r="30" spans="1:20" x14ac:dyDescent="0.2">
      <c r="A30" s="246"/>
      <c r="B30" s="251" t="s">
        <v>121</v>
      </c>
      <c r="C30" s="252" t="s">
        <v>145</v>
      </c>
      <c r="D30" s="251" t="s">
        <v>115</v>
      </c>
      <c r="E30" s="251" t="s">
        <v>116</v>
      </c>
      <c r="F30" s="251" t="s">
        <v>122</v>
      </c>
      <c r="G30" s="251" t="s">
        <v>117</v>
      </c>
      <c r="H30" s="253">
        <v>0</v>
      </c>
      <c r="I30" s="254" t="str">
        <f t="shared" si="0"/>
        <v>AudBBSWSwapForBasisCalc25Y</v>
      </c>
      <c r="J30" s="254" t="str">
        <f t="shared" si="1"/>
        <v>AUDQM3AB25Y_S1BR3BR_Quote</v>
      </c>
      <c r="K30" s="254" t="str">
        <f>_xll.qlForwardSwapQuote(J30,I30,H30,B30,Permanent,Trigger,ObjectOverwrite)</f>
        <v>AUDQM3AB25Y_S1BR3BR_Quote#0000</v>
      </c>
      <c r="L30" s="254" t="str">
        <f>_xll.ohRangeRetrieveError(K30)</f>
        <v/>
      </c>
      <c r="M30" s="235"/>
    </row>
    <row r="31" spans="1:20" x14ac:dyDescent="0.2">
      <c r="A31" s="246"/>
      <c r="B31" s="251" t="s">
        <v>121</v>
      </c>
      <c r="C31" s="252" t="s">
        <v>146</v>
      </c>
      <c r="D31" s="251" t="s">
        <v>115</v>
      </c>
      <c r="E31" s="251" t="s">
        <v>116</v>
      </c>
      <c r="F31" s="251" t="s">
        <v>122</v>
      </c>
      <c r="G31" s="251" t="s">
        <v>117</v>
      </c>
      <c r="H31" s="253">
        <v>0</v>
      </c>
      <c r="I31" s="254" t="str">
        <f t="shared" si="0"/>
        <v>AudBBSWSwapForBasisCalc26Y</v>
      </c>
      <c r="J31" s="254" t="str">
        <f t="shared" si="1"/>
        <v>AUDQM3AB26Y_S1BR3BR_Quote</v>
      </c>
      <c r="K31" s="254" t="str">
        <f>_xll.qlForwardSwapQuote(J31,I31,H31,B31,Permanent,Trigger,ObjectOverwrite)</f>
        <v>AUDQM3AB26Y_S1BR3BR_Quote#0000</v>
      </c>
      <c r="L31" s="254" t="str">
        <f>_xll.ohRangeRetrieveError(K31)</f>
        <v/>
      </c>
      <c r="M31" s="235"/>
      <c r="S31" s="262"/>
      <c r="T31" s="262"/>
    </row>
    <row r="32" spans="1:20" x14ac:dyDescent="0.2">
      <c r="A32" s="246"/>
      <c r="B32" s="251" t="s">
        <v>121</v>
      </c>
      <c r="C32" s="252" t="s">
        <v>147</v>
      </c>
      <c r="D32" s="251" t="s">
        <v>115</v>
      </c>
      <c r="E32" s="251" t="s">
        <v>116</v>
      </c>
      <c r="F32" s="251" t="s">
        <v>122</v>
      </c>
      <c r="G32" s="251" t="s">
        <v>117</v>
      </c>
      <c r="H32" s="253">
        <v>0</v>
      </c>
      <c r="I32" s="254" t="str">
        <f t="shared" si="0"/>
        <v>AudBBSWSwapForBasisCalc27Y</v>
      </c>
      <c r="J32" s="254" t="str">
        <f t="shared" si="1"/>
        <v>AUDQM3AB27Y_S1BR3BR_Quote</v>
      </c>
      <c r="K32" s="254" t="str">
        <f>_xll.qlForwardSwapQuote(J32,I32,H32,B32,Permanent,Trigger,ObjectOverwrite)</f>
        <v>AUDQM3AB27Y_S1BR3BR_Quote#0000</v>
      </c>
      <c r="L32" s="254" t="str">
        <f>_xll.ohRangeRetrieveError(K32)</f>
        <v/>
      </c>
      <c r="M32" s="235"/>
    </row>
    <row r="33" spans="1:17" x14ac:dyDescent="0.2">
      <c r="A33" s="246"/>
      <c r="B33" s="251" t="s">
        <v>121</v>
      </c>
      <c r="C33" s="252" t="s">
        <v>148</v>
      </c>
      <c r="D33" s="251" t="s">
        <v>115</v>
      </c>
      <c r="E33" s="251" t="s">
        <v>116</v>
      </c>
      <c r="F33" s="251" t="s">
        <v>122</v>
      </c>
      <c r="G33" s="251" t="s">
        <v>117</v>
      </c>
      <c r="H33" s="253">
        <v>0</v>
      </c>
      <c r="I33" s="254" t="str">
        <f t="shared" si="0"/>
        <v>AudBBSWSwapForBasisCalc28Y</v>
      </c>
      <c r="J33" s="254" t="str">
        <f t="shared" si="1"/>
        <v>AUDQM3AB28Y_S1BR3BR_Quote</v>
      </c>
      <c r="K33" s="254" t="str">
        <f>_xll.qlForwardSwapQuote(J33,I33,H33,B33,Permanent,Trigger,ObjectOverwrite)</f>
        <v>AUDQM3AB28Y_S1BR3BR_Quote#0000</v>
      </c>
      <c r="L33" s="254" t="str">
        <f>_xll.ohRangeRetrieveError(K33)</f>
        <v/>
      </c>
      <c r="M33" s="235"/>
    </row>
    <row r="34" spans="1:17" x14ac:dyDescent="0.2">
      <c r="A34" s="246"/>
      <c r="B34" s="251" t="s">
        <v>121</v>
      </c>
      <c r="C34" s="252" t="s">
        <v>149</v>
      </c>
      <c r="D34" s="251" t="s">
        <v>115</v>
      </c>
      <c r="E34" s="251" t="s">
        <v>116</v>
      </c>
      <c r="F34" s="251" t="s">
        <v>122</v>
      </c>
      <c r="G34" s="251" t="s">
        <v>117</v>
      </c>
      <c r="H34" s="253">
        <v>0</v>
      </c>
      <c r="I34" s="254" t="str">
        <f t="shared" si="0"/>
        <v>AudBBSWSwapForBasisCalc29Y</v>
      </c>
      <c r="J34" s="254" t="str">
        <f t="shared" si="1"/>
        <v>AUDQM3AB29Y_S1BR3BR_Quote</v>
      </c>
      <c r="K34" s="254" t="str">
        <f>_xll.qlForwardSwapQuote(J34,I34,H34,B34,Permanent,Trigger,ObjectOverwrite)</f>
        <v>AUDQM3AB29Y_S1BR3BR_Quote#0000</v>
      </c>
      <c r="L34" s="254" t="str">
        <f>_xll.ohRangeRetrieveError(K34)</f>
        <v/>
      </c>
      <c r="M34" s="235"/>
    </row>
    <row r="35" spans="1:17" x14ac:dyDescent="0.2">
      <c r="A35" s="246"/>
      <c r="B35" s="256" t="s">
        <v>121</v>
      </c>
      <c r="C35" s="257" t="s">
        <v>150</v>
      </c>
      <c r="D35" s="256" t="s">
        <v>115</v>
      </c>
      <c r="E35" s="256" t="s">
        <v>116</v>
      </c>
      <c r="F35" s="256" t="s">
        <v>122</v>
      </c>
      <c r="G35" s="256" t="s">
        <v>117</v>
      </c>
      <c r="H35" s="258">
        <v>0</v>
      </c>
      <c r="I35" s="259" t="str">
        <f t="shared" si="0"/>
        <v>AudBBSWSwapForBasisCalc30Y</v>
      </c>
      <c r="J35" s="259" t="str">
        <f t="shared" si="1"/>
        <v>AUDQM3AB30Y_S1BR3BR_Quote</v>
      </c>
      <c r="K35" s="259" t="str">
        <f>_xll.qlForwardSwapQuote(J35,I35,H35,B35,Permanent,Trigger,ObjectOverwrite)</f>
        <v>AUDQM3AB30Y_S1BR3BR_Quote#0000</v>
      </c>
      <c r="L35" s="254" t="str">
        <f>_xll.ohRangeRetrieveError(K35)</f>
        <v/>
      </c>
      <c r="M35" s="235"/>
    </row>
    <row r="36" spans="1:17" ht="12" thickBot="1" x14ac:dyDescent="0.25">
      <c r="A36" s="260"/>
      <c r="B36" s="242"/>
      <c r="C36" s="242"/>
      <c r="D36" s="242"/>
      <c r="E36" s="242"/>
      <c r="F36" s="242"/>
      <c r="G36" s="242"/>
      <c r="H36" s="243"/>
      <c r="I36" s="243"/>
      <c r="J36" s="243"/>
      <c r="K36" s="243"/>
      <c r="L36" s="243"/>
      <c r="M36" s="244"/>
    </row>
    <row r="39" spans="1:17" x14ac:dyDescent="0.2">
      <c r="I39" s="261"/>
      <c r="J39" s="261"/>
      <c r="L39" s="262"/>
      <c r="M39" s="262"/>
      <c r="N39" s="262"/>
      <c r="O39" s="262"/>
      <c r="P39" s="262"/>
      <c r="Q39" s="262"/>
    </row>
    <row r="40" spans="1:17" x14ac:dyDescent="0.2">
      <c r="I40" s="261"/>
      <c r="J40" s="261"/>
      <c r="L40" s="262"/>
      <c r="M40" s="262"/>
      <c r="N40" s="262"/>
      <c r="O40" s="262"/>
      <c r="P40" s="262"/>
      <c r="Q40" s="262"/>
    </row>
    <row r="41" spans="1:17" x14ac:dyDescent="0.2">
      <c r="I41" s="261"/>
      <c r="J41" s="261"/>
      <c r="L41" s="262"/>
      <c r="M41" s="262"/>
      <c r="N41" s="262"/>
      <c r="O41" s="262"/>
      <c r="P41" s="262"/>
      <c r="Q41" s="262"/>
    </row>
    <row r="42" spans="1:17" x14ac:dyDescent="0.2">
      <c r="I42" s="261"/>
      <c r="J42" s="261"/>
      <c r="L42" s="262"/>
      <c r="M42" s="262"/>
      <c r="N42" s="262"/>
      <c r="O42" s="262"/>
      <c r="P42" s="262"/>
      <c r="Q42" s="262"/>
    </row>
    <row r="43" spans="1:17" x14ac:dyDescent="0.2">
      <c r="I43" s="261"/>
      <c r="J43" s="261"/>
      <c r="L43" s="262"/>
      <c r="M43" s="262"/>
      <c r="N43" s="262"/>
      <c r="O43" s="262"/>
      <c r="P43" s="262"/>
      <c r="Q43" s="262"/>
    </row>
    <row r="44" spans="1:17" x14ac:dyDescent="0.2">
      <c r="I44" s="261"/>
      <c r="J44" s="261"/>
      <c r="L44" s="262"/>
      <c r="M44" s="262"/>
      <c r="N44" s="262"/>
      <c r="O44" s="262"/>
      <c r="P44" s="262"/>
      <c r="Q44" s="262"/>
    </row>
    <row r="45" spans="1:17" x14ac:dyDescent="0.2">
      <c r="I45" s="261"/>
      <c r="J45" s="261"/>
      <c r="L45" s="262"/>
      <c r="M45" s="262"/>
      <c r="N45" s="262"/>
      <c r="O45" s="262"/>
      <c r="P45" s="262"/>
      <c r="Q45" s="262"/>
    </row>
    <row r="46" spans="1:17" x14ac:dyDescent="0.2">
      <c r="I46" s="261"/>
      <c r="J46" s="261"/>
      <c r="L46" s="262"/>
      <c r="M46" s="262"/>
      <c r="N46" s="262"/>
    </row>
    <row r="47" spans="1:17" x14ac:dyDescent="0.2">
      <c r="I47" s="261"/>
      <c r="J47" s="261"/>
      <c r="L47" s="262"/>
      <c r="M47" s="262"/>
      <c r="N47" s="262"/>
      <c r="O47" s="26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7"/>
  <sheetViews>
    <sheetView topLeftCell="M1" workbookViewId="0">
      <selection activeCell="N1" sqref="N1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J1" s="34" t="s">
        <v>32</v>
      </c>
      <c r="K1" s="34" t="str">
        <f>_xll.qlIborIndex(,,J1,0,Currency,Calendar,"mf",TRUE,"Act/365 (fixed)",,,Trigger,ObjectOverwrite)</f>
        <v>obj_00225#0000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33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 t="str">
        <f t="shared" ref="I3:I8" si="0">Currency&amp;"1BR"&amp;"3BR"&amp;C3&amp;QuoteSuffix</f>
        <v>AUD1BR3BR3M_Quote</v>
      </c>
      <c r="J3" s="271" t="str">
        <f>'1M BBSWSwapForBasisCalc'!K3</f>
        <v>AUDQM3AB3M_S1BR3BR_Quote#0000</v>
      </c>
      <c r="K3" s="272" t="str">
        <f>_xll.qlSwapRateHelper2(,$J3,$C3,Calendar,$F3,$G3,$H3,$K$1,$I3,B3,Discounting,Permanent,Trigger,ObjectOverwrite)</f>
        <v>obj_0024e#0000</v>
      </c>
      <c r="L3" s="285" t="str">
        <f>_xll.ohRangeRetrieveError(K3)</f>
        <v/>
      </c>
      <c r="M3" s="282"/>
      <c r="N3" s="285" t="str">
        <f>_xll.qlRateHelperQuoteName(K3,Trigger)</f>
        <v>AUDQM3AB3M_S1BR3BR_Quote</v>
      </c>
      <c r="O3" s="286">
        <f>_xll.qlQuoteValue(J3,AllTriggers)</f>
        <v>2.6664485144359505E-2</v>
      </c>
      <c r="P3" s="286">
        <f>_xll.qlSwapRateHelperSpread(K3,AllTriggers)</f>
        <v>3.8749999999999999E-4</v>
      </c>
      <c r="Q3" s="285" t="b">
        <v>1</v>
      </c>
      <c r="R3" s="287">
        <f>_xll.qlRateHelperEarliestDate(K3,Trigger)</f>
        <v>41894</v>
      </c>
      <c r="S3" s="287">
        <f>_xll.qlRateHelperLatestDate(K3,Trigger)</f>
        <v>41985</v>
      </c>
    </row>
    <row r="4" spans="1:19" ht="11.25" customHeight="1" x14ac:dyDescent="0.2">
      <c r="A4" s="284"/>
      <c r="B4" s="267" t="s">
        <v>35</v>
      </c>
      <c r="C4" s="252" t="s">
        <v>34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 t="str">
        <f t="shared" si="0"/>
        <v>AUD1BR3BR6M_Quote</v>
      </c>
      <c r="J4" s="271" t="str">
        <f>'1M BBSWSwapForBasisCalc'!K4</f>
        <v>AUDQM3AB6M_S1BR3BR_Quote#0000</v>
      </c>
      <c r="K4" s="272" t="str">
        <f>_xll.qlSwapRateHelper2(,$J4,$C4,Calendar,$F4,$G4,$H4,$K$1,$I4,B4,Discounting,Permanent,Trigger,ObjectOverwrite)</f>
        <v>obj_00249#0000</v>
      </c>
      <c r="L4" s="285" t="str">
        <f>_xll.ohRangeRetrieveError(K4)</f>
        <v/>
      </c>
      <c r="M4" s="282"/>
      <c r="N4" s="285" t="str">
        <f>_xll.qlRateHelperQuoteName(K4,Trigger)</f>
        <v>AUDQM3AB6M_S1BR3BR_Quote</v>
      </c>
      <c r="O4" s="286">
        <f>_xll.qlQuoteValue(J4,AllTriggers)</f>
        <v>2.6511992505583337E-2</v>
      </c>
      <c r="P4" s="286">
        <f>_xll.qlSwapRateHelperSpread(K4,AllTriggers)</f>
        <v>5.1250000000000004E-4</v>
      </c>
      <c r="Q4" s="285" t="b">
        <v>1</v>
      </c>
      <c r="R4" s="287">
        <f>_xll.qlRateHelperEarliestDate(K4,Trigger)</f>
        <v>41894</v>
      </c>
      <c r="S4" s="287">
        <f>_xll.qlRateHelperLatestDate(K4,Trigger)</f>
        <v>42075</v>
      </c>
    </row>
    <row r="5" spans="1:19" ht="11.25" customHeight="1" x14ac:dyDescent="0.2">
      <c r="A5" s="284"/>
      <c r="B5" s="267" t="s">
        <v>35</v>
      </c>
      <c r="C5" s="252" t="s">
        <v>123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 t="str">
        <f t="shared" si="0"/>
        <v>AUD1BR3BR9M_Quote</v>
      </c>
      <c r="J5" s="271" t="str">
        <f>'1M BBSWSwapForBasisCalc'!K5</f>
        <v>AUDQM3AB9M_S1BR3BR_Quote#0000</v>
      </c>
      <c r="K5" s="272" t="str">
        <f>_xll.qlSwapRateHelper2(,$J5,$C5,Calendar,$F5,$G5,$H5,$K$1,$I5,B5,Discounting,Permanent,Trigger,ObjectOverwrite)</f>
        <v>obj_0024b#0000</v>
      </c>
      <c r="L5" s="285" t="str">
        <f>_xll.ohRangeRetrieveError(K5)</f>
        <v/>
      </c>
      <c r="M5" s="282"/>
      <c r="N5" s="285" t="str">
        <f>_xll.qlRateHelperQuoteName(K5,Trigger)</f>
        <v>AUDQM3AB9M_S1BR3BR_Quote</v>
      </c>
      <c r="O5" s="286">
        <f>_xll.qlQuoteValue(J5,AllTriggers)</f>
        <v>2.6516776829450354E-2</v>
      </c>
      <c r="P5" s="286">
        <f>_xll.qlSwapRateHelperSpread(K5,AllTriggers)</f>
        <v>6.2500000000000001E-4</v>
      </c>
      <c r="Q5" s="285" t="b">
        <v>1</v>
      </c>
      <c r="R5" s="287">
        <f>_xll.qlRateHelperEarliestDate(K5,Trigger)</f>
        <v>41894</v>
      </c>
      <c r="S5" s="287">
        <f>_xll.qlRateHelperLatestDate(K5,Trigger)</f>
        <v>42167</v>
      </c>
    </row>
    <row r="6" spans="1:19" ht="11.25" customHeight="1" x14ac:dyDescent="0.2">
      <c r="A6" s="281"/>
      <c r="B6" s="267" t="s">
        <v>35</v>
      </c>
      <c r="C6" s="252" t="s">
        <v>25</v>
      </c>
      <c r="D6" s="268" t="s">
        <v>115</v>
      </c>
      <c r="E6" s="268" t="s">
        <v>116</v>
      </c>
      <c r="F6" s="267" t="s">
        <v>157</v>
      </c>
      <c r="G6" s="269" t="s">
        <v>158</v>
      </c>
      <c r="H6" s="269" t="s">
        <v>73</v>
      </c>
      <c r="I6" s="270" t="str">
        <f t="shared" si="0"/>
        <v>AUD1BR3BR1Y_Quote</v>
      </c>
      <c r="J6" s="271" t="str">
        <f>Currency&amp;$D6&amp;$E6&amp;$C6&amp;"_Quote"</f>
        <v>AUDQM3AB1Y_Quote</v>
      </c>
      <c r="K6" s="272" t="str">
        <f>_xll.qlSwapRateHelper2(,$J6,$C6,Calendar,$F6,$G6,$H6,$K$1,$I6,B6,Discounting,Permanent,Trigger,ObjectOverwrite)</f>
        <v>obj_0024c#0000</v>
      </c>
      <c r="L6" s="285" t="str">
        <f>_xll.ohRangeRetrieveError(K6)</f>
        <v/>
      </c>
      <c r="M6" s="282"/>
      <c r="N6" s="285" t="str">
        <f>_xll.qlRateHelperQuoteName(K6,Trigger)</f>
        <v>AUDQM3AB1Y_Quote</v>
      </c>
      <c r="O6" s="286">
        <f>_xll.qlQuoteValue(J6,AllTriggers)</f>
        <v>2.6699999999999998E-2</v>
      </c>
      <c r="P6" s="286">
        <f>_xll.qlSwapRateHelperSpread(K6,AllTriggers)</f>
        <v>6.8749999999999996E-4</v>
      </c>
      <c r="Q6" s="285" t="b">
        <v>0</v>
      </c>
      <c r="R6" s="287">
        <f>_xll.qlRateHelperEarliestDate(K6,Trigger)</f>
        <v>41894</v>
      </c>
      <c r="S6" s="287">
        <f>_xll.qlRateHelperLatestDate(K6,Trigger)</f>
        <v>42261</v>
      </c>
    </row>
    <row r="7" spans="1:19" ht="11.25" customHeight="1" x14ac:dyDescent="0.2">
      <c r="A7" s="281"/>
      <c r="B7" s="267" t="s">
        <v>35</v>
      </c>
      <c r="C7" s="252" t="s">
        <v>119</v>
      </c>
      <c r="D7" s="268" t="s">
        <v>115</v>
      </c>
      <c r="E7" s="268" t="s">
        <v>116</v>
      </c>
      <c r="F7" s="267" t="s">
        <v>157</v>
      </c>
      <c r="G7" s="269" t="s">
        <v>158</v>
      </c>
      <c r="H7" s="269" t="s">
        <v>73</v>
      </c>
      <c r="I7" s="270" t="str">
        <f t="shared" si="0"/>
        <v>AUD1BR3BR2Y_Quote</v>
      </c>
      <c r="J7" s="271" t="str">
        <f>Currency&amp;$D7&amp;$E7&amp;$C7&amp;"_Quote"</f>
        <v>AUDQM3AB2Y_Quote</v>
      </c>
      <c r="K7" s="272" t="str">
        <f>_xll.qlSwapRateHelper2(,$J7,$C7,Calendar,$F7,$G7,$H7,$K$1,$I7,B7,Discounting,Permanent,Trigger,ObjectOverwrite)</f>
        <v>obj_00247#0000</v>
      </c>
      <c r="L7" s="285" t="str">
        <f>_xll.ohRangeRetrieveError(K7)</f>
        <v/>
      </c>
      <c r="M7" s="282"/>
      <c r="N7" s="285" t="str">
        <f>_xll.qlRateHelperQuoteName(K7,Trigger)</f>
        <v>AUDQM3AB2Y_Quote</v>
      </c>
      <c r="O7" s="286">
        <f>_xll.qlQuoteValue(J7,AllTriggers)</f>
        <v>2.8300000000000002E-2</v>
      </c>
      <c r="P7" s="286">
        <f>_xll.qlSwapRateHelperSpread(K7,AllTriggers)</f>
        <v>8.1249999999999996E-4</v>
      </c>
      <c r="Q7" s="285" t="b">
        <v>0</v>
      </c>
      <c r="R7" s="287">
        <f>_xll.qlRateHelperEarliestDate(K7,Trigger)</f>
        <v>41894</v>
      </c>
      <c r="S7" s="287">
        <f>_xll.qlRateHelperLatestDate(K7,Trigger)</f>
        <v>42625</v>
      </c>
    </row>
    <row r="8" spans="1:19" ht="11.25" customHeight="1" x14ac:dyDescent="0.2">
      <c r="A8" s="281"/>
      <c r="B8" s="273" t="s">
        <v>35</v>
      </c>
      <c r="C8" s="257" t="s">
        <v>58</v>
      </c>
      <c r="D8" s="274" t="s">
        <v>115</v>
      </c>
      <c r="E8" s="274" t="s">
        <v>116</v>
      </c>
      <c r="F8" s="273" t="s">
        <v>157</v>
      </c>
      <c r="G8" s="275" t="s">
        <v>158</v>
      </c>
      <c r="H8" s="275" t="s">
        <v>73</v>
      </c>
      <c r="I8" s="276" t="str">
        <f t="shared" si="0"/>
        <v>AUD1BR3BR3Y_Quote</v>
      </c>
      <c r="J8" s="277" t="str">
        <f>Currency&amp;$D8&amp;$E8&amp;$C8&amp;"_Quote"</f>
        <v>AUDQM3AB3Y_Quote</v>
      </c>
      <c r="K8" s="278" t="str">
        <f>_xll.qlSwapRateHelper2(,$J8,$C8,Calendar,$F8,$G8,$H8,$K$1,$I8,B8,Discounting,Permanent,Trigger,ObjectOverwrite)</f>
        <v>obj_0024f#0000</v>
      </c>
      <c r="L8" s="288" t="str">
        <f>_xll.ohRangeRetrieveError(K8)</f>
        <v/>
      </c>
      <c r="M8" s="282"/>
      <c r="N8" s="288" t="str">
        <f>_xll.qlRateHelperQuoteName(K8,Trigger)</f>
        <v>AUDQM3AB3Y_Quote</v>
      </c>
      <c r="O8" s="289">
        <f>_xll.qlQuoteValue(J8,AllTriggers)</f>
        <v>3.0075000000000005E-2</v>
      </c>
      <c r="P8" s="289">
        <f>_xll.qlSwapRateHelperSpread(K8,AllTriggers)</f>
        <v>8.9999999999999998E-4</v>
      </c>
      <c r="Q8" s="288" t="b">
        <v>0</v>
      </c>
      <c r="R8" s="290">
        <f>_xll.qlRateHelperEarliestDate(K8,Trigger)</f>
        <v>41894</v>
      </c>
      <c r="S8" s="290">
        <f>_xll.qlRateHelperLatestDate(K8,Trigger)</f>
        <v>42990</v>
      </c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Settings'!D35,InterestRatesTrigger)</f>
        <v>1</v>
      </c>
    </row>
    <row r="12" spans="1:19" x14ac:dyDescent="0.2">
      <c r="N12" s="330" t="str">
        <f t="array" ref="N12:N20">_xll.ohFilter(N3:N8,Q3:Q8)</f>
        <v>AUDQM3AB3M_S1BR3BR_Quote</v>
      </c>
      <c r="O12" s="286">
        <f>_xll.qlRateHelperQuoteValue(L14,AllTriggers)</f>
        <v>2.6664485144359505E-2</v>
      </c>
      <c r="P12" s="286">
        <f>_xll.qlSwapRateHelperSpread(L14,AllTriggers)</f>
        <v>3.8749999999999999E-4</v>
      </c>
      <c r="Q12" s="287">
        <f>_xll.qlRateHelperEarliestDate(L14,Trigger)</f>
        <v>41894</v>
      </c>
      <c r="R12" s="287">
        <f>_xll.qlRateHelperLatestDate(L14,Trigger)</f>
        <v>41985</v>
      </c>
      <c r="S12" s="315">
        <v>0.99341959331915164</v>
      </c>
    </row>
    <row r="13" spans="1:19" x14ac:dyDescent="0.2">
      <c r="I13" s="279"/>
      <c r="J13" s="279"/>
      <c r="L13" s="295" t="s">
        <v>180</v>
      </c>
      <c r="N13" s="330" t="str">
        <v>AUDQM3AB6M_S1BR3BR_Quote</v>
      </c>
      <c r="O13" s="286">
        <f>_xll.qlRateHelperQuoteValue(L15,AllTriggers)</f>
        <v>2.6511992505583337E-2</v>
      </c>
      <c r="P13" s="286">
        <f>_xll.qlSwapRateHelperSpread(L15,AllTriggers)</f>
        <v>5.1250000000000004E-4</v>
      </c>
      <c r="Q13" s="287">
        <f>_xll.qlRateHelperEarliestDate(L15,Trigger)</f>
        <v>41894</v>
      </c>
      <c r="R13" s="287">
        <f>_xll.qlRateHelperLatestDate(L15,Trigger)</f>
        <v>42075</v>
      </c>
      <c r="S13" s="315">
        <v>0.9871596966564522</v>
      </c>
    </row>
    <row r="14" spans="1:19" x14ac:dyDescent="0.2">
      <c r="L14" s="312" t="str">
        <f t="array" ref="L14:L22">_xll.ohFilter(K3:K8,Q3:Q8)</f>
        <v>obj_0024e#0000</v>
      </c>
      <c r="N14" s="330" t="str">
        <v>AUDQM3AB9M_S1BR3BR_Quote</v>
      </c>
      <c r="O14" s="286">
        <f>_xll.qlRateHelperQuoteValue(L16,AllTriggers)</f>
        <v>2.6516776829450354E-2</v>
      </c>
      <c r="P14" s="286">
        <f>_xll.qlSwapRateHelperSpread(L16,AllTriggers)</f>
        <v>6.2500000000000001E-4</v>
      </c>
      <c r="Q14" s="287">
        <f>_xll.qlRateHelperEarliestDate(L16,Trigger)</f>
        <v>41894</v>
      </c>
      <c r="R14" s="287">
        <f>_xll.qlRateHelperLatestDate(L16,Trigger)</f>
        <v>42167</v>
      </c>
      <c r="S14" s="315">
        <v>0.98081181342818413</v>
      </c>
    </row>
    <row r="15" spans="1:19" x14ac:dyDescent="0.2">
      <c r="I15" s="279"/>
      <c r="J15" s="279"/>
      <c r="L15" s="313" t="str">
        <v>obj_00249#0000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str">
        <v>obj_0024b#0000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3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33</v>
      </c>
      <c r="O24" s="283" t="str">
        <f>_xll.qlSwapIndex(,"BBSW",N24,1,Currency,Calendar,"3M","mf","actual/365 (fixed)",'1M Swaps'!$N$27,Discounting,,Trigger,ObjectOverwrite)</f>
        <v>obj_003e2#0000</v>
      </c>
      <c r="P24" s="332" t="str">
        <f>Currency&amp;"QM1M"&amp;N24</f>
        <v>AUDQM1M3M</v>
      </c>
      <c r="Q24" s="332">
        <f>EvaluationDate</f>
        <v>41893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41894</v>
      </c>
      <c r="U24" s="332">
        <f>_xll.qlInterestRateIndexMaturity(N27,T24,Trigger)</f>
        <v>41985</v>
      </c>
      <c r="V24" s="334">
        <f>_xll.qlDayCounterYearFraction("actual/365 (fixed)",T24,U24,,,Trigger)</f>
        <v>0.24931506849315069</v>
      </c>
      <c r="W24" s="334">
        <f>_xll.qlDayCounterYearFraction("Actual/365 (fixed)",$T$24,U24,,,Trigger)</f>
        <v>0.24931506849315069</v>
      </c>
      <c r="X24" s="335" t="e">
        <f>R24</f>
        <v>#NUM!</v>
      </c>
    </row>
    <row r="25" spans="9:24" hidden="1" x14ac:dyDescent="0.2">
      <c r="I25" s="279"/>
      <c r="J25" s="279"/>
      <c r="N25" s="345" t="s">
        <v>34</v>
      </c>
      <c r="O25" s="283" t="str">
        <f>_xll.qlSwapIndex(,"BBSW",N25,1,Currency,Calendar,"3M","mf","actual/365 (fixed)",'1M Swaps'!$N$27,Discounting,,Trigger,ObjectOverwrite)</f>
        <v>obj_003e3#0000</v>
      </c>
      <c r="P25" s="336" t="str">
        <f>Currency&amp;"QM1M"&amp;N25</f>
        <v>AUDQM1M6M</v>
      </c>
      <c r="Q25" s="336">
        <f>EvaluationDate</f>
        <v>41893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41985</v>
      </c>
      <c r="U25" s="336">
        <f>_xll.qlInterestRateIndexMaturity(N27,T25,Trigger)</f>
        <v>42075</v>
      </c>
      <c r="V25" s="338">
        <f>_xll.qlDayCounterYearFraction("actual/365 (fixed)",T25,U25,,,Trigger)</f>
        <v>0.24657534246575341</v>
      </c>
      <c r="W25" s="338">
        <f>_xll.qlDayCounterYearFraction("Actual/365 (fixed)",$T$24,U25,,,Trigger)</f>
        <v>0.49589041095890413</v>
      </c>
      <c r="X25" s="339" t="e">
        <f>((1+R25*W25)/(1+X24*W24)-1)/V25</f>
        <v>#NUM!</v>
      </c>
    </row>
    <row r="26" spans="9:24" ht="12" hidden="1" thickBot="1" x14ac:dyDescent="0.25">
      <c r="N26" s="346" t="s">
        <v>123</v>
      </c>
      <c r="O26" s="340" t="str">
        <f>_xll.qlSwapIndex(,"BBSW",N26,1,Currency,Calendar,"3M","mf","actual/365 (fixed)",'1M Swaps'!$N$27,Discounting,,Trigger,ObjectOverwrite)</f>
        <v>obj_003e6#0000</v>
      </c>
      <c r="P26" s="340" t="str">
        <f>Currency&amp;"QM1M"&amp;N26</f>
        <v>AUDQM1M9M</v>
      </c>
      <c r="Q26" s="340">
        <f>EvaluationDate</f>
        <v>41893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42075</v>
      </c>
      <c r="U26" s="340">
        <f>_xll.qlInterestRateIndexMaturity(N27,T26,Trigger)</f>
        <v>42167</v>
      </c>
      <c r="V26" s="342">
        <f>_xll.qlDayCounterYearFraction("actual/365 (fixed)",T26,U26,,,Trigger)</f>
        <v>0.25205479452054796</v>
      </c>
      <c r="W26" s="342">
        <f>_xll.qlDayCounterYearFraction("Actual/365 (fixed)",$T$24,U26,,,Trigger)</f>
        <v>0.74794520547945209</v>
      </c>
      <c r="X26" s="343" t="e">
        <f>((1+R26*W26)/(1+R25*W25)-1)/V26</f>
        <v>#NUM!</v>
      </c>
    </row>
    <row r="27" spans="9:24" ht="12" thickBot="1" x14ac:dyDescent="0.25">
      <c r="I27" s="279"/>
      <c r="J27" s="279"/>
      <c r="N27" s="34" t="str">
        <f>_xll.qlIborIndex(,,"3M",0,Currency,Calendar,"mf",TRUE,"actual/365 (fixed)",'General Settings'!D35)</f>
        <v>obj_003de#0000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33</v>
      </c>
      <c r="O30" s="333" t="str">
        <f>Currency&amp;"0x3"&amp;"F"</f>
        <v>AUD0x3F</v>
      </c>
      <c r="P30" s="332">
        <f>_xll.qlCalendarAdvance(Calendar,SettlementDate,"1D","F",,Trigger)</f>
        <v>41894</v>
      </c>
      <c r="Q30" s="332">
        <f>_xll.qlInterestRateIndexMaturity($N$27,P30,Trigger)</f>
        <v>41985</v>
      </c>
      <c r="R30" s="335">
        <f>_xll.qlIndexFixing($N$27,P30,TRUE,AllTriggers)</f>
        <v>2.6279037234583417E-2</v>
      </c>
    </row>
    <row r="31" spans="9:24" x14ac:dyDescent="0.2">
      <c r="I31" s="279"/>
      <c r="J31" s="279"/>
      <c r="N31" s="345" t="s">
        <v>34</v>
      </c>
      <c r="O31" s="337" t="str">
        <f>Currency&amp;"3x6"&amp;"F"</f>
        <v>AUD3x6F</v>
      </c>
      <c r="P31" s="336">
        <f>Q30</f>
        <v>41985</v>
      </c>
      <c r="Q31" s="336">
        <f>_xll.qlInterestRateIndexMaturity($N$27,P31,Trigger)</f>
        <v>42075</v>
      </c>
      <c r="R31" s="339">
        <f>_xll.qlIndexFixing($N$27,P31,TRUE,AllTriggers)</f>
        <v>2.5717580218887346E-2</v>
      </c>
    </row>
    <row r="32" spans="9:24" ht="12" thickBot="1" x14ac:dyDescent="0.25">
      <c r="N32" s="346" t="s">
        <v>123</v>
      </c>
      <c r="O32" s="341" t="str">
        <f>Currency&amp;"6x9"&amp;"F"</f>
        <v>AUD6x9F</v>
      </c>
      <c r="P32" s="340">
        <f>Q31</f>
        <v>42075</v>
      </c>
      <c r="Q32" s="340">
        <f>_xll.qlInterestRateIndexMaturity($N$27,P32,Trigger)</f>
        <v>42167</v>
      </c>
      <c r="R32" s="343">
        <f>_xll.qlIndexFixing($N$27,P32,TRUE,AllTriggers)</f>
        <v>2.567723632204208E-2</v>
      </c>
    </row>
    <row r="33" spans="9:10" x14ac:dyDescent="0.2">
      <c r="I33" s="279"/>
      <c r="J33" s="279"/>
    </row>
    <row r="35" spans="9:10" x14ac:dyDescent="0.2">
      <c r="I35" s="279"/>
      <c r="J35" s="279"/>
    </row>
    <row r="37" spans="9:10" x14ac:dyDescent="0.2">
      <c r="I37" s="279"/>
      <c r="J37" s="279"/>
    </row>
  </sheetData>
  <dataValidations count="4">
    <dataValidation type="list" allowBlank="1" showInputMessage="1" showErrorMessage="1" sqref="F3:F5">
      <formula1>"Annual,Semiannual,EveryFourthMonth,Quarterly,Bimonthly,Monthly,Biweekly,Weekly,Daily,Once,NoFrequency"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Q3:Q8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4" sqref="K4"/>
    </sheetView>
  </sheetViews>
  <sheetFormatPr defaultRowHeight="11.25" x14ac:dyDescent="0.2"/>
  <cols>
    <col min="1" max="1" width="3.1640625" style="233" customWidth="1"/>
    <col min="2" max="2" width="5.83203125" style="233" bestFit="1" customWidth="1"/>
    <col min="3" max="3" width="3.5" style="233" bestFit="1" customWidth="1"/>
    <col min="4" max="4" width="4.6640625" style="233" bestFit="1" customWidth="1"/>
    <col min="5" max="5" width="7" style="233" bestFit="1" customWidth="1"/>
    <col min="6" max="7" width="4.6640625" style="233" bestFit="1" customWidth="1"/>
    <col min="8" max="8" width="21.33203125" style="233" bestFit="1" customWidth="1"/>
    <col min="9" max="9" width="31" style="233" bestFit="1" customWidth="1"/>
    <col min="10" max="10" width="36.5" style="233" bestFit="1" customWidth="1"/>
    <col min="11" max="11" width="35.83203125" style="233" bestFit="1" customWidth="1"/>
    <col min="12" max="12" width="41.6640625" style="233" customWidth="1"/>
    <col min="13" max="14" width="3.1640625" style="233" customWidth="1"/>
    <col min="15" max="16384" width="9.33203125" style="233"/>
  </cols>
  <sheetData>
    <row r="1" spans="1:13" x14ac:dyDescent="0.2">
      <c r="A1" s="230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34"/>
      <c r="B2" s="295"/>
      <c r="C2" s="295"/>
      <c r="D2" s="295"/>
      <c r="E2" s="295" t="s">
        <v>112</v>
      </c>
      <c r="F2" s="295"/>
      <c r="G2" s="295"/>
      <c r="H2" s="295" t="s">
        <v>113</v>
      </c>
      <c r="I2" s="295" t="s">
        <v>114</v>
      </c>
      <c r="J2" s="295" t="str">
        <f>Currency&amp;"_020_Sw"&amp;$C$4&amp;$D$4&amp;IF(H4=0,,"_Spr"&amp;$F4&amp;$G4)&amp;".xml"</f>
        <v>AUD_020_SwQM3AB_Spr3BR6BR.xml</v>
      </c>
      <c r="K2" s="295" t="str">
        <f>IF(Serialize,_xll.ohObjectSave(K4:K6,SerializationPath&amp;J2,FileOverwrite,Serialize),"---")</f>
        <v>---</v>
      </c>
      <c r="L2" s="295" t="str">
        <f>_xll.ohRangeRetrieveError(K2)</f>
        <v/>
      </c>
      <c r="M2" s="235"/>
    </row>
    <row r="3" spans="1:13" ht="12.75" customHeight="1" x14ac:dyDescent="0.2">
      <c r="A3" s="234"/>
      <c r="B3" s="236" t="s">
        <v>34</v>
      </c>
      <c r="C3" s="237" t="s">
        <v>115</v>
      </c>
      <c r="D3" s="237" t="s">
        <v>116</v>
      </c>
      <c r="E3" s="237" t="s">
        <v>35</v>
      </c>
      <c r="F3" s="237" t="s">
        <v>117</v>
      </c>
      <c r="G3" s="237" t="s">
        <v>118</v>
      </c>
      <c r="H3" s="238" t="str">
        <f>IF(F3=0,0,Currency&amp;$F3&amp;$G3&amp;$B3&amp;QuoteSuffix)</f>
        <v>AUD3BR6BR6M_Quote</v>
      </c>
      <c r="I3" s="239" t="str">
        <f>PROPER(Currency)&amp;IborType&amp;"SwapForBasisCalc"&amp;$B3</f>
        <v>AudBBSWSwapForBasisCalc6M</v>
      </c>
      <c r="J3" s="240" t="str">
        <f>Currency&amp;$C3&amp;$D3&amp;$B3&amp;IF(H3=0,,"_S"&amp;$F3&amp;$G3)&amp;QuoteSuffix</f>
        <v>AUDQM3AB6M_S3BR6BR_Quote</v>
      </c>
      <c r="K3" s="240" t="str">
        <f>_xll.qlForwardSwapQuote(J3,I3,H3,E3,Permanent,Trigger,ObjectOverwrite)</f>
        <v>AUDQM3AB6M_S3BR6BR_Quote#0000</v>
      </c>
      <c r="L3" s="240" t="str">
        <f>_xll.ohRangeRetrieveError(K3)</f>
        <v/>
      </c>
      <c r="M3" s="235"/>
    </row>
    <row r="4" spans="1:13" x14ac:dyDescent="0.2">
      <c r="A4" s="234"/>
      <c r="B4" s="236" t="s">
        <v>25</v>
      </c>
      <c r="C4" s="237" t="s">
        <v>115</v>
      </c>
      <c r="D4" s="237" t="s">
        <v>116</v>
      </c>
      <c r="E4" s="237" t="s">
        <v>35</v>
      </c>
      <c r="F4" s="237" t="s">
        <v>117</v>
      </c>
      <c r="G4" s="237" t="s">
        <v>118</v>
      </c>
      <c r="H4" s="238" t="str">
        <f>IF(F4=0,0,Currency&amp;$F4&amp;$G4&amp;$B4&amp;QuoteSuffix)</f>
        <v>AUD3BR6BR1Y_Quote</v>
      </c>
      <c r="I4" s="239" t="str">
        <f>PROPER(Currency)&amp;IborType&amp;"SwapForBasisCalc"&amp;$B4</f>
        <v>AudBBSWSwapForBasisCalc1Y</v>
      </c>
      <c r="J4" s="240" t="str">
        <f>Currency&amp;$C4&amp;$D4&amp;$B4&amp;IF(H4=0,,"_S"&amp;$F4&amp;$G4)&amp;QuoteSuffix</f>
        <v>AUDQM3AB1Y_S3BR6BR_Quote</v>
      </c>
      <c r="K4" s="240" t="str">
        <f>_xll.qlForwardSwapQuote(J4,I4,H4,E4,Permanent,Trigger,ObjectOverwrite)</f>
        <v>AUDQM3AB1Y_S3BR6BR_Quote#0000</v>
      </c>
      <c r="L4" s="240" t="str">
        <f>_xll.ohRangeRetrieveError(K4)</f>
        <v/>
      </c>
      <c r="M4" s="235"/>
    </row>
    <row r="5" spans="1:13" x14ac:dyDescent="0.2">
      <c r="A5" s="234"/>
      <c r="B5" s="236" t="s">
        <v>119</v>
      </c>
      <c r="C5" s="237" t="s">
        <v>115</v>
      </c>
      <c r="D5" s="237" t="s">
        <v>116</v>
      </c>
      <c r="E5" s="237" t="str">
        <f>E4</f>
        <v>1D</v>
      </c>
      <c r="F5" s="237" t="s">
        <v>117</v>
      </c>
      <c r="G5" s="237" t="s">
        <v>118</v>
      </c>
      <c r="H5" s="238" t="str">
        <f>IF(F5=0,0,Currency&amp;$F5&amp;$G5&amp;$B5&amp;QuoteSuffix)</f>
        <v>AUD3BR6BR2Y_Quote</v>
      </c>
      <c r="I5" s="239" t="str">
        <f>PROPER(Currency)&amp;IborType&amp;"SwapForBasisCalc"&amp;$B5</f>
        <v>AudBBSWSwapForBasisCalc2Y</v>
      </c>
      <c r="J5" s="240" t="str">
        <f>Currency&amp;$C5&amp;$D5&amp;$B5&amp;IF(H5=0,,"_S"&amp;$F5&amp;$G5)&amp;QuoteSuffix</f>
        <v>AUDQM3AB2Y_S3BR6BR_Quote</v>
      </c>
      <c r="K5" s="240" t="str">
        <f>_xll.qlForwardSwapQuote(J5,I5,H5,E5,Permanent,Trigger,ObjectOverwrite)</f>
        <v>AUDQM3AB2Y_S3BR6BR_Quote#0000</v>
      </c>
      <c r="L5" s="240" t="str">
        <f>_xll.ohRangeRetrieveError(K5)</f>
        <v/>
      </c>
      <c r="M5" s="235"/>
    </row>
    <row r="6" spans="1:13" x14ac:dyDescent="0.2">
      <c r="A6" s="241"/>
      <c r="B6" s="236" t="s">
        <v>58</v>
      </c>
      <c r="C6" s="237" t="s">
        <v>115</v>
      </c>
      <c r="D6" s="237" t="s">
        <v>116</v>
      </c>
      <c r="E6" s="237" t="str">
        <f>E5</f>
        <v>1D</v>
      </c>
      <c r="F6" s="237" t="s">
        <v>117</v>
      </c>
      <c r="G6" s="237" t="s">
        <v>118</v>
      </c>
      <c r="H6" s="238" t="str">
        <f>IF(F6=0,0,Currency&amp;$F6&amp;$G6&amp;$B6&amp;QuoteSuffix)</f>
        <v>AUD3BR6BR3Y_Quote</v>
      </c>
      <c r="I6" s="239" t="str">
        <f>PROPER(Currency)&amp;IborType&amp;"SwapForBasisCalc"&amp;$B6</f>
        <v>AudBBSWSwapForBasisCalc3Y</v>
      </c>
      <c r="J6" s="240" t="str">
        <f>Currency&amp;$C6&amp;$D6&amp;$B6&amp;IF(H6=0,,"_S"&amp;$F6&amp;$G6)&amp;QuoteSuffix</f>
        <v>AUDQM3AB3Y_S3BR6BR_Quote</v>
      </c>
      <c r="K6" s="240" t="str">
        <f>_xll.qlForwardSwapQuote(J6,I6,H6,E6,Permanent,Trigger,ObjectOverwrite)</f>
        <v>AUDQM3AB3Y_S3BR6BR_Quote#0000</v>
      </c>
      <c r="L6" s="240" t="str">
        <f>_xll.ohRangeRetrieveError(K6)</f>
        <v/>
      </c>
      <c r="M6" s="235"/>
    </row>
    <row r="7" spans="1:13" ht="12" thickBot="1" x14ac:dyDescent="0.25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3"/>
      <c r="L7" s="243"/>
      <c r="M7" s="244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8"/>
  <sheetViews>
    <sheetView topLeftCell="M1" zoomScaleNormal="100" workbookViewId="0">
      <selection activeCell="K11" sqref="K11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19" width="20.1640625" style="34" bestFit="1" customWidth="1"/>
    <col min="20" max="20" width="2.83203125" style="34" customWidth="1"/>
    <col min="21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K1" s="34" t="str">
        <f>_xll.qlIborIndex(,"bbsw","6m",0,Currency,Calendar,"mf",TRUE,"Act/365 (fixed)",,,Trigger,ObjectOverwrite)</f>
        <v>obj_00223#0000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34</v>
      </c>
      <c r="D3" s="268" t="s">
        <v>115</v>
      </c>
      <c r="E3" s="268" t="s">
        <v>116</v>
      </c>
      <c r="F3" s="267" t="s">
        <v>188</v>
      </c>
      <c r="G3" s="269" t="s">
        <v>158</v>
      </c>
      <c r="H3" s="269" t="s">
        <v>73</v>
      </c>
      <c r="I3" s="270">
        <v>0</v>
      </c>
      <c r="J3" s="271" t="str">
        <f>'6M BBSWSwapForBasisCalc'!K3</f>
        <v>AUDQM3AB6M_S3BR6BR_Quote#0000</v>
      </c>
      <c r="K3" s="272" t="str">
        <f>_xll.qlSwapRateHelper2(,$J3,$C3,Calendar,$F3,$G3,$H3,$K$1,$I3,B3,Discounting,Permanent,Trigger,ObjectOverwrite)</f>
        <v>obj_00251#0000</v>
      </c>
      <c r="L3" s="285" t="str">
        <f>_xll.ohRangeRetrieveError(K3)</f>
        <v/>
      </c>
      <c r="M3" s="282"/>
      <c r="N3" s="285" t="str">
        <f>_xll.qlRateHelperQuoteName(K3,Trigger)</f>
        <v>AUDQM3AB6M_S3BR6BR_Quote</v>
      </c>
      <c r="O3" s="286">
        <f>_xll.qlQuoteValue(J3,AllTriggers)</f>
        <v>2.6392946877376196E-2</v>
      </c>
      <c r="P3" s="286">
        <f>_xll.qlSwapRateHelperSpread(K3,AllTriggers)</f>
        <v>0</v>
      </c>
      <c r="Q3" s="285" t="b">
        <v>1</v>
      </c>
      <c r="R3" s="287">
        <f>_xll.qlRateHelperEarliestDate(K3,Trigger)</f>
        <v>41894</v>
      </c>
      <c r="S3" s="287">
        <f>_xll.qlRateHelperLatestDate(K3,Trigger)</f>
        <v>42075</v>
      </c>
    </row>
    <row r="4" spans="1:19" ht="11.25" customHeight="1" x14ac:dyDescent="0.2">
      <c r="A4" s="284"/>
      <c r="B4" s="267" t="s">
        <v>35</v>
      </c>
      <c r="C4" s="252" t="s">
        <v>25</v>
      </c>
      <c r="D4" s="268" t="s">
        <v>115</v>
      </c>
      <c r="E4" s="268" t="s">
        <v>116</v>
      </c>
      <c r="F4" s="267" t="s">
        <v>188</v>
      </c>
      <c r="G4" s="269" t="s">
        <v>158</v>
      </c>
      <c r="H4" s="269" t="s">
        <v>73</v>
      </c>
      <c r="I4" s="270">
        <v>0</v>
      </c>
      <c r="J4" s="271" t="str">
        <f>'6M BBSWSwapForBasisCalc'!K4</f>
        <v>AUDQM3AB1Y_S3BR6BR_Quote#0000</v>
      </c>
      <c r="K4" s="272" t="str">
        <f>_xll.qlSwapRateHelper2(,$J4,$C4,Calendar,$F4,$G4,$H4,$K$1,$I4,B4,Discounting,Permanent,Trigger,ObjectOverwrite)</f>
        <v>obj_00224#0000</v>
      </c>
      <c r="L4" s="285" t="str">
        <f>_xll.ohRangeRetrieveError(K4)</f>
        <v/>
      </c>
      <c r="M4" s="282"/>
      <c r="N4" s="285" t="str">
        <f>_xll.qlRateHelperQuoteName(K4,Trigger)</f>
        <v>AUDQM3AB1Y_S3BR6BR_Quote</v>
      </c>
      <c r="O4" s="286">
        <f>_xll.qlQuoteValue(J4,AllTriggers)</f>
        <v>2.713317616193113E-2</v>
      </c>
      <c r="P4" s="286">
        <f>_xll.qlSwapRateHelperSpread(K4,AllTriggers)</f>
        <v>0</v>
      </c>
      <c r="Q4" s="285" t="b">
        <v>1</v>
      </c>
      <c r="R4" s="287">
        <f>_xll.qlRateHelperEarliestDate(K4,Trigger)</f>
        <v>41894</v>
      </c>
      <c r="S4" s="287">
        <f>_xll.qlRateHelperLatestDate(K4,Trigger)</f>
        <v>42261</v>
      </c>
    </row>
    <row r="5" spans="1:19" ht="11.25" customHeight="1" x14ac:dyDescent="0.2">
      <c r="A5" s="284"/>
      <c r="B5" s="267" t="s">
        <v>35</v>
      </c>
      <c r="C5" s="252" t="s">
        <v>119</v>
      </c>
      <c r="D5" s="268" t="s">
        <v>115</v>
      </c>
      <c r="E5" s="268" t="s">
        <v>116</v>
      </c>
      <c r="F5" s="267" t="s">
        <v>188</v>
      </c>
      <c r="G5" s="269" t="s">
        <v>158</v>
      </c>
      <c r="H5" s="269" t="s">
        <v>73</v>
      </c>
      <c r="I5" s="270">
        <v>0</v>
      </c>
      <c r="J5" s="271" t="str">
        <f>'6M BBSWSwapForBasisCalc'!K5</f>
        <v>AUDQM3AB2Y_S3BR6BR_Quote#0000</v>
      </c>
      <c r="K5" s="272" t="str">
        <f>_xll.qlSwapRateHelper2(,$J5,$C5,Calendar,$F5,$G5,$H5,$K$1,$I5,B5,Discounting,Permanent,Trigger,ObjectOverwrite)</f>
        <v>obj_00250#0000</v>
      </c>
      <c r="L5" s="285" t="str">
        <f>_xll.ohRangeRetrieveError(K5)</f>
        <v/>
      </c>
      <c r="M5" s="282"/>
      <c r="N5" s="285" t="str">
        <f>_xll.qlRateHelperQuoteName(K5,Trigger)</f>
        <v>AUDQM3AB2Y_S3BR6BR_Quote</v>
      </c>
      <c r="O5" s="286">
        <f>_xll.qlQuoteValue(J5,AllTriggers)</f>
        <v>2.8936213429603414E-2</v>
      </c>
      <c r="P5" s="286">
        <f>_xll.qlSwapRateHelperSpread(K5,AllTriggers)</f>
        <v>0</v>
      </c>
      <c r="Q5" s="285" t="b">
        <v>0</v>
      </c>
      <c r="R5" s="287">
        <f>_xll.qlRateHelperEarliestDate(K5,Trigger)</f>
        <v>41894</v>
      </c>
      <c r="S5" s="287">
        <f>_xll.qlRateHelperLatestDate(K5,Trigger)</f>
        <v>42625</v>
      </c>
    </row>
    <row r="6" spans="1:19" ht="11.25" customHeight="1" x14ac:dyDescent="0.2">
      <c r="A6" s="281"/>
      <c r="B6" s="273" t="s">
        <v>35</v>
      </c>
      <c r="C6" s="257" t="s">
        <v>58</v>
      </c>
      <c r="D6" s="274" t="s">
        <v>115</v>
      </c>
      <c r="E6" s="274" t="s">
        <v>116</v>
      </c>
      <c r="F6" s="273" t="s">
        <v>188</v>
      </c>
      <c r="G6" s="275" t="s">
        <v>158</v>
      </c>
      <c r="H6" s="275" t="s">
        <v>73</v>
      </c>
      <c r="I6" s="276">
        <v>0</v>
      </c>
      <c r="J6" s="277" t="str">
        <f>'6M BBSWSwapForBasisCalc'!K6</f>
        <v>AUDQM3AB3Y_S3BR6BR_Quote#0000</v>
      </c>
      <c r="K6" s="278" t="str">
        <f>_xll.qlSwapRateHelper2(,$J6,$C6,Calendar,$F6,$G6,$H6,$K$1,$I6,B6,Discounting,Permanent,Trigger,ObjectOverwrite)</f>
        <v>obj_00252#0000</v>
      </c>
      <c r="L6" s="288" t="str">
        <f>_xll.ohRangeRetrieveError(K6)</f>
        <v/>
      </c>
      <c r="M6" s="282"/>
      <c r="N6" s="288" t="str">
        <f>_xll.qlRateHelperQuoteName(K6,Trigger)</f>
        <v>AUDQM3AB3Y_S3BR6BR_Quote</v>
      </c>
      <c r="O6" s="289">
        <f>_xll.qlQuoteValue(J6,AllTriggers)</f>
        <v>3.0786287551929154E-2</v>
      </c>
      <c r="P6" s="289">
        <f>_xll.qlSwapRateHelperSpread(K6,AllTriggers)</f>
        <v>0</v>
      </c>
      <c r="Q6" s="288" t="b">
        <v>0</v>
      </c>
      <c r="R6" s="290">
        <f>_xll.qlRateHelperEarliestDate(K6,Trigger)</f>
        <v>41894</v>
      </c>
      <c r="S6" s="290">
        <f>_xll.qlRateHelperLatestDate(K6,Trigger)</f>
        <v>42990</v>
      </c>
    </row>
    <row r="7" spans="1:19" ht="11.25" customHeight="1" x14ac:dyDescent="0.2">
      <c r="A7" s="281"/>
      <c r="D7" s="34"/>
      <c r="E7" s="34"/>
      <c r="K7" s="34"/>
    </row>
    <row r="8" spans="1:19" ht="11.25" customHeight="1" x14ac:dyDescent="0.2">
      <c r="A8" s="281"/>
      <c r="D8" s="34"/>
      <c r="E8" s="34"/>
      <c r="K8" s="34"/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Settings'!J35,InterestRatesTrigger)</f>
        <v>1</v>
      </c>
    </row>
    <row r="12" spans="1:19" x14ac:dyDescent="0.2">
      <c r="N12" s="330" t="str">
        <f t="array" ref="N12:N20">_xll.ohFilter(N3:N8,Q3:Q8)</f>
        <v>AUDQM3AB6M_S3BR6BR_Quote</v>
      </c>
      <c r="O12" s="286">
        <f>_xll.qlRateHelperQuoteValue(L14,AllTriggers)</f>
        <v>2.6392946877376196E-2</v>
      </c>
      <c r="P12" s="286">
        <f>_xll.qlSwapRateHelperSpread(L14,AllTriggers)</f>
        <v>0</v>
      </c>
      <c r="Q12" s="287">
        <f>_xll.qlRateHelperEarliestDate(L14,Trigger)</f>
        <v>41894</v>
      </c>
      <c r="R12" s="287">
        <f>_xll.qlRateHelperLatestDate(L14,Trigger)</f>
        <v>42075</v>
      </c>
      <c r="S12" s="315">
        <v>0.98701016406141107</v>
      </c>
    </row>
    <row r="13" spans="1:19" x14ac:dyDescent="0.2">
      <c r="I13" s="279"/>
      <c r="J13" s="279"/>
      <c r="L13" s="295" t="s">
        <v>180</v>
      </c>
      <c r="N13" s="330" t="str">
        <v>AUDQM3AB1Y_S3BR6BR_Quote</v>
      </c>
      <c r="O13" s="286">
        <f>_xll.qlRateHelperQuoteValue(L15,AllTriggers)</f>
        <v>2.713317616193113E-2</v>
      </c>
      <c r="P13" s="286">
        <f>_xll.qlSwapRateHelperSpread(L15,AllTriggers)</f>
        <v>0</v>
      </c>
      <c r="Q13" s="287">
        <f>_xll.qlRateHelperEarliestDate(L15,Trigger)</f>
        <v>41894</v>
      </c>
      <c r="R13" s="287">
        <f>_xll.qlRateHelperLatestDate(L15,Trigger)</f>
        <v>42261</v>
      </c>
      <c r="S13" s="315">
        <v>0.97319221966774871</v>
      </c>
    </row>
    <row r="14" spans="1:19" x14ac:dyDescent="0.2">
      <c r="L14" s="312" t="str">
        <f t="array" ref="L14:L22">_xll.ohFilter(K3:K8,Q3:Q8)</f>
        <v>obj_00251#0000</v>
      </c>
      <c r="N14" s="330" t="e">
        <v>#N/A</v>
      </c>
      <c r="O14" s="286" t="e">
        <f>_xll.qlRateHelperQuoteValue(L16,AllTriggers)</f>
        <v>#VALUE!</v>
      </c>
      <c r="P14" s="286" t="e">
        <f>_xll.qlSwapRateHelperSpread(L16,AllTriggers)</f>
        <v>#VALUE!</v>
      </c>
      <c r="Q14" s="287" t="e">
        <f>_xll.qlRateHelperEarliestDate(L16,Trigger)</f>
        <v>#VALUE!</v>
      </c>
      <c r="R14" s="287" t="e">
        <f>_xll.qlRateHelperLatestDate(L16,Trigger)</f>
        <v>#VALUE!</v>
      </c>
      <c r="S14" s="315" t="e">
        <v>#N/A</v>
      </c>
    </row>
    <row r="15" spans="1:19" x14ac:dyDescent="0.2">
      <c r="I15" s="279"/>
      <c r="J15" s="279"/>
      <c r="L15" s="313" t="str">
        <v>obj_00224#0000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e">
        <v>#N/A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4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34</v>
      </c>
      <c r="O24" s="283" t="str">
        <f>_xll.qlSwapIndex(,"BBSW",N24,1,Currency,Calendar,"6M","mf","actual/365 (fixed)",'6M Swaps'!$N$27,Discounting,,Trigger,ObjectOverwrite)</f>
        <v>obj_003e4#0000</v>
      </c>
      <c r="P24" s="332" t="str">
        <f>Currency&amp;"QM1M"&amp;N24</f>
        <v>AUDQM1M6M</v>
      </c>
      <c r="Q24" s="332">
        <f>EvaluationDate</f>
        <v>41893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41894</v>
      </c>
      <c r="U24" s="332">
        <f>_xll.qlInterestRateIndexMaturity(N27,T24,Trigger)</f>
        <v>42075</v>
      </c>
      <c r="V24" s="334">
        <f>_xll.qlDayCounterYearFraction("actual/365 (fixed)",T24,U24,,,Trigger)</f>
        <v>0.49589041095890413</v>
      </c>
      <c r="W24" s="334">
        <f>_xll.qlDayCounterYearFraction("Actual/365 (fixed)",$T$24,U24,,,Trigger)</f>
        <v>0.49589041095890413</v>
      </c>
      <c r="X24" s="335" t="e">
        <f>R24</f>
        <v>#NUM!</v>
      </c>
    </row>
    <row r="25" spans="9:24" hidden="1" x14ac:dyDescent="0.2">
      <c r="I25" s="279"/>
      <c r="J25" s="279"/>
      <c r="N25" s="345" t="s">
        <v>25</v>
      </c>
      <c r="O25" s="283" t="str">
        <f>_xll.qlSwapIndex(,"BBSW",N25,1,Currency,Calendar,"6M","mf","actual/365 (fixed)",'6M Swaps'!$N$27,Discounting,,Trigger,ObjectOverwrite)</f>
        <v>obj_003e7#0000</v>
      </c>
      <c r="P25" s="336" t="str">
        <f>Currency&amp;"QM1M"&amp;N25</f>
        <v>AUDQM1M1Y</v>
      </c>
      <c r="Q25" s="336">
        <f>EvaluationDate</f>
        <v>41893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42075</v>
      </c>
      <c r="U25" s="336">
        <f>_xll.qlInterestRateIndexMaturity(N27,T25,Trigger)</f>
        <v>42261</v>
      </c>
      <c r="V25" s="338">
        <f>_xll.qlDayCounterYearFraction("actual/365 (fixed)",T25,U25,,,Trigger)</f>
        <v>0.50958904109589043</v>
      </c>
      <c r="W25" s="338">
        <f>_xll.qlDayCounterYearFraction("Actual/365 (fixed)",$T$24,U25,,,Trigger)</f>
        <v>1.0054794520547945</v>
      </c>
      <c r="X25" s="339" t="e">
        <f>((1+R25*V24)*(1+R25*V25)/(1+X24*V24)-1)/V25</f>
        <v>#NUM!</v>
      </c>
    </row>
    <row r="26" spans="9:24" ht="12" hidden="1" thickBot="1" x14ac:dyDescent="0.25">
      <c r="N26" s="346" t="s">
        <v>189</v>
      </c>
      <c r="O26" s="340" t="str">
        <f>_xll.qlSwapIndex(,"BBSW",N26,1,Currency,Calendar,"6M","mf","actual/365 (fixed)",'6M Swaps'!$N$27,Discounting,,Trigger,ObjectOverwrite)</f>
        <v>obj_003e9#0000</v>
      </c>
      <c r="P26" s="340" t="str">
        <f>Currency&amp;"QM1M"&amp;N26</f>
        <v>AUDQM1M18M</v>
      </c>
      <c r="Q26" s="340">
        <f>EvaluationDate</f>
        <v>41893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42261</v>
      </c>
      <c r="U26" s="340">
        <f>_xll.qlInterestRateIndexMaturity(N27,T26,Trigger)</f>
        <v>42443</v>
      </c>
      <c r="V26" s="342">
        <f>_xll.qlDayCounterYearFraction("actual/365 (fixed)",T26,U26,,,Trigger)</f>
        <v>0.49863013698630138</v>
      </c>
      <c r="W26" s="342">
        <f>_xll.qlDayCounterYearFraction("Actual/365 (fixed)",$T$24,U26,,,Trigger)</f>
        <v>1.5041095890410958</v>
      </c>
      <c r="X26" s="343" t="e">
        <f>((1+R26*V26)*(1+R26*V25)*(1+R26*V24)/((1+R25*V25)*(1+R24*V24))-1)/V26</f>
        <v>#NUM!</v>
      </c>
    </row>
    <row r="27" spans="9:24" ht="12" thickBot="1" x14ac:dyDescent="0.25">
      <c r="I27" s="279"/>
      <c r="J27" s="279"/>
      <c r="N27" s="34" t="str">
        <f>_xll.qlIborIndex(,,"6M",0,Currency,Calendar,"mf",TRUE,"actual/365 (fixed)",'General Settings'!J35)</f>
        <v>obj_003e1#0000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34</v>
      </c>
      <c r="O30" s="333" t="str">
        <f>Currency&amp;"0x3"&amp;"F"</f>
        <v>AUD0x3F</v>
      </c>
      <c r="P30" s="332">
        <f>_xll.qlCalendarAdvance(Calendar,SettlementDate,"1D","F",,Trigger)</f>
        <v>41894</v>
      </c>
      <c r="Q30" s="332">
        <f>_xll.qlInterestRateIndexMaturity($N$27,P30,Trigger)</f>
        <v>42075</v>
      </c>
      <c r="R30" s="335">
        <f>_xll.qlIndexFixing($N$27,P30,TRUE,AllTriggers)</f>
        <v>2.6392946877376328E-2</v>
      </c>
    </row>
    <row r="31" spans="9:24" ht="12" thickBot="1" x14ac:dyDescent="0.25">
      <c r="I31" s="279"/>
      <c r="J31" s="279"/>
      <c r="N31" s="346" t="s">
        <v>25</v>
      </c>
      <c r="O31" s="341" t="str">
        <f>Currency&amp;"3x6"&amp;"F"</f>
        <v>AUD3x6F</v>
      </c>
      <c r="P31" s="340">
        <f>Q30</f>
        <v>42075</v>
      </c>
      <c r="Q31" s="340">
        <f>_xll.qlInterestRateIndexMaturity($N$27,P31,Trigger)</f>
        <v>42261</v>
      </c>
      <c r="R31" s="343">
        <f>_xll.qlIndexFixing($N$27,P31,TRUE,AllTriggers)</f>
        <v>2.7862798400945996E-2</v>
      </c>
    </row>
    <row r="33" spans="9:18" x14ac:dyDescent="0.2">
      <c r="I33" s="279"/>
      <c r="J33" s="279"/>
    </row>
    <row r="35" spans="9:18" x14ac:dyDescent="0.2">
      <c r="I35" s="279"/>
      <c r="J35" s="279"/>
    </row>
    <row r="37" spans="9:18" x14ac:dyDescent="0.2">
      <c r="I37" s="279"/>
      <c r="J37" s="279"/>
    </row>
    <row r="38" spans="9:18" x14ac:dyDescent="0.2">
      <c r="R38" s="34" t="s">
        <v>191</v>
      </c>
    </row>
  </sheetData>
  <dataValidations count="4">
    <dataValidation type="list" allowBlank="1" showInputMessage="1" showErrorMessage="1" sqref="Q3:Q6">
      <formula1>"TRUE,FALSE"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3:F6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63</vt:i4>
      </vt:variant>
    </vt:vector>
  </HeadingPairs>
  <TitlesOfParts>
    <vt:vector size="73" baseType="lpstr">
      <vt:lpstr>General Settings</vt:lpstr>
      <vt:lpstr>basis 3M</vt:lpstr>
      <vt:lpstr>3MSynthDepo</vt:lpstr>
      <vt:lpstr>6MSynthDepo</vt:lpstr>
      <vt:lpstr>1MSynthDepo</vt:lpstr>
      <vt:lpstr>Contribution</vt:lpstr>
      <vt:lpstr>1M BBSWSwapForBasisCalc</vt:lpstr>
      <vt:lpstr>1M Swaps</vt:lpstr>
      <vt:lpstr>6M BBSWSwapForBasisCalc</vt:lpstr>
      <vt:lpstr>6M Swaps</vt:lpstr>
      <vt:lpstr>'6M Swaps'!Accuracy</vt:lpstr>
      <vt:lpstr>Accuracy</vt:lpstr>
      <vt:lpstr>AllTriggers</vt:lpstr>
      <vt:lpstr>'6M Swaps'!BasisInterpolation</vt:lpstr>
      <vt:lpstr>BasisInterpolation</vt:lpstr>
      <vt:lpstr>Calendar</vt:lpstr>
      <vt:lpstr>'1M Swaps'!Conventions</vt:lpstr>
      <vt:lpstr>'6M Swaps'!Conventions</vt:lpstr>
      <vt:lpstr>Currency</vt:lpstr>
      <vt:lpstr>'6M Swaps'!DayCounter</vt:lpstr>
      <vt:lpstr>DayCounter</vt:lpstr>
      <vt:lpstr>'3MSynthDepo'!DayCounter3M</vt:lpstr>
      <vt:lpstr>'1MSynthDepo'!DayCounter6M</vt:lpstr>
      <vt:lpstr>'6MSynthDepo'!DayCounter6M</vt:lpstr>
      <vt:lpstr>'1MSynthDepo'!DayCounterOIS</vt:lpstr>
      <vt:lpstr>'3MSynthDepo'!DayCounterOIS</vt:lpstr>
      <vt:lpstr>'6MSynthDepo'!DayCounterOIS</vt:lpstr>
      <vt:lpstr>'1MSynthDepo'!DayCounterON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'6M Swaps'!IborTenor</vt:lpstr>
      <vt:lpstr>IborTenor</vt:lpstr>
      <vt:lpstr>IborType</vt:lpstr>
      <vt:lpstr>InterestRatesTrigger</vt:lpstr>
      <vt:lpstr>'6M Swaps'!InterpolatorID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'6M Swaps'!NDays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Contribution!Tenor3M</vt:lpstr>
      <vt:lpstr>Contribution!Tenor6M</vt:lpstr>
      <vt:lpstr>'6M Swaps'!TraitsID</vt:lpstr>
      <vt:lpstr>TraitsID</vt:lpstr>
      <vt:lpstr>Trigger</vt:lpstr>
      <vt:lpstr>TriggerCounter</vt:lpstr>
      <vt:lpstr>'6M Swaps'!YieldCurve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2014-09-11T10:36:19Z</dcterms:modified>
</cp:coreProperties>
</file>