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5875" windowHeight="11250" tabRatio="879"/>
  </bookViews>
  <sheets>
    <sheet name="General Settings" sheetId="56" r:id="rId1"/>
    <sheet name="Libor" sheetId="6" r:id="rId2"/>
    <sheet name="LiborSwapIsdaFixAm" sheetId="7" r:id="rId3"/>
    <sheet name="LiborSwapIsdaFixPm" sheetId="8" r:id="rId4"/>
    <sheet name="LiborSwapForBasisCalc" sheetId="9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6M_2" sheetId="36" r:id="rId23"/>
    <sheet name="1Y (2)" sheetId="37" r:id="rId24"/>
    <sheet name="FwdEONIAOIS" sheetId="55" r:id="rId25"/>
    <sheet name="SFIX3" sheetId="60" r:id="rId26"/>
    <sheet name="IB365" sheetId="61" r:id="rId27"/>
    <sheet name="IBOR" sheetId="62" r:id="rId28"/>
  </sheets>
  <definedNames>
    <definedName name="Contributor" localSheetId="8">Deposits!$J$2</definedName>
    <definedName name="Contributor" localSheetId="24">FwdEONIAOIS!$F$2</definedName>
    <definedName name="Contributor" localSheetId="14">OIS!$O$2</definedName>
    <definedName name="Contributor">Swap3M!$S$2</definedName>
    <definedName name="Contributors">'General Settings'!$C$12:$C$18</definedName>
    <definedName name="ContributorTable" localSheetId="8">Deposits!$S$5:$W$13</definedName>
    <definedName name="ContributorTable">'General Settings'!$C$12:$D$18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4">FwdEONIAOIS!$Q$3</definedName>
    <definedName name="Counter">Futures1M!$Z$4</definedName>
    <definedName name="Currency">'General Settings'!$J$10</definedName>
    <definedName name="Discounting">'General Settings'!$J$12</definedName>
    <definedName name="Discounting2">'General Settings'!$J$13</definedName>
    <definedName name="EvaluationDate">'General Settings'!$J$14</definedName>
    <definedName name="FamilyName" localSheetId="1">Libor!$I$3</definedName>
    <definedName name="FamilyName" localSheetId="4">LiborSwapForBasisCalc!$F$3</definedName>
    <definedName name="FamilyName" localSheetId="2">LiborSwapIsdaFixAm!$F$3</definedName>
    <definedName name="FamilyName" localSheetId="3">LiborSwapIsdaFixPm!$F$3</definedName>
    <definedName name="FamilyName">'General Settings'!$J$22</definedName>
    <definedName name="FileName" localSheetId="1">Libor!$H$5</definedName>
    <definedName name="FileName" localSheetId="4">LiborSwapForBasisCalc!$E$9</definedName>
    <definedName name="FileName" localSheetId="2">LiborSwapIsdaFixAm!$E$6</definedName>
    <definedName name="FileName" localSheetId="3">LiborSwapIsdaFixPm!$E$6</definedName>
    <definedName name="FileOverwrite">'General Settings'!$J$9</definedName>
    <definedName name="FixingType" localSheetId="4">LiborSwapForBasisCalc!$F$4</definedName>
    <definedName name="FixingType" localSheetId="2">LiborSwapIsdaFixAm!$F$4</definedName>
    <definedName name="FixingType" localSheetId="3">LiborSwapIsdaFixPm!$F$4</definedName>
    <definedName name="FixingType">'General Settings'!$J$23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FRA!$M$7:$M$21</definedName>
    <definedName name="Instruments" localSheetId="24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MeanReversion" localSheetId="10">Futures1M!$AM$3</definedName>
    <definedName name="MeanReversion" localSheetId="11">Futures3M!$AM$3</definedName>
    <definedName name="Months" localSheetId="19">ON!$B$1</definedName>
    <definedName name="ObjectOverwrite">'General Settings'!$J$6</definedName>
    <definedName name="Permanent">'General Settings'!$J$5</definedName>
    <definedName name="PriceTickValue">'General Settings'!$J$21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FRA!$W$7:$W$21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4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FRA!$S$7:$S$21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4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FRA!$U$7:$U$21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4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Settings'!$J$19</definedName>
    <definedName name="RateTickValue">'General Settings'!$J$20</definedName>
    <definedName name="ReutersRtMode">'General Settings'!$D$6</definedName>
    <definedName name="SerializationPath">'General Settings'!$J$8</definedName>
    <definedName name="Serialize">'General Settings'!$J$7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6">'IB365'!$C$24:$E$30</definedName>
    <definedName name="Traits" localSheetId="27">IBOR!$C$24:$E$30</definedName>
    <definedName name="Traits" localSheetId="1">Libor!$Q$15:$S$21</definedName>
    <definedName name="Traits" localSheetId="2">LiborSwapIsdaFixAm!$L$24:$N$30</definedName>
    <definedName name="Traits" localSheetId="3">LiborSwapIsdaFixPm!$L$24:$N$30</definedName>
    <definedName name="Traits" localSheetId="25">SFIX3!$C$21:$E$27</definedName>
    <definedName name="Trigger">'General Settings'!$J$4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Y12" i="6" l="1"/>
  <c r="P5" i="55" l="1" a="1"/>
  <c r="AB5" i="25" a="1"/>
  <c r="X5" i="23" a="1"/>
  <c r="X5" i="22" a="1"/>
  <c r="Y6" i="18" a="1"/>
  <c r="Y6" i="17" a="1"/>
  <c r="W7" i="16" a="1"/>
  <c r="O5" i="15" a="1"/>
  <c r="AB5" i="13" a="1"/>
  <c r="AB5" i="12" a="1"/>
  <c r="AB5" i="11" a="1"/>
  <c r="O20" i="15" l="1"/>
  <c r="O18" i="15"/>
  <c r="O12" i="15"/>
  <c r="O14" i="15"/>
  <c r="O10" i="15"/>
  <c r="O8" i="15"/>
  <c r="O19" i="15"/>
  <c r="O17" i="15"/>
  <c r="O15" i="15"/>
  <c r="O11" i="15"/>
  <c r="O22" i="15"/>
  <c r="O16" i="15"/>
  <c r="O13" i="15"/>
  <c r="O9" i="15"/>
  <c r="O21" i="15"/>
  <c r="J12" i="56"/>
  <c r="D8" i="56" l="1"/>
  <c r="E5" i="6" l="1"/>
  <c r="D5" i="6"/>
  <c r="D9" i="6"/>
  <c r="D10" i="6"/>
  <c r="D11" i="6"/>
  <c r="D12" i="6"/>
  <c r="D13" i="6"/>
  <c r="D8" i="6"/>
  <c r="F7" i="6"/>
  <c r="F6" i="6"/>
  <c r="E13" i="6"/>
  <c r="E8" i="6"/>
  <c r="E11" i="6"/>
  <c r="E12" i="6"/>
  <c r="E10" i="6"/>
  <c r="E9" i="6"/>
  <c r="I6" i="6" s="1"/>
  <c r="F5" i="6"/>
  <c r="I7" i="6"/>
  <c r="X6" i="6" l="1"/>
  <c r="AM2" i="17"/>
  <c r="AM3" i="17"/>
  <c r="AM4" i="17"/>
  <c r="AM6" i="17"/>
  <c r="F9" i="6"/>
  <c r="F11" i="6"/>
  <c r="AK7" i="17" a="1"/>
  <c r="F10" i="6"/>
  <c r="F8" i="6"/>
  <c r="F12" i="6"/>
  <c r="F13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7" i="17"/>
  <c r="AN10" i="17"/>
  <c r="AN9" i="17"/>
  <c r="AN8" i="17"/>
  <c r="AM11" i="17" l="1"/>
  <c r="AL12" i="17"/>
  <c r="AM12" i="17"/>
  <c r="AL13" i="17"/>
  <c r="AN11" i="17"/>
  <c r="AN12" i="17"/>
  <c r="AO9" i="17"/>
  <c r="AO10" i="17"/>
  <c r="AO8" i="17"/>
  <c r="AO7" i="17"/>
  <c r="AM13" i="17" l="1"/>
  <c r="AL14" i="17"/>
  <c r="AM14" i="17"/>
  <c r="AL15" i="17"/>
  <c r="AN13" i="17"/>
  <c r="AN14" i="17"/>
  <c r="AO11" i="17"/>
  <c r="AO12" i="17"/>
  <c r="AM15" i="17" l="1"/>
  <c r="AL16" i="17"/>
  <c r="AM16" i="17"/>
  <c r="AL17" i="17"/>
  <c r="AM17" i="17"/>
  <c r="AL18" i="17"/>
  <c r="AN17" i="17"/>
  <c r="AN16" i="17"/>
  <c r="AN15" i="17"/>
  <c r="AO13" i="17"/>
  <c r="AO14" i="17"/>
  <c r="AM18" i="17" l="1"/>
  <c r="AL5" i="18"/>
  <c r="AK6" i="18" a="1"/>
  <c r="D6" i="17" a="1"/>
  <c r="AN18" i="17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W8" i="8"/>
  <c r="T9" i="8"/>
  <c r="T8" i="8"/>
  <c r="V8" i="8" l="1"/>
  <c r="X8" i="8" s="1"/>
  <c r="U9" i="8"/>
  <c r="V9" i="8" s="1"/>
  <c r="X9" i="8" s="1"/>
  <c r="M10" i="8"/>
  <c r="P10" i="8"/>
  <c r="Q10" i="8" s="1"/>
  <c r="S10" i="8"/>
  <c r="U7" i="8"/>
  <c r="W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5" i="8"/>
  <c r="T12" i="8"/>
  <c r="T14" i="8"/>
  <c r="W16" i="8"/>
  <c r="W21" i="8"/>
  <c r="T17" i="8"/>
  <c r="T18" i="8"/>
  <c r="T21" i="8"/>
  <c r="W13" i="8"/>
  <c r="T20" i="8"/>
  <c r="W19" i="8"/>
  <c r="W18" i="8"/>
  <c r="W11" i="8"/>
  <c r="T13" i="8"/>
  <c r="W17" i="8"/>
  <c r="T19" i="8"/>
  <c r="T15" i="8"/>
  <c r="T11" i="8"/>
  <c r="W14" i="8"/>
  <c r="W20" i="8"/>
  <c r="T16" i="8"/>
  <c r="T7" i="7"/>
  <c r="W12" i="8"/>
  <c r="W10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U8" i="7"/>
  <c r="X5" i="26"/>
  <c r="T12" i="7"/>
  <c r="T16" i="7"/>
  <c r="W17" i="7"/>
  <c r="T20" i="7"/>
  <c r="T18" i="7"/>
  <c r="Q9" i="7"/>
  <c r="T19" i="7"/>
  <c r="W7" i="7"/>
  <c r="T11" i="7"/>
  <c r="T15" i="7"/>
  <c r="T13" i="7"/>
  <c r="T17" i="7"/>
  <c r="W20" i="7"/>
  <c r="T10" i="7"/>
  <c r="T21" i="7"/>
  <c r="T14" i="7"/>
  <c r="M6" i="7"/>
  <c r="V8" i="7" l="1"/>
  <c r="X8" i="7" s="1"/>
  <c r="V20" i="7"/>
  <c r="X20" i="7" s="1"/>
  <c r="V17" i="7"/>
  <c r="X17" i="7" s="1"/>
  <c r="R5" i="26"/>
  <c r="AJ5" i="26"/>
  <c r="P6" i="26"/>
  <c r="Q6" i="26"/>
  <c r="U9" i="7"/>
  <c r="X6" i="26"/>
  <c r="Q13" i="7"/>
  <c r="Q19" i="7"/>
  <c r="Q15" i="7"/>
  <c r="Q11" i="7"/>
  <c r="Q16" i="7"/>
  <c r="Q14" i="7"/>
  <c r="Q10" i="7"/>
  <c r="Q21" i="7"/>
  <c r="W8" i="7"/>
  <c r="Q18" i="7"/>
  <c r="Q12" i="7"/>
  <c r="V9" i="7" l="1"/>
  <c r="X9" i="7" s="1"/>
  <c r="R6" i="26"/>
  <c r="AJ6" i="26"/>
  <c r="P7" i="26"/>
  <c r="Q7" i="26"/>
  <c r="U10" i="7"/>
  <c r="U13" i="7"/>
  <c r="U19" i="7"/>
  <c r="U16" i="7"/>
  <c r="U11" i="7"/>
  <c r="U15" i="7"/>
  <c r="U21" i="7"/>
  <c r="U12" i="7"/>
  <c r="U18" i="7"/>
  <c r="U14" i="7"/>
  <c r="X7" i="26"/>
  <c r="W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X8" i="26"/>
  <c r="W14" i="7"/>
  <c r="W15" i="7"/>
  <c r="W11" i="7"/>
  <c r="W10" i="7"/>
  <c r="W13" i="7"/>
  <c r="W19" i="7"/>
  <c r="W21" i="7"/>
  <c r="W12" i="7"/>
  <c r="W16" i="7"/>
  <c r="W18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21" i="18"/>
  <c r="U12" i="18"/>
  <c r="U38" i="18"/>
  <c r="U26" i="18"/>
  <c r="U39" i="18"/>
  <c r="U11" i="18"/>
  <c r="U47" i="18"/>
  <c r="U34" i="18"/>
  <c r="U16" i="18"/>
  <c r="U46" i="18"/>
  <c r="U20" i="18"/>
  <c r="U10" i="18"/>
  <c r="U31" i="18"/>
  <c r="U19" i="18"/>
  <c r="U8" i="18"/>
  <c r="U44" i="18"/>
  <c r="U43" i="18"/>
  <c r="U45" i="18"/>
  <c r="U25" i="18"/>
  <c r="U40" i="18"/>
  <c r="U29" i="18"/>
  <c r="U30" i="18"/>
  <c r="U42" i="18"/>
  <c r="U14" i="18"/>
  <c r="U7" i="18"/>
  <c r="U15" i="18"/>
  <c r="U32" i="18"/>
  <c r="U37" i="18"/>
  <c r="U41" i="18"/>
  <c r="U35" i="18"/>
  <c r="U6" i="18"/>
  <c r="U18" i="18"/>
  <c r="U24" i="18"/>
  <c r="U17" i="18"/>
  <c r="U36" i="18"/>
  <c r="U22" i="18"/>
  <c r="U28" i="18"/>
  <c r="U33" i="18"/>
  <c r="U23" i="18"/>
  <c r="U27" i="18"/>
  <c r="U9" i="18"/>
  <c r="U13" i="18"/>
  <c r="N6" i="18" a="1"/>
  <c r="H4" i="20"/>
  <c r="Y13" i="18" l="1"/>
  <c r="Y9" i="18"/>
  <c r="Y27" i="18"/>
  <c r="Y23" i="18"/>
  <c r="Y33" i="18"/>
  <c r="Y28" i="18"/>
  <c r="Y22" i="18"/>
  <c r="Y36" i="18"/>
  <c r="Y17" i="18"/>
  <c r="Y24" i="18"/>
  <c r="Y18" i="18"/>
  <c r="Y6" i="18"/>
  <c r="Y35" i="18"/>
  <c r="Y41" i="18"/>
  <c r="Y37" i="18"/>
  <c r="Y32" i="18"/>
  <c r="Y15" i="18"/>
  <c r="Y7" i="18"/>
  <c r="Y14" i="18"/>
  <c r="Y42" i="18"/>
  <c r="Y30" i="18"/>
  <c r="Y29" i="18"/>
  <c r="Y40" i="18"/>
  <c r="Y25" i="18"/>
  <c r="Y45" i="18"/>
  <c r="Y43" i="18"/>
  <c r="Y44" i="18"/>
  <c r="Y8" i="18"/>
  <c r="Y19" i="18"/>
  <c r="Y31" i="18"/>
  <c r="Y10" i="18"/>
  <c r="Y20" i="18"/>
  <c r="Y46" i="18"/>
  <c r="Y16" i="18"/>
  <c r="Y34" i="18"/>
  <c r="Y47" i="18"/>
  <c r="Y11" i="18"/>
  <c r="Y39" i="18"/>
  <c r="Y26" i="18"/>
  <c r="Y38" i="18"/>
  <c r="Y12" i="18"/>
  <c r="Y21" i="18"/>
  <c r="P6" i="20"/>
  <c r="P5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3" i="17"/>
  <c r="U15" i="17"/>
  <c r="U8" i="17"/>
  <c r="U14" i="17"/>
  <c r="U12" i="17"/>
  <c r="U7" i="17"/>
  <c r="U11" i="17"/>
  <c r="U16" i="17"/>
  <c r="U9" i="17"/>
  <c r="U17" i="17"/>
  <c r="U10" i="17"/>
  <c r="U6" i="17"/>
  <c r="N6" i="17" a="1"/>
  <c r="Y6" i="17" l="1"/>
  <c r="Y10" i="17"/>
  <c r="Y17" i="17"/>
  <c r="Y9" i="17"/>
  <c r="Y16" i="17"/>
  <c r="Y11" i="17"/>
  <c r="Y7" i="17"/>
  <c r="Y12" i="17"/>
  <c r="Y14" i="17"/>
  <c r="Y8" i="17"/>
  <c r="Y15" i="17"/>
  <c r="Y13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N4" i="16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S16" i="16"/>
  <c r="W16" i="16" l="1"/>
  <c r="M17" i="16"/>
  <c r="S17" i="16"/>
  <c r="W17" i="16" l="1"/>
  <c r="M18" i="16"/>
  <c r="S18" i="16"/>
  <c r="W18" i="16" l="1"/>
  <c r="M19" i="16"/>
  <c r="S19" i="16"/>
  <c r="W19" i="16" l="1"/>
  <c r="M20" i="16"/>
  <c r="S20" i="16"/>
  <c r="W20" i="16" l="1"/>
  <c r="M21" i="16"/>
  <c r="N7" i="16" s="1" a="1"/>
  <c r="N21" i="16" s="1"/>
  <c r="S21" i="16"/>
  <c r="W21" i="16" l="1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K4" i="15" l="1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R4" i="6" l="1"/>
  <c r="R6" i="6" s="1"/>
  <c r="X4" i="6"/>
  <c r="U6" i="6"/>
  <c r="Y6" i="6"/>
  <c r="R7" i="6" l="1"/>
  <c r="U7" i="6"/>
  <c r="V6" i="6"/>
  <c r="R8" i="6" l="1"/>
  <c r="U8" i="6"/>
  <c r="R9" i="6"/>
  <c r="U9" i="6"/>
  <c r="R10" i="6"/>
  <c r="U10" i="6"/>
  <c r="R11" i="6"/>
  <c r="U11" i="6"/>
  <c r="R12" i="6"/>
  <c r="U12" i="6"/>
  <c r="AN6" i="17"/>
  <c r="Z6" i="6"/>
  <c r="AB6" i="6"/>
  <c r="R5" i="6"/>
  <c r="AA6" i="6" l="1"/>
  <c r="AC6" i="6" s="1"/>
  <c r="J13" i="56"/>
  <c r="J14" i="56"/>
  <c r="AO6" i="17"/>
  <c r="D2" i="62" l="1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L9" i="62" l="1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11" i="61"/>
  <c r="N18" i="62"/>
  <c r="K7" i="61"/>
  <c r="K11" i="62"/>
  <c r="N14" i="61"/>
  <c r="K16" i="62"/>
  <c r="S19" i="62"/>
  <c r="N4" i="62"/>
  <c r="N10" i="61"/>
  <c r="K5" i="61"/>
  <c r="N15" i="62"/>
  <c r="N16" i="62"/>
  <c r="N13" i="62"/>
  <c r="S16" i="62"/>
  <c r="K20" i="62"/>
  <c r="K15" i="61"/>
  <c r="S8" i="62"/>
  <c r="S12" i="62"/>
  <c r="K5" i="62"/>
  <c r="N8" i="62"/>
  <c r="N9" i="62"/>
  <c r="K10" i="62"/>
  <c r="N5" i="62"/>
  <c r="N9" i="61"/>
  <c r="N12" i="62"/>
  <c r="K4" i="61"/>
  <c r="K7" i="62"/>
  <c r="N20" i="61"/>
  <c r="N12" i="61"/>
  <c r="N17" i="62"/>
  <c r="N21" i="61"/>
  <c r="N4" i="61"/>
  <c r="S20" i="62"/>
  <c r="N13" i="61"/>
  <c r="S14" i="62"/>
  <c r="K11" i="61"/>
  <c r="S11" i="62"/>
  <c r="K19" i="62"/>
  <c r="K21" i="62"/>
  <c r="K6" i="61"/>
  <c r="N7" i="61"/>
  <c r="S7" i="62"/>
  <c r="K12" i="61"/>
  <c r="N19" i="62"/>
  <c r="N6" i="61"/>
  <c r="N10" i="62"/>
  <c r="K19" i="61"/>
  <c r="K8" i="61"/>
  <c r="S10" i="62"/>
  <c r="K9" i="61"/>
  <c r="K14" i="61"/>
  <c r="K18" i="61"/>
  <c r="N16" i="61"/>
  <c r="K14" i="62"/>
  <c r="N5" i="61"/>
  <c r="S18" i="62"/>
  <c r="S4" i="62"/>
  <c r="K12" i="62"/>
  <c r="N17" i="61"/>
  <c r="N7" i="62"/>
  <c r="N20" i="62"/>
  <c r="S17" i="62"/>
  <c r="K4" i="62"/>
  <c r="N11" i="62"/>
  <c r="K18" i="62"/>
  <c r="S15" i="62"/>
  <c r="K8" i="62"/>
  <c r="N21" i="62"/>
  <c r="S9" i="62"/>
  <c r="S13" i="62"/>
  <c r="K9" i="62"/>
  <c r="K15" i="62"/>
  <c r="K20" i="61"/>
  <c r="K21" i="61"/>
  <c r="K17" i="62"/>
  <c r="S21" i="62"/>
  <c r="N15" i="61"/>
  <c r="K13" i="62"/>
  <c r="K16" i="61"/>
  <c r="K17" i="61"/>
  <c r="N19" i="61"/>
  <c r="N18" i="61"/>
  <c r="K10" i="61"/>
  <c r="K13" i="61"/>
  <c r="N8" i="61"/>
  <c r="N14" i="62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3" i="60"/>
  <c r="N17" i="60"/>
  <c r="K5" i="60"/>
  <c r="N13" i="60"/>
  <c r="N8" i="60"/>
  <c r="N10" i="60"/>
  <c r="N4" i="60"/>
  <c r="K10" i="60"/>
  <c r="K16" i="60"/>
  <c r="N6" i="60"/>
  <c r="N16" i="60"/>
  <c r="N7" i="60"/>
  <c r="K14" i="60"/>
  <c r="N11" i="60"/>
  <c r="K6" i="60"/>
  <c r="N5" i="60"/>
  <c r="N9" i="60"/>
  <c r="K8" i="60"/>
  <c r="N15" i="60"/>
  <c r="K11" i="60"/>
  <c r="K15" i="60"/>
  <c r="K7" i="60"/>
  <c r="K18" i="60"/>
  <c r="N14" i="60"/>
  <c r="K17" i="60"/>
  <c r="K4" i="60"/>
  <c r="N12" i="60"/>
  <c r="K9" i="60"/>
  <c r="K12" i="60"/>
  <c r="N18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8" i="55"/>
  <c r="K7" i="55"/>
  <c r="K9" i="55"/>
  <c r="K6" i="55"/>
  <c r="K5" i="55"/>
  <c r="K10" i="55"/>
  <c r="B1" i="56"/>
  <c r="P10" i="55" l="1"/>
  <c r="P5" i="55"/>
  <c r="P6" i="55"/>
  <c r="P9" i="55"/>
  <c r="P7" i="55"/>
  <c r="P8" i="55"/>
  <c r="F5" i="55" a="1"/>
  <c r="F7" i="55" l="1"/>
  <c r="F9" i="55"/>
  <c r="F6" i="55"/>
  <c r="F5" i="55"/>
  <c r="F8" i="55"/>
  <c r="F10" i="55"/>
  <c r="C3" i="37" l="1"/>
  <c r="D3" i="37"/>
  <c r="F3" i="37"/>
  <c r="G3" i="37"/>
  <c r="I3" i="37"/>
  <c r="C4" i="37"/>
  <c r="D4" i="37"/>
  <c r="E4" i="37"/>
  <c r="E5" i="37" s="1"/>
  <c r="E6" i="37" s="1"/>
  <c r="E7" i="37" s="1"/>
  <c r="E8" i="37" s="1"/>
  <c r="E9" i="37" s="1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F4" i="37"/>
  <c r="G4" i="37"/>
  <c r="I4" i="37"/>
  <c r="C5" i="37"/>
  <c r="D5" i="37"/>
  <c r="F5" i="37"/>
  <c r="G5" i="37"/>
  <c r="I5" i="37"/>
  <c r="C6" i="37"/>
  <c r="D6" i="37"/>
  <c r="F6" i="37"/>
  <c r="G6" i="37"/>
  <c r="I6" i="37"/>
  <c r="C7" i="37"/>
  <c r="D7" i="37"/>
  <c r="F7" i="37"/>
  <c r="G7" i="37"/>
  <c r="I7" i="37"/>
  <c r="C8" i="37"/>
  <c r="D8" i="37"/>
  <c r="F8" i="37"/>
  <c r="G8" i="37"/>
  <c r="I8" i="37"/>
  <c r="C9" i="37"/>
  <c r="D9" i="37"/>
  <c r="F9" i="37"/>
  <c r="G9" i="37"/>
  <c r="I9" i="37"/>
  <c r="C10" i="37"/>
  <c r="D10" i="37"/>
  <c r="F10" i="37"/>
  <c r="G10" i="37"/>
  <c r="I10" i="37"/>
  <c r="C11" i="37"/>
  <c r="D11" i="37"/>
  <c r="F11" i="37"/>
  <c r="G11" i="37"/>
  <c r="I11" i="37"/>
  <c r="C12" i="37"/>
  <c r="D12" i="37"/>
  <c r="F12" i="37"/>
  <c r="G12" i="37"/>
  <c r="I12" i="37"/>
  <c r="C13" i="37"/>
  <c r="D13" i="37"/>
  <c r="F13" i="37"/>
  <c r="G13" i="37"/>
  <c r="I13" i="37"/>
  <c r="C14" i="37"/>
  <c r="D14" i="37"/>
  <c r="F14" i="37"/>
  <c r="G14" i="37"/>
  <c r="I14" i="37"/>
  <c r="C15" i="37"/>
  <c r="D15" i="37"/>
  <c r="F15" i="37"/>
  <c r="G15" i="37"/>
  <c r="I15" i="37"/>
  <c r="C16" i="37"/>
  <c r="D16" i="37"/>
  <c r="F16" i="37"/>
  <c r="G16" i="37"/>
  <c r="I16" i="37"/>
  <c r="C17" i="37"/>
  <c r="D17" i="37"/>
  <c r="F17" i="37"/>
  <c r="G17" i="37"/>
  <c r="I17" i="37"/>
  <c r="C18" i="37"/>
  <c r="D18" i="37"/>
  <c r="F18" i="37"/>
  <c r="G18" i="37"/>
  <c r="I18" i="37"/>
  <c r="C19" i="37"/>
  <c r="D19" i="37"/>
  <c r="F19" i="37"/>
  <c r="G19" i="37"/>
  <c r="I19" i="37"/>
  <c r="C20" i="37"/>
  <c r="D20" i="37"/>
  <c r="F20" i="37"/>
  <c r="G20" i="37"/>
  <c r="I20" i="37"/>
  <c r="C21" i="37"/>
  <c r="D21" i="37"/>
  <c r="F21" i="37"/>
  <c r="G21" i="37"/>
  <c r="I21" i="37"/>
  <c r="C22" i="37"/>
  <c r="D22" i="37"/>
  <c r="F22" i="37"/>
  <c r="G22" i="37"/>
  <c r="I22" i="37"/>
  <c r="C23" i="37"/>
  <c r="D23" i="37"/>
  <c r="F23" i="37"/>
  <c r="G23" i="37"/>
  <c r="I23" i="37"/>
  <c r="C24" i="37"/>
  <c r="D24" i="37"/>
  <c r="F24" i="37"/>
  <c r="G24" i="37"/>
  <c r="I24" i="37"/>
  <c r="C25" i="37"/>
  <c r="D25" i="37"/>
  <c r="F25" i="37"/>
  <c r="G25" i="37"/>
  <c r="I25" i="37"/>
  <c r="C26" i="37"/>
  <c r="D26" i="37"/>
  <c r="F26" i="37"/>
  <c r="G26" i="37"/>
  <c r="I26" i="37"/>
  <c r="C27" i="37"/>
  <c r="D27" i="37"/>
  <c r="F27" i="37"/>
  <c r="G27" i="37"/>
  <c r="I27" i="37"/>
  <c r="C28" i="37"/>
  <c r="D28" i="37"/>
  <c r="F28" i="37"/>
  <c r="G28" i="37"/>
  <c r="I28" i="37"/>
  <c r="C29" i="37"/>
  <c r="D29" i="37"/>
  <c r="F29" i="37"/>
  <c r="G29" i="37"/>
  <c r="I29" i="37"/>
  <c r="C30" i="37"/>
  <c r="D30" i="37"/>
  <c r="F30" i="37"/>
  <c r="G30" i="37"/>
  <c r="I30" i="37"/>
  <c r="C31" i="37"/>
  <c r="D31" i="37"/>
  <c r="F31" i="37"/>
  <c r="G31" i="37"/>
  <c r="I31" i="37"/>
  <c r="C32" i="37"/>
  <c r="D32" i="37"/>
  <c r="F32" i="37"/>
  <c r="G32" i="37"/>
  <c r="I32" i="37"/>
  <c r="C33" i="37"/>
  <c r="D33" i="37"/>
  <c r="F33" i="37"/>
  <c r="G33" i="37"/>
  <c r="I33" i="37"/>
  <c r="C34" i="37"/>
  <c r="D34" i="37"/>
  <c r="F34" i="37"/>
  <c r="G34" i="37"/>
  <c r="I34" i="37"/>
  <c r="C35" i="37"/>
  <c r="D35" i="37"/>
  <c r="F35" i="37"/>
  <c r="G35" i="37"/>
  <c r="I35" i="37"/>
  <c r="C36" i="37"/>
  <c r="D36" i="37"/>
  <c r="F36" i="37"/>
  <c r="G36" i="37"/>
  <c r="I36" i="37"/>
  <c r="C3" i="36"/>
  <c r="D3" i="36"/>
  <c r="F3" i="36"/>
  <c r="G3" i="36"/>
  <c r="C4" i="36"/>
  <c r="D4" i="36"/>
  <c r="E4" i="36"/>
  <c r="E5" i="36" s="1"/>
  <c r="E6" i="36" s="1"/>
  <c r="E7" i="36" s="1"/>
  <c r="E8" i="36" s="1"/>
  <c r="E9" i="36" s="1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F4" i="36"/>
  <c r="G4" i="36"/>
  <c r="C5" i="36"/>
  <c r="D5" i="36"/>
  <c r="F5" i="36"/>
  <c r="G5" i="36"/>
  <c r="C6" i="36"/>
  <c r="D6" i="36"/>
  <c r="F6" i="36"/>
  <c r="G6" i="36"/>
  <c r="C7" i="36"/>
  <c r="D7" i="36"/>
  <c r="F7" i="36"/>
  <c r="G7" i="36"/>
  <c r="C8" i="36"/>
  <c r="D8" i="36"/>
  <c r="F8" i="36"/>
  <c r="G8" i="36"/>
  <c r="C9" i="36"/>
  <c r="D9" i="36"/>
  <c r="F9" i="36"/>
  <c r="G9" i="36"/>
  <c r="C10" i="36"/>
  <c r="D10" i="36"/>
  <c r="F10" i="36"/>
  <c r="G10" i="36"/>
  <c r="C11" i="36"/>
  <c r="D11" i="36"/>
  <c r="F11" i="36"/>
  <c r="G11" i="36"/>
  <c r="C12" i="36"/>
  <c r="D12" i="36"/>
  <c r="F12" i="36"/>
  <c r="G12" i="36"/>
  <c r="C13" i="36"/>
  <c r="D13" i="36"/>
  <c r="F13" i="36"/>
  <c r="G13" i="36"/>
  <c r="C14" i="36"/>
  <c r="D14" i="36"/>
  <c r="F14" i="36"/>
  <c r="G14" i="36"/>
  <c r="C15" i="36"/>
  <c r="D15" i="36"/>
  <c r="F15" i="36"/>
  <c r="G15" i="36"/>
  <c r="C16" i="36"/>
  <c r="D16" i="36"/>
  <c r="F16" i="36"/>
  <c r="G16" i="36"/>
  <c r="C17" i="36"/>
  <c r="D17" i="36"/>
  <c r="F17" i="36"/>
  <c r="G17" i="36"/>
  <c r="C18" i="36"/>
  <c r="D18" i="36"/>
  <c r="F18" i="36"/>
  <c r="G18" i="36"/>
  <c r="C19" i="36"/>
  <c r="D19" i="36"/>
  <c r="F19" i="36"/>
  <c r="G19" i="36"/>
  <c r="C20" i="36"/>
  <c r="D20" i="36"/>
  <c r="F20" i="36"/>
  <c r="G20" i="36"/>
  <c r="C21" i="36"/>
  <c r="D21" i="36"/>
  <c r="F21" i="36"/>
  <c r="G21" i="36"/>
  <c r="C22" i="36"/>
  <c r="D22" i="36"/>
  <c r="F22" i="36"/>
  <c r="G22" i="36"/>
  <c r="C23" i="36"/>
  <c r="D23" i="36"/>
  <c r="F23" i="36"/>
  <c r="G23" i="36"/>
  <c r="C24" i="36"/>
  <c r="D24" i="36"/>
  <c r="F24" i="36"/>
  <c r="G24" i="36"/>
  <c r="C25" i="36"/>
  <c r="D25" i="36"/>
  <c r="F25" i="36"/>
  <c r="G25" i="36"/>
  <c r="C26" i="36"/>
  <c r="D26" i="36"/>
  <c r="F26" i="36"/>
  <c r="G26" i="36"/>
  <c r="C27" i="36"/>
  <c r="D27" i="36"/>
  <c r="F27" i="36"/>
  <c r="G27" i="36"/>
  <c r="C28" i="36"/>
  <c r="D28" i="36"/>
  <c r="F28" i="36"/>
  <c r="G28" i="36"/>
  <c r="C29" i="36"/>
  <c r="D29" i="36"/>
  <c r="F29" i="36"/>
  <c r="G29" i="36"/>
  <c r="C30" i="36"/>
  <c r="D30" i="36"/>
  <c r="F30" i="36"/>
  <c r="G30" i="36"/>
  <c r="C31" i="36"/>
  <c r="D31" i="36"/>
  <c r="F31" i="36"/>
  <c r="G31" i="36"/>
  <c r="C32" i="36"/>
  <c r="D32" i="36"/>
  <c r="F32" i="36"/>
  <c r="G32" i="36"/>
  <c r="C33" i="36"/>
  <c r="D33" i="36"/>
  <c r="F33" i="36"/>
  <c r="G33" i="36"/>
  <c r="C34" i="36"/>
  <c r="D34" i="36"/>
  <c r="F34" i="36"/>
  <c r="G34" i="36"/>
  <c r="C35" i="36"/>
  <c r="D35" i="36"/>
  <c r="F35" i="36"/>
  <c r="G35" i="36"/>
  <c r="C36" i="36"/>
  <c r="D36" i="36"/>
  <c r="F36" i="36"/>
  <c r="G36" i="36"/>
  <c r="C3" i="35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H31" i="37" l="1"/>
  <c r="J31" i="37" s="1"/>
  <c r="H23" i="37"/>
  <c r="J23" i="37" s="1"/>
  <c r="H15" i="37"/>
  <c r="J15" i="37" s="1"/>
  <c r="H7" i="37"/>
  <c r="J7" i="37" s="1"/>
  <c r="H3" i="36"/>
  <c r="J3" i="36" s="1"/>
  <c r="H13" i="37"/>
  <c r="J13" i="37" s="1"/>
  <c r="H5" i="37"/>
  <c r="J5" i="37" s="1"/>
  <c r="H36" i="36"/>
  <c r="J36" i="36" s="1"/>
  <c r="H31" i="36"/>
  <c r="J31" i="36" s="1"/>
  <c r="H28" i="36"/>
  <c r="J28" i="36" s="1"/>
  <c r="H15" i="36"/>
  <c r="J15" i="36" s="1"/>
  <c r="H32" i="37"/>
  <c r="J32" i="37" s="1"/>
  <c r="H29" i="37"/>
  <c r="J29" i="37" s="1"/>
  <c r="H10" i="36"/>
  <c r="J10" i="36" s="1"/>
  <c r="H27" i="37"/>
  <c r="J27" i="37" s="1"/>
  <c r="H19" i="37"/>
  <c r="J19" i="37" s="1"/>
  <c r="H8" i="37"/>
  <c r="J8" i="37" s="1"/>
  <c r="H32" i="36"/>
  <c r="J32" i="36" s="1"/>
  <c r="H27" i="36"/>
  <c r="J27" i="36" s="1"/>
  <c r="H11" i="36"/>
  <c r="J11" i="36" s="1"/>
  <c r="H3" i="37"/>
  <c r="J3" i="37" s="1"/>
  <c r="H34" i="37"/>
  <c r="J34" i="37" s="1"/>
  <c r="H9" i="37"/>
  <c r="J9" i="37" s="1"/>
  <c r="H33" i="36"/>
  <c r="J33" i="36" s="1"/>
  <c r="H25" i="36"/>
  <c r="J25" i="36" s="1"/>
  <c r="H12" i="37"/>
  <c r="J12" i="37" s="1"/>
  <c r="H4" i="37"/>
  <c r="J4" i="37" s="1"/>
  <c r="H13" i="36"/>
  <c r="J13" i="36" s="1"/>
  <c r="H30" i="37"/>
  <c r="J30" i="37" s="1"/>
  <c r="H16" i="37"/>
  <c r="J16" i="37" s="1"/>
  <c r="H36" i="37"/>
  <c r="J36" i="37" s="1"/>
  <c r="H33" i="37"/>
  <c r="J33" i="37" s="1"/>
  <c r="H16" i="36"/>
  <c r="J16" i="36" s="1"/>
  <c r="H11" i="37"/>
  <c r="J11" i="37" s="1"/>
  <c r="H35" i="36"/>
  <c r="J35" i="36" s="1"/>
  <c r="H6" i="37"/>
  <c r="J6" i="37" s="1"/>
  <c r="H22" i="36"/>
  <c r="J22" i="36" s="1"/>
  <c r="J35" i="35"/>
  <c r="H23" i="36"/>
  <c r="J23" i="36" s="1"/>
  <c r="H7" i="36"/>
  <c r="J7" i="36" s="1"/>
  <c r="H35" i="37"/>
  <c r="J35" i="37" s="1"/>
  <c r="H10" i="37"/>
  <c r="J10" i="37" s="1"/>
  <c r="H28" i="37"/>
  <c r="J28" i="37" s="1"/>
  <c r="H25" i="37"/>
  <c r="J25" i="37" s="1"/>
  <c r="H22" i="37"/>
  <c r="J22" i="37" s="1"/>
  <c r="H29" i="36"/>
  <c r="J29" i="36" s="1"/>
  <c r="H26" i="36"/>
  <c r="J26" i="36" s="1"/>
  <c r="H4" i="36"/>
  <c r="H20" i="37"/>
  <c r="J20" i="37" s="1"/>
  <c r="H17" i="37"/>
  <c r="J17" i="37" s="1"/>
  <c r="H14" i="37"/>
  <c r="J14" i="37" s="1"/>
  <c r="H26" i="37"/>
  <c r="J26" i="37" s="1"/>
  <c r="H30" i="36"/>
  <c r="J30" i="36" s="1"/>
  <c r="H19" i="36"/>
  <c r="J19" i="36" s="1"/>
  <c r="H24" i="37"/>
  <c r="J24" i="37" s="1"/>
  <c r="H21" i="37"/>
  <c r="J21" i="37" s="1"/>
  <c r="H18" i="37"/>
  <c r="J18" i="37" s="1"/>
  <c r="H34" i="36"/>
  <c r="J34" i="36" s="1"/>
  <c r="H8" i="36"/>
  <c r="J8" i="36" s="1"/>
  <c r="H5" i="36"/>
  <c r="J5" i="36" s="1"/>
  <c r="H20" i="36"/>
  <c r="J20" i="36" s="1"/>
  <c r="H17" i="36"/>
  <c r="J17" i="36" s="1"/>
  <c r="H14" i="36"/>
  <c r="J14" i="36" s="1"/>
  <c r="J9" i="34"/>
  <c r="J16" i="35"/>
  <c r="H12" i="36"/>
  <c r="J12" i="36" s="1"/>
  <c r="H9" i="36"/>
  <c r="J9" i="36" s="1"/>
  <c r="H6" i="36"/>
  <c r="J6" i="36" s="1"/>
  <c r="J27" i="34"/>
  <c r="H24" i="36"/>
  <c r="J24" i="36" s="1"/>
  <c r="H21" i="36"/>
  <c r="J21" i="36" s="1"/>
  <c r="H18" i="36"/>
  <c r="J18" i="36" s="1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V4" i="36"/>
  <c r="K16" i="37"/>
  <c r="K22" i="37"/>
  <c r="K5" i="37"/>
  <c r="K6" i="37"/>
  <c r="K29" i="37"/>
  <c r="K8" i="37"/>
  <c r="K21" i="37"/>
  <c r="K11" i="37"/>
  <c r="K26" i="37"/>
  <c r="K31" i="37"/>
  <c r="K24" i="37"/>
  <c r="K25" i="37"/>
  <c r="K15" i="37"/>
  <c r="K35" i="37"/>
  <c r="K34" i="37"/>
  <c r="K13" i="37"/>
  <c r="K18" i="37"/>
  <c r="K9" i="37"/>
  <c r="K3" i="37"/>
  <c r="K36" i="37"/>
  <c r="K7" i="37"/>
  <c r="K33" i="37"/>
  <c r="K14" i="37"/>
  <c r="K20" i="37"/>
  <c r="K19" i="37"/>
  <c r="K4" i="37"/>
  <c r="K17" i="37"/>
  <c r="K27" i="37"/>
  <c r="K12" i="37"/>
  <c r="K10" i="37"/>
  <c r="K30" i="37"/>
  <c r="K28" i="37"/>
  <c r="K23" i="37"/>
  <c r="K32" i="37"/>
  <c r="J4" i="36" l="1"/>
  <c r="J2" i="36"/>
  <c r="J2" i="37"/>
  <c r="K2" i="37"/>
  <c r="L2" i="35"/>
  <c r="L2" i="34"/>
  <c r="L2" i="37"/>
  <c r="L21" i="37"/>
  <c r="L31" i="37"/>
  <c r="L4" i="37"/>
  <c r="L29" i="37"/>
  <c r="L34" i="37"/>
  <c r="L14" i="37"/>
  <c r="L10" i="37"/>
  <c r="L15" i="37"/>
  <c r="L17" i="37"/>
  <c r="L32" i="37"/>
  <c r="L35" i="37"/>
  <c r="L33" i="37"/>
  <c r="L24" i="37"/>
  <c r="L28" i="37"/>
  <c r="L5" i="37"/>
  <c r="L13" i="37"/>
  <c r="L26" i="37"/>
  <c r="L30" i="37"/>
  <c r="L27" i="37"/>
  <c r="L25" i="37"/>
  <c r="L22" i="37"/>
  <c r="L16" i="37"/>
  <c r="L9" i="37"/>
  <c r="L11" i="37"/>
  <c r="L36" i="37"/>
  <c r="L3" i="37"/>
  <c r="L18" i="37"/>
  <c r="L19" i="37"/>
  <c r="L23" i="37"/>
  <c r="L20" i="37"/>
  <c r="L12" i="37"/>
  <c r="L7" i="37"/>
  <c r="L6" i="37"/>
  <c r="L8" i="37"/>
  <c r="C2" i="28" l="1"/>
  <c r="C3" i="28"/>
  <c r="C4" i="28"/>
  <c r="D2" i="28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7" i="22"/>
  <c r="F49" i="22"/>
  <c r="F44" i="22"/>
  <c r="F18" i="22"/>
  <c r="F38" i="22"/>
  <c r="F21" i="22"/>
  <c r="F55" i="22"/>
  <c r="F10" i="24"/>
  <c r="F8" i="22"/>
  <c r="F5" i="24"/>
  <c r="F25" i="22"/>
  <c r="F19" i="22"/>
  <c r="D60" i="22"/>
  <c r="F29" i="22"/>
  <c r="F12" i="23"/>
  <c r="F51" i="22"/>
  <c r="F17" i="22"/>
  <c r="F42" i="22"/>
  <c r="F9" i="22"/>
  <c r="F20" i="22"/>
  <c r="F10" i="23"/>
  <c r="E3" i="28"/>
  <c r="F39" i="22"/>
  <c r="F8" i="24"/>
  <c r="F13" i="23"/>
  <c r="F37" i="22"/>
  <c r="F31" i="22"/>
  <c r="F16" i="22"/>
  <c r="F28" i="22"/>
  <c r="F47" i="22"/>
  <c r="F6" i="24"/>
  <c r="F14" i="23"/>
  <c r="F23" i="22"/>
  <c r="F9" i="24"/>
  <c r="F14" i="22"/>
  <c r="F22" i="22"/>
  <c r="F34" i="22"/>
  <c r="F9" i="23"/>
  <c r="F45" i="22"/>
  <c r="F54" i="22"/>
  <c r="F7" i="24"/>
  <c r="F43" i="22"/>
  <c r="F11" i="23"/>
  <c r="F6" i="23"/>
  <c r="F6" i="22"/>
  <c r="F11" i="24"/>
  <c r="F50" i="22"/>
  <c r="E4" i="28"/>
  <c r="F26" i="22"/>
  <c r="F41" i="22"/>
  <c r="F48" i="22"/>
  <c r="F32" i="22"/>
  <c r="F35" i="22"/>
  <c r="F8" i="23"/>
  <c r="F58" i="22"/>
  <c r="F5" i="23"/>
  <c r="F52" i="22"/>
  <c r="F40" i="22"/>
  <c r="F24" i="22"/>
  <c r="F53" i="22"/>
  <c r="F12" i="22"/>
  <c r="F33" i="22"/>
  <c r="F5" i="22"/>
  <c r="F57" i="22"/>
  <c r="F11" i="22"/>
  <c r="F10" i="22"/>
  <c r="F56" i="22"/>
  <c r="F36" i="22"/>
  <c r="F15" i="22"/>
  <c r="F30" i="22"/>
  <c r="F13" i="22"/>
  <c r="F27" i="22"/>
  <c r="F15" i="23"/>
  <c r="F46" i="22"/>
  <c r="E2" i="28"/>
  <c r="F7" i="23"/>
  <c r="Y7" i="22"/>
  <c r="Y8" i="22"/>
  <c r="Y6" i="22"/>
  <c r="Y5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11" i="22"/>
  <c r="G32" i="22"/>
  <c r="G41" i="22"/>
  <c r="Y7" i="24"/>
  <c r="G8" i="22"/>
  <c r="G27" i="22"/>
  <c r="G56" i="22"/>
  <c r="G44" i="22"/>
  <c r="G5" i="24"/>
  <c r="G10" i="23"/>
  <c r="F19" i="26"/>
  <c r="Y8" i="24"/>
  <c r="Y10" i="24"/>
  <c r="G19" i="22"/>
  <c r="G16" i="22"/>
  <c r="Y5" i="24"/>
  <c r="G48" i="22"/>
  <c r="G26" i="22"/>
  <c r="G6" i="22"/>
  <c r="G9" i="24"/>
  <c r="G29" i="22"/>
  <c r="G23" i="22"/>
  <c r="G54" i="22"/>
  <c r="G24" i="22"/>
  <c r="G55" i="22"/>
  <c r="G14" i="22"/>
  <c r="G46" i="22"/>
  <c r="G37" i="22"/>
  <c r="G9" i="23"/>
  <c r="G49" i="22"/>
  <c r="G12" i="22"/>
  <c r="F29" i="25"/>
  <c r="G8" i="24"/>
  <c r="Y9" i="24"/>
  <c r="F24" i="25"/>
  <c r="F29" i="26"/>
  <c r="G28" i="22"/>
  <c r="G52" i="22"/>
  <c r="G45" i="22"/>
  <c r="G10" i="22"/>
  <c r="F13" i="25"/>
  <c r="G31" i="22"/>
  <c r="G8" i="23"/>
  <c r="F11" i="26"/>
  <c r="F16" i="25"/>
  <c r="G47" i="22"/>
  <c r="D61" i="22"/>
  <c r="G39" i="22"/>
  <c r="G58" i="22"/>
  <c r="G40" i="22"/>
  <c r="F8" i="25"/>
  <c r="G15" i="22"/>
  <c r="G7" i="23"/>
  <c r="G36" i="22"/>
  <c r="F16" i="26"/>
  <c r="F12" i="25"/>
  <c r="G12" i="23"/>
  <c r="G13" i="23"/>
  <c r="G14" i="23"/>
  <c r="F60" i="22"/>
  <c r="F40" i="26"/>
  <c r="G42" i="22"/>
  <c r="F32" i="26"/>
  <c r="G11" i="23"/>
  <c r="G25" i="22"/>
  <c r="G38" i="22"/>
  <c r="G18" i="22"/>
  <c r="G35" i="22"/>
  <c r="G7" i="22"/>
  <c r="G43" i="22"/>
  <c r="G22" i="22"/>
  <c r="G7" i="24"/>
  <c r="F19" i="25"/>
  <c r="G34" i="22"/>
  <c r="G6" i="24"/>
  <c r="G5" i="23"/>
  <c r="F27" i="26"/>
  <c r="G57" i="22"/>
  <c r="G5" i="22"/>
  <c r="G11" i="24"/>
  <c r="G53" i="22"/>
  <c r="F24" i="26"/>
  <c r="G21" i="22"/>
  <c r="F11" i="25"/>
  <c r="F35" i="26"/>
  <c r="G6" i="23"/>
  <c r="G15" i="23"/>
  <c r="F21" i="25"/>
  <c r="G30" i="22"/>
  <c r="G20" i="22"/>
  <c r="G13" i="22"/>
  <c r="G50" i="22"/>
  <c r="G10" i="24"/>
  <c r="F8" i="26"/>
  <c r="G17" i="22"/>
  <c r="G33" i="22"/>
  <c r="G51" i="22"/>
  <c r="F37" i="25"/>
  <c r="G9" i="22"/>
  <c r="Y11" i="24"/>
  <c r="Y6" i="24"/>
  <c r="Y49" i="22"/>
  <c r="Y46" i="22"/>
  <c r="Y17" i="22"/>
  <c r="Y19" i="22"/>
  <c r="Y6" i="23"/>
  <c r="Y39" i="22"/>
  <c r="Y9" i="22"/>
  <c r="Y27" i="22"/>
  <c r="Y54" i="22"/>
  <c r="Y16" i="22"/>
  <c r="Y24" i="22"/>
  <c r="Y57" i="22"/>
  <c r="Y26" i="22"/>
  <c r="Y33" i="22"/>
  <c r="Y8" i="23"/>
  <c r="Y41" i="22"/>
  <c r="Y36" i="22"/>
  <c r="Y31" i="22"/>
  <c r="Y14" i="23"/>
  <c r="Y11" i="22"/>
  <c r="Y53" i="22"/>
  <c r="Y40" i="22"/>
  <c r="Y32" i="22"/>
  <c r="Y48" i="22"/>
  <c r="Y18" i="22"/>
  <c r="Y35" i="22"/>
  <c r="Y23" i="22"/>
  <c r="Y52" i="22"/>
  <c r="Y45" i="22"/>
  <c r="Y37" i="22"/>
  <c r="Y51" i="22"/>
  <c r="Y42" i="22"/>
  <c r="Y13" i="22"/>
  <c r="Y12" i="22"/>
  <c r="Y14" i="22"/>
  <c r="Y10" i="22"/>
  <c r="Y11" i="23"/>
  <c r="Y13" i="23"/>
  <c r="Y7" i="23"/>
  <c r="Y20" i="22"/>
  <c r="Y21" i="22"/>
  <c r="Y22" i="22"/>
  <c r="Y30" i="22"/>
  <c r="Y34" i="22"/>
  <c r="Y15" i="22"/>
  <c r="Y12" i="23"/>
  <c r="Y44" i="22"/>
  <c r="Y25" i="22"/>
  <c r="Y50" i="22"/>
  <c r="Y9" i="23"/>
  <c r="Y47" i="22"/>
  <c r="Y29" i="22"/>
  <c r="Y15" i="23"/>
  <c r="Y43" i="22"/>
  <c r="Y5" i="23"/>
  <c r="Y56" i="22"/>
  <c r="Y58" i="22"/>
  <c r="Y10" i="23"/>
  <c r="Y38" i="22"/>
  <c r="Y28" i="22"/>
  <c r="Y55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3" i="26"/>
  <c r="G24" i="25"/>
  <c r="F26" i="25"/>
  <c r="F37" i="26"/>
  <c r="F27" i="25"/>
  <c r="F32" i="25"/>
  <c r="AC40" i="26"/>
  <c r="AC19" i="26"/>
  <c r="G12" i="25"/>
  <c r="F15" i="25"/>
  <c r="AC11" i="26"/>
  <c r="F34" i="25"/>
  <c r="F28" i="25"/>
  <c r="G8" i="26"/>
  <c r="G37" i="25"/>
  <c r="D62" i="22"/>
  <c r="F7" i="25"/>
  <c r="AC35" i="26"/>
  <c r="F10" i="26"/>
  <c r="F35" i="25"/>
  <c r="F6" i="26"/>
  <c r="F20" i="26"/>
  <c r="F28" i="26"/>
  <c r="F20" i="25"/>
  <c r="AC29" i="26"/>
  <c r="G21" i="25"/>
  <c r="G29" i="25"/>
  <c r="F36" i="26"/>
  <c r="G11" i="26"/>
  <c r="F31" i="26"/>
  <c r="G16" i="26"/>
  <c r="G8" i="25"/>
  <c r="F10" i="25"/>
  <c r="F42" i="25"/>
  <c r="F15" i="26"/>
  <c r="G24" i="26"/>
  <c r="G11" i="25"/>
  <c r="F36" i="25"/>
  <c r="F17" i="26"/>
  <c r="F25" i="26"/>
  <c r="AC32" i="26"/>
  <c r="F18" i="25"/>
  <c r="F12" i="26"/>
  <c r="F26" i="26"/>
  <c r="AC8" i="26"/>
  <c r="AC27" i="26"/>
  <c r="F14" i="25"/>
  <c r="F30" i="25"/>
  <c r="G27" i="26"/>
  <c r="F25" i="25"/>
  <c r="F61" i="22"/>
  <c r="F41" i="25"/>
  <c r="F34" i="26"/>
  <c r="F39" i="26"/>
  <c r="G19" i="26"/>
  <c r="F21" i="26"/>
  <c r="AC16" i="26"/>
  <c r="F40" i="25"/>
  <c r="G35" i="26"/>
  <c r="G19" i="25"/>
  <c r="F30" i="26"/>
  <c r="AC24" i="26"/>
  <c r="F39" i="25"/>
  <c r="G32" i="26"/>
  <c r="F33" i="26"/>
  <c r="F31" i="25"/>
  <c r="F6" i="25"/>
  <c r="F38" i="26"/>
  <c r="F17" i="25"/>
  <c r="F41" i="26"/>
  <c r="F14" i="26"/>
  <c r="G29" i="26"/>
  <c r="G13" i="25"/>
  <c r="G60" i="22"/>
  <c r="G16" i="25"/>
  <c r="F9" i="25"/>
  <c r="F38" i="25"/>
  <c r="F7" i="26"/>
  <c r="F13" i="26"/>
  <c r="F33" i="25"/>
  <c r="G40" i="26"/>
  <c r="F9" i="26"/>
  <c r="F18" i="26"/>
  <c r="F22" i="25"/>
  <c r="F42" i="26"/>
  <c r="F23" i="25"/>
  <c r="F22" i="26"/>
  <c r="AC16" i="25"/>
  <c r="AC8" i="25"/>
  <c r="AC24" i="25"/>
  <c r="AC19" i="25"/>
  <c r="AC13" i="25"/>
  <c r="AC12" i="25"/>
  <c r="AC21" i="25"/>
  <c r="AC29" i="25"/>
  <c r="AC37" i="25"/>
  <c r="AC11" i="25"/>
  <c r="E62" i="22" l="1"/>
  <c r="AC38" i="26"/>
  <c r="AC31" i="26"/>
  <c r="G26" i="26"/>
  <c r="G25" i="26"/>
  <c r="AC42" i="26"/>
  <c r="G31" i="25"/>
  <c r="AC6" i="26"/>
  <c r="G32" i="25"/>
  <c r="AC28" i="26"/>
  <c r="D63" i="22"/>
  <c r="AC25" i="26"/>
  <c r="G39" i="26"/>
  <c r="G7" i="26"/>
  <c r="G39" i="25"/>
  <c r="AC26" i="26"/>
  <c r="G18" i="26"/>
  <c r="G9" i="25"/>
  <c r="G40" i="25"/>
  <c r="AC7" i="26"/>
  <c r="G10" i="25"/>
  <c r="AC37" i="26"/>
  <c r="G9" i="26"/>
  <c r="G37" i="26"/>
  <c r="G23" i="26"/>
  <c r="G34" i="26"/>
  <c r="G36" i="26"/>
  <c r="G38" i="25"/>
  <c r="AC9" i="26"/>
  <c r="G61" i="22"/>
  <c r="AC14" i="26"/>
  <c r="AC10" i="26"/>
  <c r="G13" i="26"/>
  <c r="G17" i="25"/>
  <c r="G23" i="25"/>
  <c r="G20" i="25"/>
  <c r="G28" i="26"/>
  <c r="G6" i="25"/>
  <c r="G22" i="26"/>
  <c r="G6" i="26"/>
  <c r="G15" i="26"/>
  <c r="G18" i="25"/>
  <c r="AC15" i="26"/>
  <c r="AC12" i="26"/>
  <c r="G38" i="26"/>
  <c r="G22" i="25"/>
  <c r="G26" i="25"/>
  <c r="G17" i="26"/>
  <c r="G30" i="26"/>
  <c r="G31" i="26"/>
  <c r="G14" i="25"/>
  <c r="G20" i="26"/>
  <c r="G36" i="25"/>
  <c r="AC23" i="26"/>
  <c r="AC20" i="26"/>
  <c r="G41" i="25"/>
  <c r="G34" i="25"/>
  <c r="G7" i="25"/>
  <c r="G41" i="26"/>
  <c r="AC18" i="26"/>
  <c r="G30" i="25"/>
  <c r="G33" i="25"/>
  <c r="G10" i="26"/>
  <c r="G15" i="25"/>
  <c r="AC21" i="26"/>
  <c r="AC41" i="26"/>
  <c r="G21" i="26"/>
  <c r="AC34" i="26"/>
  <c r="G28" i="25"/>
  <c r="AC30" i="26"/>
  <c r="G33" i="26"/>
  <c r="G14" i="26"/>
  <c r="G12" i="26"/>
  <c r="AC22" i="26"/>
  <c r="AC39" i="26"/>
  <c r="G25" i="25"/>
  <c r="G27" i="25"/>
  <c r="AC17" i="26"/>
  <c r="AC33" i="26"/>
  <c r="AC13" i="26"/>
  <c r="AC36" i="26"/>
  <c r="G35" i="25"/>
  <c r="G42" i="26"/>
  <c r="G42" i="25"/>
  <c r="F62" i="22"/>
  <c r="AC35" i="25"/>
  <c r="AC15" i="25"/>
  <c r="AC26" i="25"/>
  <c r="AC38" i="25"/>
  <c r="AC30" i="25"/>
  <c r="AC32" i="25"/>
  <c r="AC34" i="25"/>
  <c r="AC41" i="25"/>
  <c r="AC31" i="25"/>
  <c r="AC27" i="25"/>
  <c r="AC10" i="25"/>
  <c r="AC22" i="25"/>
  <c r="AC42" i="25"/>
  <c r="AC6" i="25"/>
  <c r="AC23" i="25"/>
  <c r="AC17" i="25"/>
  <c r="AC14" i="25"/>
  <c r="AC40" i="25"/>
  <c r="AC20" i="25"/>
  <c r="AC25" i="25"/>
  <c r="AC28" i="25"/>
  <c r="AC36" i="25"/>
  <c r="AC7" i="25"/>
  <c r="AC9" i="25"/>
  <c r="AC18" i="25"/>
  <c r="AC33" i="25"/>
  <c r="AC39" i="25"/>
  <c r="E63" i="22" l="1"/>
  <c r="D64" i="22"/>
  <c r="G62" i="22"/>
  <c r="F63" i="22"/>
  <c r="E64" i="22" l="1"/>
  <c r="G63" i="22"/>
  <c r="D65" i="22"/>
  <c r="F64" i="22"/>
  <c r="E65" i="22" l="1"/>
  <c r="G64" i="22"/>
  <c r="F65" i="22"/>
  <c r="D66" i="22"/>
  <c r="E66" i="22" l="1"/>
  <c r="D67" i="22"/>
  <c r="G65" i="22"/>
  <c r="F66" i="22"/>
  <c r="E67" i="22" l="1"/>
  <c r="G66" i="22"/>
  <c r="D68" i="22"/>
  <c r="F67" i="22"/>
  <c r="E68" i="22" l="1"/>
  <c r="D69" i="22"/>
  <c r="G67" i="22"/>
  <c r="F68" i="22"/>
  <c r="E69" i="22" l="1"/>
  <c r="D70" i="22"/>
  <c r="F69" i="22"/>
  <c r="G69" i="22"/>
  <c r="G68" i="22"/>
  <c r="E70" i="22" l="1"/>
  <c r="F70" i="22"/>
  <c r="D71" i="22"/>
  <c r="D72" i="22"/>
  <c r="G70" i="22"/>
  <c r="E71" i="22" l="1"/>
  <c r="E72" i="22"/>
  <c r="F72" i="22"/>
  <c r="F71" i="22"/>
  <c r="D73" i="22"/>
  <c r="G72" i="22"/>
  <c r="G71" i="22"/>
  <c r="E73" i="22" l="1"/>
  <c r="D74" i="22"/>
  <c r="F73" i="22"/>
  <c r="G73" i="22"/>
  <c r="E74" i="22" l="1"/>
  <c r="D75" i="22"/>
  <c r="F74" i="22"/>
  <c r="G74" i="22"/>
  <c r="E75" i="22" l="1"/>
  <c r="F75" i="22"/>
  <c r="D76" i="22"/>
  <c r="G75" i="22"/>
  <c r="E76" i="22" l="1"/>
  <c r="D77" i="22"/>
  <c r="F76" i="22"/>
  <c r="G76" i="22"/>
  <c r="E77" i="22" l="1"/>
  <c r="D78" i="22"/>
  <c r="F77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19" i="16"/>
  <c r="D19" i="16" s="1"/>
  <c r="C20" i="16"/>
  <c r="D20" i="16" s="1"/>
  <c r="D21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11" i="16"/>
  <c r="D6" i="15"/>
  <c r="E18" i="16"/>
  <c r="E13" i="16"/>
  <c r="E8" i="16"/>
  <c r="D20" i="15"/>
  <c r="E6" i="16"/>
  <c r="D8" i="15"/>
  <c r="D12" i="15"/>
  <c r="D3" i="19" a="1"/>
  <c r="G4" i="24"/>
  <c r="E4" i="16"/>
  <c r="D21" i="15"/>
  <c r="E14" i="16"/>
  <c r="E5" i="16"/>
  <c r="D16" i="15"/>
  <c r="C6" i="20"/>
  <c r="D13" i="15"/>
  <c r="D7" i="15"/>
  <c r="E17" i="16"/>
  <c r="D22" i="15"/>
  <c r="E16" i="16"/>
  <c r="G5" i="26"/>
  <c r="D9" i="15"/>
  <c r="G4" i="23"/>
  <c r="E12" i="16"/>
  <c r="D19" i="15"/>
  <c r="E9" i="16"/>
  <c r="E20" i="16"/>
  <c r="E10" i="16"/>
  <c r="E7" i="16"/>
  <c r="D15" i="15"/>
  <c r="D17" i="15"/>
  <c r="F80" i="22"/>
  <c r="D18" i="15"/>
  <c r="AC5" i="26"/>
  <c r="D11" i="15"/>
  <c r="G5" i="25"/>
  <c r="C5" i="20"/>
  <c r="E15" i="16"/>
  <c r="E3" i="16"/>
  <c r="D5" i="15"/>
  <c r="E19" i="16"/>
  <c r="E21" i="16"/>
  <c r="D81" i="22"/>
  <c r="D10" i="15"/>
  <c r="D14" i="15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E6" i="15"/>
  <c r="F28" i="18"/>
  <c r="F65" i="19"/>
  <c r="F6" i="17"/>
  <c r="F61" i="19"/>
  <c r="F106" i="19"/>
  <c r="F114" i="19"/>
  <c r="F7" i="18"/>
  <c r="F81" i="22"/>
  <c r="F112" i="19"/>
  <c r="F21" i="19"/>
  <c r="F109" i="19"/>
  <c r="F47" i="19"/>
  <c r="F46" i="18"/>
  <c r="F96" i="19"/>
  <c r="F118" i="19"/>
  <c r="F78" i="19"/>
  <c r="F62" i="19"/>
  <c r="F4" i="19"/>
  <c r="F38" i="18"/>
  <c r="F7" i="19"/>
  <c r="F12" i="17"/>
  <c r="F54" i="19"/>
  <c r="F34" i="18"/>
  <c r="F14" i="19"/>
  <c r="F24" i="18"/>
  <c r="F107" i="19"/>
  <c r="E22" i="15"/>
  <c r="F11" i="16"/>
  <c r="E17" i="15"/>
  <c r="F45" i="19"/>
  <c r="F9" i="17"/>
  <c r="F79" i="19"/>
  <c r="F111" i="19"/>
  <c r="F17" i="18"/>
  <c r="F20" i="18"/>
  <c r="F97" i="19"/>
  <c r="F122" i="19"/>
  <c r="F45" i="18"/>
  <c r="F57" i="19"/>
  <c r="F86" i="19"/>
  <c r="F16" i="18"/>
  <c r="F52" i="19"/>
  <c r="E5" i="15"/>
  <c r="E14" i="15"/>
  <c r="F72" i="19"/>
  <c r="F18" i="19"/>
  <c r="F105" i="19"/>
  <c r="F17" i="17"/>
  <c r="F19" i="16"/>
  <c r="F12" i="16"/>
  <c r="F29" i="18"/>
  <c r="F19" i="18"/>
  <c r="F101" i="19"/>
  <c r="F12" i="19"/>
  <c r="F5" i="16"/>
  <c r="F92" i="19"/>
  <c r="F5" i="19"/>
  <c r="F50" i="19"/>
  <c r="F6" i="19"/>
  <c r="F67" i="19"/>
  <c r="F108" i="19"/>
  <c r="F9" i="19"/>
  <c r="E11" i="15"/>
  <c r="F15" i="16"/>
  <c r="F35" i="18"/>
  <c r="F17" i="16"/>
  <c r="F29" i="19"/>
  <c r="F99" i="19"/>
  <c r="F77" i="19"/>
  <c r="F7" i="17"/>
  <c r="E12" i="15"/>
  <c r="F103" i="19"/>
  <c r="E7" i="15"/>
  <c r="F63" i="19"/>
  <c r="F3" i="16"/>
  <c r="F14" i="17"/>
  <c r="F21" i="16"/>
  <c r="F25" i="19"/>
  <c r="F11" i="18"/>
  <c r="F40" i="19"/>
  <c r="F66" i="19"/>
  <c r="F95" i="19"/>
  <c r="D6" i="20"/>
  <c r="F9" i="18"/>
  <c r="F58" i="19"/>
  <c r="F59" i="19"/>
  <c r="F83" i="19"/>
  <c r="F13" i="18"/>
  <c r="F98" i="19"/>
  <c r="F53" i="19"/>
  <c r="F34" i="19"/>
  <c r="F10" i="18"/>
  <c r="F37" i="18"/>
  <c r="F119" i="19"/>
  <c r="F38" i="19"/>
  <c r="F7" i="16"/>
  <c r="F8" i="19"/>
  <c r="F30" i="18"/>
  <c r="F6" i="16"/>
  <c r="F33" i="18"/>
  <c r="F48" i="19"/>
  <c r="F89" i="19"/>
  <c r="F3" i="19"/>
  <c r="F44" i="19"/>
  <c r="F27" i="18"/>
  <c r="F74" i="19"/>
  <c r="F9" i="16"/>
  <c r="F80" i="19"/>
  <c r="F102" i="19"/>
  <c r="F32" i="19"/>
  <c r="F120" i="19"/>
  <c r="F31" i="19"/>
  <c r="D5" i="20"/>
  <c r="F40" i="18"/>
  <c r="F60" i="19"/>
  <c r="F43" i="18"/>
  <c r="F10" i="17"/>
  <c r="F20" i="16"/>
  <c r="F49" i="19"/>
  <c r="F51" i="19"/>
  <c r="F10" i="16"/>
  <c r="F82" i="19"/>
  <c r="F70" i="19"/>
  <c r="F71" i="19"/>
  <c r="E21" i="15"/>
  <c r="F46" i="19"/>
  <c r="F11" i="17"/>
  <c r="F31" i="18"/>
  <c r="F12" i="18"/>
  <c r="F18" i="16"/>
  <c r="F26" i="19"/>
  <c r="F90" i="19"/>
  <c r="F91" i="19"/>
  <c r="F20" i="19"/>
  <c r="F47" i="18"/>
  <c r="F100" i="19"/>
  <c r="F117" i="19"/>
  <c r="F81" i="19"/>
  <c r="F13" i="17"/>
  <c r="F36" i="18"/>
  <c r="E8" i="15"/>
  <c r="F43" i="19"/>
  <c r="F39" i="18"/>
  <c r="F69" i="19"/>
  <c r="F39" i="19"/>
  <c r="F13" i="16"/>
  <c r="F113" i="19"/>
  <c r="F26" i="18"/>
  <c r="F30" i="19"/>
  <c r="F94" i="19"/>
  <c r="F14" i="16"/>
  <c r="E20" i="15"/>
  <c r="F41" i="18"/>
  <c r="F11" i="19"/>
  <c r="F8" i="17"/>
  <c r="F41" i="19"/>
  <c r="F16" i="17"/>
  <c r="F4" i="16"/>
  <c r="F14" i="18"/>
  <c r="F8" i="16"/>
  <c r="F15" i="17"/>
  <c r="F115" i="19"/>
  <c r="F6" i="18"/>
  <c r="F55" i="19"/>
  <c r="F35" i="19"/>
  <c r="F93" i="19"/>
  <c r="F15" i="19"/>
  <c r="F27" i="19"/>
  <c r="F116" i="19"/>
  <c r="F10" i="19"/>
  <c r="F73" i="19"/>
  <c r="F22" i="18"/>
  <c r="F68" i="19"/>
  <c r="E13" i="15"/>
  <c r="F18" i="18"/>
  <c r="F23" i="19"/>
  <c r="F56" i="19"/>
  <c r="F25" i="18"/>
  <c r="F22" i="19"/>
  <c r="F42" i="19"/>
  <c r="F37" i="19"/>
  <c r="F121" i="19"/>
  <c r="F87" i="19"/>
  <c r="E16" i="15"/>
  <c r="F13" i="19"/>
  <c r="F19" i="19"/>
  <c r="F64" i="19"/>
  <c r="F28" i="19"/>
  <c r="E19" i="15"/>
  <c r="F32" i="18"/>
  <c r="E9" i="15"/>
  <c r="F16" i="16"/>
  <c r="F23" i="18"/>
  <c r="E18" i="15"/>
  <c r="F33" i="19"/>
  <c r="F24" i="19"/>
  <c r="F85" i="19"/>
  <c r="F17" i="19"/>
  <c r="F84" i="19"/>
  <c r="F44" i="18"/>
  <c r="F76" i="19"/>
  <c r="F110" i="19"/>
  <c r="F75" i="19"/>
  <c r="E10" i="15"/>
  <c r="F104" i="19"/>
  <c r="F16" i="19"/>
  <c r="F36" i="19"/>
  <c r="F21" i="18"/>
  <c r="F15" i="18"/>
  <c r="F42" i="18"/>
  <c r="E15" i="15"/>
  <c r="F8" i="18"/>
  <c r="F88" i="19"/>
  <c r="D82" i="22"/>
  <c r="X11" i="16"/>
  <c r="Z14" i="17"/>
  <c r="Z11" i="17"/>
  <c r="X9" i="16"/>
  <c r="X12" i="16"/>
  <c r="P16" i="15"/>
  <c r="Z7" i="17"/>
  <c r="P15" i="15"/>
  <c r="Z15" i="17"/>
  <c r="X13" i="16"/>
  <c r="X18" i="16"/>
  <c r="Z13" i="17"/>
  <c r="Z6" i="17"/>
  <c r="Q5" i="20"/>
  <c r="P22" i="15"/>
  <c r="Q6" i="20"/>
  <c r="P19" i="15"/>
  <c r="P10" i="15"/>
  <c r="X8" i="16"/>
  <c r="P7" i="15"/>
  <c r="X20" i="16"/>
  <c r="P13" i="15"/>
  <c r="X15" i="16"/>
  <c r="P9" i="15"/>
  <c r="P21" i="15"/>
  <c r="Z17" i="17"/>
  <c r="P11" i="15"/>
  <c r="Z12" i="17"/>
  <c r="P8" i="15"/>
  <c r="X10" i="16"/>
  <c r="P5" i="15"/>
  <c r="X21" i="16"/>
  <c r="Z8" i="17"/>
  <c r="P18" i="15"/>
  <c r="P17" i="15"/>
  <c r="P12" i="15"/>
  <c r="X19" i="16"/>
  <c r="X14" i="16"/>
  <c r="Z9" i="17"/>
  <c r="Z16" i="17"/>
  <c r="P6" i="15"/>
  <c r="Z10" i="17"/>
  <c r="P20" i="15"/>
  <c r="X17" i="16"/>
  <c r="X7" i="16"/>
  <c r="X16" i="16"/>
  <c r="P14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5" i="19"/>
  <c r="G17" i="19"/>
  <c r="G46" i="18"/>
  <c r="G62" i="19"/>
  <c r="G108" i="19"/>
  <c r="G86" i="19"/>
  <c r="G104" i="19"/>
  <c r="G7" i="18"/>
  <c r="G27" i="18"/>
  <c r="G13" i="17"/>
  <c r="G19" i="19"/>
  <c r="G97" i="19"/>
  <c r="G95" i="19"/>
  <c r="G54" i="19"/>
  <c r="G44" i="18"/>
  <c r="G22" i="19"/>
  <c r="G7" i="19"/>
  <c r="G116" i="19"/>
  <c r="G113" i="19"/>
  <c r="G28" i="19"/>
  <c r="G9" i="19"/>
  <c r="G43" i="18"/>
  <c r="G69" i="19"/>
  <c r="G39" i="18"/>
  <c r="G42" i="18"/>
  <c r="G33" i="18"/>
  <c r="G3" i="19"/>
  <c r="G72" i="19"/>
  <c r="G96" i="19"/>
  <c r="G9" i="18"/>
  <c r="G110" i="19"/>
  <c r="G47" i="19"/>
  <c r="G25" i="18"/>
  <c r="G26" i="19"/>
  <c r="G14" i="17"/>
  <c r="G59" i="19"/>
  <c r="G11" i="18"/>
  <c r="G25" i="19"/>
  <c r="G51" i="19"/>
  <c r="G53" i="19"/>
  <c r="G82" i="19"/>
  <c r="G58" i="19"/>
  <c r="G21" i="18"/>
  <c r="G102" i="19"/>
  <c r="G26" i="18"/>
  <c r="G88" i="19"/>
  <c r="G38" i="18"/>
  <c r="G81" i="19"/>
  <c r="G50" i="19"/>
  <c r="G13" i="18"/>
  <c r="G36" i="18"/>
  <c r="G12" i="17"/>
  <c r="G30" i="18"/>
  <c r="G107" i="19"/>
  <c r="G37" i="19"/>
  <c r="G67" i="19"/>
  <c r="G38" i="19"/>
  <c r="G13" i="19"/>
  <c r="G12" i="18"/>
  <c r="G6" i="18"/>
  <c r="G85" i="19"/>
  <c r="G114" i="19"/>
  <c r="G120" i="19"/>
  <c r="F82" i="22"/>
  <c r="G99" i="19"/>
  <c r="G41" i="18"/>
  <c r="G109" i="19"/>
  <c r="G29" i="19"/>
  <c r="G60" i="19"/>
  <c r="G7" i="17"/>
  <c r="G101" i="19"/>
  <c r="G48" i="19"/>
  <c r="G57" i="19"/>
  <c r="G16" i="18"/>
  <c r="G40" i="19"/>
  <c r="G15" i="17"/>
  <c r="G93" i="19"/>
  <c r="G35" i="18"/>
  <c r="D4" i="20"/>
  <c r="G2" i="19"/>
  <c r="G90" i="19"/>
  <c r="G65" i="19"/>
  <c r="G49" i="19"/>
  <c r="G44" i="19"/>
  <c r="G23" i="19"/>
  <c r="G73" i="19"/>
  <c r="G46" i="19"/>
  <c r="G28" i="18"/>
  <c r="G10" i="17"/>
  <c r="G47" i="18"/>
  <c r="G70" i="19"/>
  <c r="G30" i="19"/>
  <c r="G39" i="19"/>
  <c r="G11" i="19"/>
  <c r="G71" i="19"/>
  <c r="G91" i="19"/>
  <c r="G8" i="17"/>
  <c r="G94" i="19"/>
  <c r="G31" i="19"/>
  <c r="G64" i="19"/>
  <c r="G105" i="19"/>
  <c r="G117" i="19"/>
  <c r="G11" i="17"/>
  <c r="G118" i="19"/>
  <c r="G4" i="19"/>
  <c r="G40" i="18"/>
  <c r="G75" i="19"/>
  <c r="G21" i="19"/>
  <c r="G17" i="18"/>
  <c r="G5" i="18"/>
  <c r="G32" i="18"/>
  <c r="G55" i="19"/>
  <c r="G5" i="17"/>
  <c r="G18" i="19"/>
  <c r="G14" i="19"/>
  <c r="G32" i="19"/>
  <c r="G8" i="19"/>
  <c r="G14" i="18"/>
  <c r="G12" i="19"/>
  <c r="G52" i="19"/>
  <c r="G20" i="18"/>
  <c r="G122" i="19"/>
  <c r="G100" i="19"/>
  <c r="G106" i="19"/>
  <c r="G23" i="18"/>
  <c r="G6" i="17"/>
  <c r="G74" i="19"/>
  <c r="G10" i="19"/>
  <c r="G16" i="17"/>
  <c r="G31" i="18"/>
  <c r="G63" i="19"/>
  <c r="G89" i="19"/>
  <c r="G83" i="19"/>
  <c r="G121" i="19"/>
  <c r="G24" i="18"/>
  <c r="G76" i="19"/>
  <c r="G9" i="17"/>
  <c r="G20" i="19"/>
  <c r="G19" i="18"/>
  <c r="G79" i="19"/>
  <c r="G27" i="19"/>
  <c r="G22" i="18"/>
  <c r="D83" i="22"/>
  <c r="D84" i="22" s="1"/>
  <c r="G34" i="19"/>
  <c r="G66" i="19"/>
  <c r="G78" i="19"/>
  <c r="G36" i="19"/>
  <c r="G6" i="19"/>
  <c r="G45" i="18"/>
  <c r="G34" i="18"/>
  <c r="G37" i="18"/>
  <c r="G43" i="19"/>
  <c r="G8" i="18"/>
  <c r="G33" i="19"/>
  <c r="G61" i="19"/>
  <c r="G15" i="19"/>
  <c r="G56" i="19"/>
  <c r="G77" i="19"/>
  <c r="G35" i="19"/>
  <c r="G45" i="19"/>
  <c r="G87" i="19"/>
  <c r="G80" i="19"/>
  <c r="F2" i="16"/>
  <c r="G10" i="18"/>
  <c r="G103" i="19"/>
  <c r="G92" i="19"/>
  <c r="G111" i="19"/>
  <c r="G17" i="17"/>
  <c r="G84" i="19"/>
  <c r="G41" i="19"/>
  <c r="G16" i="19"/>
  <c r="G112" i="19"/>
  <c r="G18" i="18"/>
  <c r="G24" i="19"/>
  <c r="G115" i="19"/>
  <c r="G98" i="19"/>
  <c r="G29" i="18"/>
  <c r="G15" i="18"/>
  <c r="G119" i="19"/>
  <c r="E4" i="15"/>
  <c r="G68" i="19"/>
  <c r="G42" i="19"/>
  <c r="Z16" i="18"/>
  <c r="Z17" i="18"/>
  <c r="Z47" i="18"/>
  <c r="Z11" i="18"/>
  <c r="Z30" i="18"/>
  <c r="Z39" i="18"/>
  <c r="Z8" i="18"/>
  <c r="Z25" i="18"/>
  <c r="Z28" i="18"/>
  <c r="Z7" i="18"/>
  <c r="Z44" i="18"/>
  <c r="Z32" i="18"/>
  <c r="Z40" i="18"/>
  <c r="Z24" i="18"/>
  <c r="Q3" i="20"/>
  <c r="Z29" i="18"/>
  <c r="Z10" i="18"/>
  <c r="Z26" i="18"/>
  <c r="Z34" i="18"/>
  <c r="Z22" i="18"/>
  <c r="Z14" i="18"/>
  <c r="Z46" i="18"/>
  <c r="Z27" i="18"/>
  <c r="Z13" i="18"/>
  <c r="Z9" i="18"/>
  <c r="Z23" i="18"/>
  <c r="Z38" i="18"/>
  <c r="Z6" i="18"/>
  <c r="Z41" i="18"/>
  <c r="Z37" i="18"/>
  <c r="Z33" i="18"/>
  <c r="Z21" i="18"/>
  <c r="Z18" i="18"/>
  <c r="Z35" i="18"/>
  <c r="Z12" i="18"/>
  <c r="Z15" i="18"/>
  <c r="Z31" i="18"/>
  <c r="Z43" i="18"/>
  <c r="Z36" i="18"/>
  <c r="Z42" i="18"/>
  <c r="Z20" i="18"/>
  <c r="Z45" i="18"/>
  <c r="Z19" i="18"/>
  <c r="G82" i="22"/>
  <c r="E83" i="22" l="1"/>
  <c r="E84" i="22"/>
  <c r="E5" i="13"/>
  <c r="E5" i="11"/>
  <c r="E5" i="12"/>
  <c r="C6" i="13"/>
  <c r="C6" i="12"/>
  <c r="C6" i="11"/>
  <c r="D85" i="22"/>
  <c r="F5" i="11"/>
  <c r="F5" i="12"/>
  <c r="F5" i="13"/>
  <c r="F83" i="22"/>
  <c r="F84" i="22"/>
  <c r="G83" i="22"/>
  <c r="G84" i="22"/>
  <c r="E85" i="22" l="1"/>
  <c r="C7" i="13"/>
  <c r="E6" i="13"/>
  <c r="E4" i="12"/>
  <c r="C7" i="12"/>
  <c r="E6" i="12"/>
  <c r="E4" i="11"/>
  <c r="C7" i="11"/>
  <c r="E6" i="11"/>
  <c r="F6" i="12"/>
  <c r="F6" i="13"/>
  <c r="F85" i="22"/>
  <c r="G5" i="13"/>
  <c r="F6" i="11"/>
  <c r="D86" i="22"/>
  <c r="G5" i="12"/>
  <c r="G5" i="11"/>
  <c r="G85" i="22"/>
  <c r="E86" i="22" l="1"/>
  <c r="C8" i="13"/>
  <c r="E7" i="13"/>
  <c r="E7" i="12"/>
  <c r="C8" i="12"/>
  <c r="E7" i="11"/>
  <c r="C8" i="11"/>
  <c r="D87" i="22"/>
  <c r="G6" i="11"/>
  <c r="F7" i="13"/>
  <c r="F7" i="12"/>
  <c r="F7" i="11"/>
  <c r="F86" i="22"/>
  <c r="G6" i="13"/>
  <c r="G6" i="12"/>
  <c r="G86" i="22"/>
  <c r="E87" i="22" l="1"/>
  <c r="E8" i="13"/>
  <c r="C9" i="13"/>
  <c r="C9" i="12"/>
  <c r="E8" i="12"/>
  <c r="E8" i="11"/>
  <c r="C9" i="11"/>
  <c r="G7" i="11"/>
  <c r="F87" i="22"/>
  <c r="D88" i="22"/>
  <c r="G7" i="13"/>
  <c r="F8" i="13"/>
  <c r="F8" i="12"/>
  <c r="G7" i="12"/>
  <c r="F8" i="11"/>
  <c r="G87" i="22"/>
  <c r="E88" i="22" l="1"/>
  <c r="E4" i="13"/>
  <c r="C10" i="13"/>
  <c r="E9" i="13"/>
  <c r="E9" i="12"/>
  <c r="C10" i="12"/>
  <c r="C10" i="11"/>
  <c r="E9" i="11"/>
  <c r="F9" i="11"/>
  <c r="G8" i="11"/>
  <c r="D89" i="22"/>
  <c r="F88" i="22"/>
  <c r="F9" i="12"/>
  <c r="F9" i="13"/>
  <c r="G8" i="12"/>
  <c r="G8" i="13"/>
  <c r="G88" i="22"/>
  <c r="E89" i="22" l="1"/>
  <c r="E10" i="13"/>
  <c r="C11" i="13"/>
  <c r="E10" i="12"/>
  <c r="C11" i="12"/>
  <c r="E10" i="11"/>
  <c r="C11" i="11"/>
  <c r="F10" i="13"/>
  <c r="F10" i="12"/>
  <c r="D90" i="22"/>
  <c r="G9" i="13"/>
  <c r="F10" i="11"/>
  <c r="G9" i="11"/>
  <c r="G9" i="12"/>
  <c r="F89" i="22"/>
  <c r="G89" i="22"/>
  <c r="E90" i="22" l="1"/>
  <c r="E11" i="13"/>
  <c r="C12" i="13"/>
  <c r="E11" i="12"/>
  <c r="C12" i="12"/>
  <c r="C12" i="11"/>
  <c r="E11" i="11"/>
  <c r="F90" i="22"/>
  <c r="D91" i="22"/>
  <c r="G10" i="12"/>
  <c r="F11" i="12"/>
  <c r="F11" i="13"/>
  <c r="G10" i="11"/>
  <c r="D92" i="22"/>
  <c r="G10" i="13"/>
  <c r="F11" i="11"/>
  <c r="G90" i="22"/>
  <c r="E92" i="22" l="1"/>
  <c r="E91" i="22"/>
  <c r="E12" i="13"/>
  <c r="C13" i="13"/>
  <c r="E12" i="12"/>
  <c r="C13" i="12"/>
  <c r="E12" i="11"/>
  <c r="C13" i="11"/>
  <c r="F12" i="12"/>
  <c r="F12" i="11"/>
  <c r="G11" i="12"/>
  <c r="F12" i="13"/>
  <c r="D93" i="22"/>
  <c r="G11" i="11"/>
  <c r="G11" i="13"/>
  <c r="F91" i="22"/>
  <c r="D94" i="22"/>
  <c r="F92" i="22"/>
  <c r="G92" i="22"/>
  <c r="G91" i="22"/>
  <c r="E94" i="22" l="1"/>
  <c r="E93" i="22"/>
  <c r="E13" i="13"/>
  <c r="C14" i="13"/>
  <c r="E13" i="12"/>
  <c r="C14" i="12"/>
  <c r="E13" i="11"/>
  <c r="C14" i="11"/>
  <c r="F4" i="22"/>
  <c r="D95" i="22"/>
  <c r="F13" i="13"/>
  <c r="F13" i="11"/>
  <c r="F13" i="12"/>
  <c r="G12" i="11"/>
  <c r="F94" i="22"/>
  <c r="F93" i="22"/>
  <c r="G12" i="13"/>
  <c r="G12" i="12"/>
  <c r="G93" i="22"/>
  <c r="G94" i="22"/>
  <c r="E95" i="22" l="1"/>
  <c r="C15" i="13"/>
  <c r="E14" i="13"/>
  <c r="C15" i="12"/>
  <c r="E14" i="12"/>
  <c r="C15" i="11"/>
  <c r="E14" i="11"/>
  <c r="F14" i="12"/>
  <c r="G13" i="12"/>
  <c r="G4" i="22"/>
  <c r="F95" i="22"/>
  <c r="G13" i="13"/>
  <c r="F14" i="11"/>
  <c r="G13" i="11"/>
  <c r="F14" i="13"/>
  <c r="G95" i="22"/>
  <c r="C16" i="13" l="1"/>
  <c r="E15" i="13"/>
  <c r="E15" i="12"/>
  <c r="C16" i="12"/>
  <c r="E15" i="11"/>
  <c r="C16" i="11"/>
  <c r="F15" i="12"/>
  <c r="G14" i="13"/>
  <c r="G14" i="11"/>
  <c r="F15" i="13"/>
  <c r="F15" i="11"/>
  <c r="G14" i="12"/>
  <c r="E16" i="13" l="1"/>
  <c r="C17" i="13"/>
  <c r="C17" i="12"/>
  <c r="E16" i="12"/>
  <c r="E16" i="11"/>
  <c r="C17" i="11"/>
  <c r="F16" i="12"/>
  <c r="G15" i="13"/>
  <c r="G15" i="12"/>
  <c r="F16" i="13"/>
  <c r="F16" i="11"/>
  <c r="G15" i="11"/>
  <c r="E17" i="13" l="1"/>
  <c r="C18" i="13"/>
  <c r="C18" i="12"/>
  <c r="E17" i="12"/>
  <c r="C18" i="11"/>
  <c r="E17" i="11"/>
  <c r="F17" i="13"/>
  <c r="G16" i="13"/>
  <c r="G16" i="12"/>
  <c r="G16" i="11"/>
  <c r="F17" i="12"/>
  <c r="F17" i="11"/>
  <c r="C19" i="13" l="1"/>
  <c r="E18" i="13"/>
  <c r="E18" i="12"/>
  <c r="C19" i="12"/>
  <c r="E18" i="11"/>
  <c r="C19" i="11"/>
  <c r="F18" i="11"/>
  <c r="G17" i="12"/>
  <c r="G17" i="11"/>
  <c r="F18" i="12"/>
  <c r="G17" i="13"/>
  <c r="F18" i="13"/>
  <c r="E19" i="13" l="1"/>
  <c r="C20" i="13"/>
  <c r="C20" i="12"/>
  <c r="E19" i="12"/>
  <c r="C20" i="11"/>
  <c r="E19" i="11"/>
  <c r="F19" i="12"/>
  <c r="F19" i="13"/>
  <c r="G18" i="13"/>
  <c r="F19" i="11"/>
  <c r="G18" i="12"/>
  <c r="G18" i="11"/>
  <c r="E20" i="13" l="1"/>
  <c r="C21" i="13"/>
  <c r="C21" i="12"/>
  <c r="E20" i="12"/>
  <c r="E20" i="11"/>
  <c r="C21" i="11"/>
  <c r="F20" i="11"/>
  <c r="G19" i="13"/>
  <c r="G19" i="11"/>
  <c r="G19" i="12"/>
  <c r="F20" i="13"/>
  <c r="F20" i="12"/>
  <c r="E21" i="13" l="1"/>
  <c r="C22" i="13"/>
  <c r="E21" i="12"/>
  <c r="C22" i="12"/>
  <c r="E21" i="11"/>
  <c r="C22" i="11"/>
  <c r="G20" i="13"/>
  <c r="F21" i="11"/>
  <c r="G20" i="12"/>
  <c r="F21" i="12"/>
  <c r="G20" i="11"/>
  <c r="F21" i="13"/>
  <c r="C23" i="13" l="1"/>
  <c r="E22" i="13"/>
  <c r="C23" i="12"/>
  <c r="E22" i="12"/>
  <c r="C23" i="11"/>
  <c r="E22" i="11"/>
  <c r="G21" i="13"/>
  <c r="F22" i="13"/>
  <c r="G21" i="11"/>
  <c r="G21" i="12"/>
  <c r="F22" i="11"/>
  <c r="F22" i="12"/>
  <c r="C24" i="13" l="1"/>
  <c r="E23" i="13"/>
  <c r="E23" i="12"/>
  <c r="C24" i="12"/>
  <c r="E23" i="11"/>
  <c r="C24" i="11"/>
  <c r="G22" i="12"/>
  <c r="F23" i="12"/>
  <c r="F23" i="13"/>
  <c r="G22" i="13"/>
  <c r="G22" i="11"/>
  <c r="F23" i="11"/>
  <c r="E24" i="13" l="1"/>
  <c r="C25" i="13"/>
  <c r="E24" i="12"/>
  <c r="C25" i="12"/>
  <c r="E24" i="11"/>
  <c r="C25" i="11"/>
  <c r="F24" i="11"/>
  <c r="F24" i="13"/>
  <c r="F24" i="12"/>
  <c r="G23" i="12"/>
  <c r="G23" i="13"/>
  <c r="G23" i="11"/>
  <c r="E25" i="13" l="1"/>
  <c r="C26" i="13"/>
  <c r="C26" i="12"/>
  <c r="E25" i="12"/>
  <c r="C26" i="11"/>
  <c r="E25" i="11"/>
  <c r="G24" i="13"/>
  <c r="G24" i="11"/>
  <c r="F25" i="12"/>
  <c r="F25" i="11"/>
  <c r="F25" i="13"/>
  <c r="G24" i="12"/>
  <c r="C27" i="13" l="1"/>
  <c r="E26" i="13"/>
  <c r="E26" i="12"/>
  <c r="C27" i="12"/>
  <c r="E26" i="11"/>
  <c r="C27" i="11"/>
  <c r="F26" i="11"/>
  <c r="G25" i="12"/>
  <c r="G25" i="13"/>
  <c r="G25" i="11"/>
  <c r="F26" i="13"/>
  <c r="F26" i="12"/>
  <c r="E27" i="13" l="1"/>
  <c r="C28" i="13"/>
  <c r="C28" i="12"/>
  <c r="E27" i="12"/>
  <c r="C28" i="11"/>
  <c r="E27" i="11"/>
  <c r="F27" i="12"/>
  <c r="F27" i="13"/>
  <c r="F27" i="11"/>
  <c r="G26" i="12"/>
  <c r="G26" i="13"/>
  <c r="G26" i="11"/>
  <c r="C29" i="13" l="1"/>
  <c r="E28" i="13"/>
  <c r="E28" i="12"/>
  <c r="C29" i="12"/>
  <c r="C29" i="11"/>
  <c r="E28" i="11"/>
  <c r="F28" i="12"/>
  <c r="G27" i="13"/>
  <c r="G27" i="12"/>
  <c r="F28" i="11"/>
  <c r="F28" i="13"/>
  <c r="G27" i="11"/>
  <c r="E29" i="13" l="1"/>
  <c r="C30" i="13"/>
  <c r="E29" i="12"/>
  <c r="C30" i="12"/>
  <c r="E29" i="11"/>
  <c r="C30" i="11"/>
  <c r="F29" i="13"/>
  <c r="F29" i="12"/>
  <c r="F29" i="11"/>
  <c r="G28" i="12"/>
  <c r="G28" i="11"/>
  <c r="G28" i="13"/>
  <c r="C31" i="13" l="1"/>
  <c r="E30" i="13"/>
  <c r="C31" i="12"/>
  <c r="E30" i="12"/>
  <c r="C31" i="11"/>
  <c r="E30" i="11"/>
  <c r="G29" i="13"/>
  <c r="F30" i="11"/>
  <c r="F30" i="12"/>
  <c r="G29" i="11"/>
  <c r="F30" i="13"/>
  <c r="G29" i="12"/>
  <c r="C32" i="13" l="1"/>
  <c r="E31" i="13"/>
  <c r="E31" i="12"/>
  <c r="C32" i="12"/>
  <c r="E31" i="11"/>
  <c r="C32" i="11"/>
  <c r="G30" i="12"/>
  <c r="F31" i="13"/>
  <c r="F31" i="12"/>
  <c r="G30" i="11"/>
  <c r="F31" i="11"/>
  <c r="G30" i="13"/>
  <c r="E32" i="13" l="1"/>
  <c r="C33" i="13"/>
  <c r="E32" i="12"/>
  <c r="C33" i="12"/>
  <c r="E32" i="11"/>
  <c r="C33" i="11"/>
  <c r="F32" i="13"/>
  <c r="G31" i="11"/>
  <c r="F32" i="12"/>
  <c r="F32" i="11"/>
  <c r="G31" i="12"/>
  <c r="G31" i="13"/>
  <c r="E33" i="13" l="1"/>
  <c r="C34" i="13"/>
  <c r="C34" i="12"/>
  <c r="E33" i="12"/>
  <c r="C34" i="11"/>
  <c r="E33" i="11"/>
  <c r="F33" i="13"/>
  <c r="G32" i="11"/>
  <c r="F33" i="12"/>
  <c r="G32" i="12"/>
  <c r="G32" i="13"/>
  <c r="F33" i="11"/>
  <c r="C35" i="13" l="1"/>
  <c r="E34" i="13"/>
  <c r="E34" i="12"/>
  <c r="C35" i="12"/>
  <c r="E34" i="11"/>
  <c r="C35" i="11"/>
  <c r="G33" i="13"/>
  <c r="G33" i="11"/>
  <c r="G33" i="12"/>
  <c r="F34" i="13"/>
  <c r="F34" i="11"/>
  <c r="F34" i="12"/>
  <c r="E35" i="13" l="1"/>
  <c r="C36" i="13"/>
  <c r="C36" i="12"/>
  <c r="E35" i="12"/>
  <c r="C36" i="11"/>
  <c r="E35" i="11"/>
  <c r="G34" i="11"/>
  <c r="F35" i="11"/>
  <c r="G34" i="12"/>
  <c r="G34" i="13"/>
  <c r="F35" i="13"/>
  <c r="F35" i="12"/>
  <c r="E36" i="13" l="1"/>
  <c r="C37" i="13"/>
  <c r="E36" i="12"/>
  <c r="C37" i="12"/>
  <c r="E36" i="11"/>
  <c r="C37" i="11"/>
  <c r="F36" i="12"/>
  <c r="F36" i="11"/>
  <c r="F36" i="13"/>
  <c r="G35" i="13"/>
  <c r="G35" i="11"/>
  <c r="G35" i="12"/>
  <c r="E37" i="13" l="1"/>
  <c r="C38" i="13"/>
  <c r="E37" i="12"/>
  <c r="C38" i="12"/>
  <c r="E37" i="11"/>
  <c r="C38" i="11"/>
  <c r="F37" i="11"/>
  <c r="F37" i="12"/>
  <c r="G36" i="13"/>
  <c r="G36" i="12"/>
  <c r="G36" i="11"/>
  <c r="F37" i="13"/>
  <c r="C39" i="13" l="1"/>
  <c r="E38" i="13"/>
  <c r="C39" i="12"/>
  <c r="E38" i="12"/>
  <c r="C39" i="11"/>
  <c r="E38" i="11"/>
  <c r="F38" i="11"/>
  <c r="G37" i="11"/>
  <c r="F38" i="13"/>
  <c r="G37" i="13"/>
  <c r="G37" i="12"/>
  <c r="F38" i="12"/>
  <c r="C40" i="13" l="1"/>
  <c r="E39" i="13"/>
  <c r="C40" i="12"/>
  <c r="E39" i="12"/>
  <c r="E39" i="11"/>
  <c r="C40" i="11"/>
  <c r="G38" i="11"/>
  <c r="G38" i="12"/>
  <c r="F39" i="13"/>
  <c r="F39" i="11"/>
  <c r="F39" i="12"/>
  <c r="G38" i="13"/>
  <c r="E40" i="13" l="1"/>
  <c r="C41" i="13"/>
  <c r="E40" i="12"/>
  <c r="C41" i="12"/>
  <c r="E40" i="11"/>
  <c r="C41" i="11"/>
  <c r="G39" i="12"/>
  <c r="G39" i="13"/>
  <c r="G39" i="11"/>
  <c r="F40" i="12"/>
  <c r="F40" i="11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3"/>
  <c r="F41" i="13"/>
  <c r="F42" i="13"/>
  <c r="G40" i="12"/>
  <c r="F41" i="11"/>
  <c r="F42" i="12"/>
  <c r="G40" i="11"/>
  <c r="F41" i="12"/>
  <c r="F42" i="11"/>
  <c r="E9" i="9" l="1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H5" i="6"/>
  <c r="H8" i="6"/>
  <c r="H9" i="6"/>
  <c r="H10" i="6"/>
  <c r="H11" i="6"/>
  <c r="H12" i="6"/>
  <c r="H13" i="6"/>
  <c r="L6" i="6"/>
  <c r="L5" i="6"/>
  <c r="I9" i="6"/>
  <c r="F26" i="7"/>
  <c r="F28" i="8"/>
  <c r="F44" i="8"/>
  <c r="F21" i="7"/>
  <c r="F20" i="7"/>
  <c r="F56" i="7"/>
  <c r="F31" i="8"/>
  <c r="F14" i="7"/>
  <c r="F48" i="7"/>
  <c r="F16" i="8"/>
  <c r="F53" i="8"/>
  <c r="F13" i="7"/>
  <c r="F23" i="8"/>
  <c r="F39" i="8"/>
  <c r="F24" i="7"/>
  <c r="F43" i="7"/>
  <c r="I13" i="6"/>
  <c r="F65" i="7"/>
  <c r="F52" i="8"/>
  <c r="F57" i="7"/>
  <c r="F39" i="7"/>
  <c r="F58" i="7"/>
  <c r="F48" i="8"/>
  <c r="F28" i="7"/>
  <c r="F56" i="8"/>
  <c r="G42" i="11"/>
  <c r="F18" i="7"/>
  <c r="F43" i="8"/>
  <c r="F51" i="7"/>
  <c r="F36" i="8"/>
  <c r="F65" i="8"/>
  <c r="F32" i="8"/>
  <c r="F7" i="7"/>
  <c r="F54" i="7"/>
  <c r="F33" i="8"/>
  <c r="F41" i="7"/>
  <c r="F38" i="7"/>
  <c r="F37" i="8"/>
  <c r="F20" i="8"/>
  <c r="F30" i="8"/>
  <c r="F35" i="8"/>
  <c r="F42" i="7"/>
  <c r="I8" i="6"/>
  <c r="F29" i="8"/>
  <c r="F41" i="8"/>
  <c r="F62" i="8"/>
  <c r="F63" i="7"/>
  <c r="F64" i="8"/>
  <c r="F44" i="7"/>
  <c r="G41" i="13"/>
  <c r="F40" i="7"/>
  <c r="F62" i="7"/>
  <c r="I11" i="6"/>
  <c r="F21" i="8"/>
  <c r="F55" i="8"/>
  <c r="F61" i="7"/>
  <c r="F25" i="8"/>
  <c r="F22" i="8"/>
  <c r="F13" i="8"/>
  <c r="F27" i="8"/>
  <c r="G41" i="12"/>
  <c r="F10" i="8"/>
  <c r="F53" i="7"/>
  <c r="F50" i="8"/>
  <c r="F17" i="8"/>
  <c r="I12" i="6"/>
  <c r="F18" i="8"/>
  <c r="F66" i="8"/>
  <c r="F8" i="8"/>
  <c r="F26" i="8"/>
  <c r="F12" i="8"/>
  <c r="G4" i="11"/>
  <c r="F15" i="7"/>
  <c r="F30" i="7"/>
  <c r="G4" i="13"/>
  <c r="F14" i="8"/>
  <c r="F34" i="8"/>
  <c r="F12" i="7"/>
  <c r="F36" i="7"/>
  <c r="F46" i="7"/>
  <c r="F45" i="7"/>
  <c r="I10" i="6"/>
  <c r="G4" i="12"/>
  <c r="F27" i="7"/>
  <c r="F22" i="7"/>
  <c r="F35" i="7"/>
  <c r="F42" i="8"/>
  <c r="F32" i="7"/>
  <c r="F66" i="7"/>
  <c r="G41" i="11"/>
  <c r="F47" i="8"/>
  <c r="F40" i="8"/>
  <c r="F33" i="7"/>
  <c r="F9" i="7"/>
  <c r="F15" i="8"/>
  <c r="F46" i="8"/>
  <c r="F8" i="7"/>
  <c r="F29" i="7"/>
  <c r="F60" i="7"/>
  <c r="F17" i="7"/>
  <c r="F37" i="7"/>
  <c r="F49" i="7"/>
  <c r="F52" i="7"/>
  <c r="G42" i="13"/>
  <c r="F54" i="8"/>
  <c r="F24" i="8"/>
  <c r="F49" i="8"/>
  <c r="F19" i="7"/>
  <c r="F25" i="7"/>
  <c r="F55" i="7"/>
  <c r="F7" i="8"/>
  <c r="F38" i="8"/>
  <c r="F60" i="8"/>
  <c r="F61" i="8"/>
  <c r="F23" i="7"/>
  <c r="F47" i="7"/>
  <c r="F10" i="7"/>
  <c r="F34" i="7"/>
  <c r="F50" i="7"/>
  <c r="F64" i="7"/>
  <c r="F51" i="8"/>
  <c r="G42" i="12"/>
  <c r="F11" i="7"/>
  <c r="F57" i="8"/>
  <c r="F31" i="7"/>
  <c r="F11" i="8"/>
  <c r="F59" i="7"/>
  <c r="F9" i="8"/>
  <c r="F19" i="8"/>
  <c r="F63" i="8"/>
  <c r="F59" i="8"/>
  <c r="F16" i="7"/>
  <c r="F45" i="8"/>
  <c r="F58" i="8"/>
  <c r="X11" i="6" l="1"/>
  <c r="X7" i="6"/>
  <c r="X9" i="6"/>
  <c r="X10" i="6"/>
  <c r="X12" i="6"/>
  <c r="X8" i="6"/>
  <c r="F5" i="9"/>
  <c r="AM4" i="18"/>
  <c r="F7" i="9"/>
  <c r="F6" i="8"/>
  <c r="I5" i="6"/>
  <c r="F6" i="7"/>
  <c r="F9" i="9"/>
  <c r="S3" i="13"/>
  <c r="S3" i="12"/>
  <c r="F53" i="9"/>
  <c r="K10" i="6"/>
  <c r="F64" i="9"/>
  <c r="K12" i="6"/>
  <c r="F11" i="9"/>
  <c r="F20" i="9"/>
  <c r="F19" i="9"/>
  <c r="Y9" i="6"/>
  <c r="F63" i="9"/>
  <c r="J7" i="6"/>
  <c r="F18" i="9"/>
  <c r="F15" i="9"/>
  <c r="J11" i="6"/>
  <c r="J8" i="6"/>
  <c r="F17" i="9"/>
  <c r="F48" i="9"/>
  <c r="J12" i="6"/>
  <c r="F40" i="9"/>
  <c r="K9" i="6"/>
  <c r="F32" i="9"/>
  <c r="F52" i="9"/>
  <c r="F12" i="9"/>
  <c r="F49" i="9"/>
  <c r="F66" i="9"/>
  <c r="F58" i="9"/>
  <c r="F50" i="9"/>
  <c r="F56" i="9"/>
  <c r="F55" i="9"/>
  <c r="F28" i="9"/>
  <c r="F54" i="9"/>
  <c r="F21" i="9"/>
  <c r="Y8" i="6"/>
  <c r="F37" i="9"/>
  <c r="F33" i="9"/>
  <c r="F36" i="9"/>
  <c r="F41" i="9"/>
  <c r="K8" i="6"/>
  <c r="F62" i="9"/>
  <c r="F25" i="9"/>
  <c r="J10" i="6"/>
  <c r="F31" i="9"/>
  <c r="Y7" i="6"/>
  <c r="F16" i="9"/>
  <c r="F29" i="9"/>
  <c r="K11" i="6"/>
  <c r="F60" i="9"/>
  <c r="F69" i="9"/>
  <c r="F26" i="9"/>
  <c r="K6" i="6"/>
  <c r="F24" i="9"/>
  <c r="F14" i="9"/>
  <c r="J9" i="6"/>
  <c r="F22" i="9"/>
  <c r="J13" i="6"/>
  <c r="F43" i="9"/>
  <c r="K13" i="6"/>
  <c r="F30" i="9"/>
  <c r="Y10" i="6"/>
  <c r="F67" i="9"/>
  <c r="F45" i="9"/>
  <c r="F10" i="9"/>
  <c r="F44" i="9"/>
  <c r="F27" i="9"/>
  <c r="F65" i="9"/>
  <c r="F68" i="9"/>
  <c r="F35" i="9"/>
  <c r="K7" i="6"/>
  <c r="F23" i="9"/>
  <c r="F57" i="9"/>
  <c r="F13" i="9"/>
  <c r="F59" i="9"/>
  <c r="F47" i="9"/>
  <c r="F42" i="9"/>
  <c r="F46" i="9"/>
  <c r="F34" i="9"/>
  <c r="F51" i="9"/>
  <c r="F39" i="9"/>
  <c r="F38" i="9"/>
  <c r="Y11" i="6"/>
  <c r="F61" i="9"/>
  <c r="AM40" i="18"/>
  <c r="AM14" i="18"/>
  <c r="AM8" i="18"/>
  <c r="AM28" i="18"/>
  <c r="AM16" i="18"/>
  <c r="AM31" i="18"/>
  <c r="AM41" i="18"/>
  <c r="AM44" i="18"/>
  <c r="AM36" i="18"/>
  <c r="AM27" i="18"/>
  <c r="AM20" i="18"/>
  <c r="AM7" i="18"/>
  <c r="AM24" i="18"/>
  <c r="AM46" i="18"/>
  <c r="AM47" i="18"/>
  <c r="AM13" i="18"/>
  <c r="AM35" i="18"/>
  <c r="AM10" i="18"/>
  <c r="AM45" i="18"/>
  <c r="AM26" i="18"/>
  <c r="AM21" i="18"/>
  <c r="AM32" i="18"/>
  <c r="AM18" i="18"/>
  <c r="AM25" i="18"/>
  <c r="AM17" i="18"/>
  <c r="AM30" i="18"/>
  <c r="AM33" i="18"/>
  <c r="AM9" i="18"/>
  <c r="AM34" i="18"/>
  <c r="AM11" i="18"/>
  <c r="AM42" i="18"/>
  <c r="AM29" i="18"/>
  <c r="AM6" i="18"/>
  <c r="AM12" i="18"/>
  <c r="AM15" i="18"/>
  <c r="AM37" i="18"/>
  <c r="AM43" i="18"/>
  <c r="AM19" i="18"/>
  <c r="AM22" i="18"/>
  <c r="AM23" i="18"/>
  <c r="AM38" i="18"/>
  <c r="Y3" i="22"/>
  <c r="AM39" i="18"/>
  <c r="G16" i="7"/>
  <c r="G55" i="8"/>
  <c r="G11" i="7"/>
  <c r="G18" i="7"/>
  <c r="G8" i="7"/>
  <c r="G30" i="8"/>
  <c r="G46" i="7"/>
  <c r="G15" i="8"/>
  <c r="G7" i="8"/>
  <c r="G52" i="7"/>
  <c r="G37" i="7"/>
  <c r="G28" i="7"/>
  <c r="G36" i="7"/>
  <c r="G56" i="8"/>
  <c r="G56" i="7"/>
  <c r="G57" i="8"/>
  <c r="G42" i="7"/>
  <c r="G20" i="8"/>
  <c r="G48" i="8"/>
  <c r="G37" i="8"/>
  <c r="G13" i="7"/>
  <c r="G34" i="7"/>
  <c r="G43" i="7"/>
  <c r="G38" i="8"/>
  <c r="G50" i="8"/>
  <c r="G59" i="7"/>
  <c r="G53" i="7"/>
  <c r="G19" i="8"/>
  <c r="G26" i="8"/>
  <c r="G65" i="7"/>
  <c r="G12" i="7"/>
  <c r="G44" i="7"/>
  <c r="G31" i="7"/>
  <c r="G14" i="7"/>
  <c r="G44" i="8"/>
  <c r="G14" i="8"/>
  <c r="G49" i="8"/>
  <c r="G9" i="8"/>
  <c r="G24" i="8"/>
  <c r="G52" i="8"/>
  <c r="G11" i="8"/>
  <c r="G49" i="7"/>
  <c r="G54" i="8"/>
  <c r="G63" i="7"/>
  <c r="G43" i="8"/>
  <c r="G23" i="7"/>
  <c r="G22" i="7"/>
  <c r="G22" i="8"/>
  <c r="G29" i="7"/>
  <c r="G27" i="7"/>
  <c r="G7" i="7"/>
  <c r="G62" i="8"/>
  <c r="G58" i="7"/>
  <c r="G32" i="8"/>
  <c r="G35" i="8"/>
  <c r="G20" i="7"/>
  <c r="G51" i="8"/>
  <c r="G50" i="7"/>
  <c r="G48" i="7"/>
  <c r="G39" i="8"/>
  <c r="G51" i="7"/>
  <c r="G33" i="7"/>
  <c r="G10" i="8"/>
  <c r="G64" i="8"/>
  <c r="G15" i="7"/>
  <c r="G33" i="8"/>
  <c r="G55" i="7"/>
  <c r="G12" i="8"/>
  <c r="G24" i="7"/>
  <c r="G66" i="7"/>
  <c r="G63" i="8"/>
  <c r="G46" i="8"/>
  <c r="G23" i="8"/>
  <c r="G60" i="8"/>
  <c r="G57" i="7"/>
  <c r="G58" i="8"/>
  <c r="G10" i="7"/>
  <c r="G32" i="7"/>
  <c r="G39" i="7"/>
  <c r="G41" i="7"/>
  <c r="G60" i="7"/>
  <c r="G53" i="8"/>
  <c r="G66" i="8"/>
  <c r="G38" i="7"/>
  <c r="G30" i="7"/>
  <c r="G62" i="7"/>
  <c r="G26" i="7"/>
  <c r="G25" i="8"/>
  <c r="G19" i="7"/>
  <c r="G45" i="8"/>
  <c r="G65" i="8"/>
  <c r="G59" i="8"/>
  <c r="G8" i="8"/>
  <c r="G25" i="7"/>
  <c r="G42" i="8"/>
  <c r="G17" i="8"/>
  <c r="G40" i="8"/>
  <c r="G36" i="8"/>
  <c r="G16" i="8"/>
  <c r="G18" i="8"/>
  <c r="G35" i="7"/>
  <c r="G29" i="8"/>
  <c r="G13" i="8"/>
  <c r="G41" i="8"/>
  <c r="G17" i="7"/>
  <c r="G28" i="8"/>
  <c r="G54" i="7"/>
  <c r="G9" i="7"/>
  <c r="G31" i="8"/>
  <c r="G61" i="7"/>
  <c r="G21" i="7"/>
  <c r="G64" i="7"/>
  <c r="G47" i="8"/>
  <c r="G45" i="7"/>
  <c r="G27" i="8"/>
  <c r="G61" i="8"/>
  <c r="G34" i="8"/>
  <c r="G40" i="7"/>
  <c r="G21" i="8"/>
  <c r="G47" i="7"/>
  <c r="I32" i="36" l="1"/>
  <c r="I21" i="36"/>
  <c r="I11" i="36"/>
  <c r="I34" i="36"/>
  <c r="I28" i="36"/>
  <c r="I20" i="36"/>
  <c r="I33" i="36"/>
  <c r="I5" i="36"/>
  <c r="I8" i="36"/>
  <c r="I22" i="36"/>
  <c r="I29" i="36"/>
  <c r="I10" i="36"/>
  <c r="I6" i="36"/>
  <c r="I17" i="36"/>
  <c r="I4" i="36"/>
  <c r="I35" i="36"/>
  <c r="I26" i="36"/>
  <c r="I7" i="36"/>
  <c r="I9" i="36"/>
  <c r="I19" i="36"/>
  <c r="I3" i="36"/>
  <c r="I15" i="36"/>
  <c r="I23" i="36"/>
  <c r="I13" i="36"/>
  <c r="I30" i="36"/>
  <c r="I25" i="36"/>
  <c r="I27" i="36"/>
  <c r="I14" i="36"/>
  <c r="I12" i="36"/>
  <c r="I18" i="36"/>
  <c r="I36" i="36"/>
  <c r="I24" i="36"/>
  <c r="I16" i="36"/>
  <c r="I31" i="36"/>
  <c r="X5" i="13" a="1"/>
  <c r="X5" i="12" a="1"/>
  <c r="K33" i="36"/>
  <c r="L9" i="6"/>
  <c r="K24" i="36"/>
  <c r="G57" i="9"/>
  <c r="G34" i="9"/>
  <c r="G46" i="9"/>
  <c r="G53" i="9"/>
  <c r="G55" i="9"/>
  <c r="G65" i="9"/>
  <c r="G67" i="9"/>
  <c r="G26" i="9"/>
  <c r="G25" i="9"/>
  <c r="G45" i="9"/>
  <c r="G63" i="9"/>
  <c r="G11" i="9"/>
  <c r="G21" i="9"/>
  <c r="G16" i="9"/>
  <c r="K29" i="36"/>
  <c r="G41" i="9"/>
  <c r="K36" i="36"/>
  <c r="G48" i="9"/>
  <c r="K21" i="36"/>
  <c r="G52" i="9"/>
  <c r="K16" i="36"/>
  <c r="V16" i="36" s="1"/>
  <c r="K8" i="36"/>
  <c r="K6" i="36"/>
  <c r="G54" i="9"/>
  <c r="G68" i="9"/>
  <c r="L10" i="6"/>
  <c r="K31" i="36"/>
  <c r="K19" i="36"/>
  <c r="G17" i="9"/>
  <c r="V9" i="6"/>
  <c r="K26" i="36"/>
  <c r="G37" i="9"/>
  <c r="V11" i="6"/>
  <c r="G64" i="9"/>
  <c r="G24" i="9"/>
  <c r="G43" i="9"/>
  <c r="K3" i="36"/>
  <c r="K28" i="36"/>
  <c r="V7" i="6"/>
  <c r="G28" i="9"/>
  <c r="G38" i="9"/>
  <c r="G69" i="9"/>
  <c r="G20" i="9"/>
  <c r="G6" i="8"/>
  <c r="L11" i="6"/>
  <c r="K20" i="36"/>
  <c r="G40" i="9"/>
  <c r="G50" i="9"/>
  <c r="G29" i="9"/>
  <c r="L12" i="6"/>
  <c r="V10" i="6"/>
  <c r="K14" i="36"/>
  <c r="G6" i="7"/>
  <c r="G14" i="9"/>
  <c r="G44" i="9"/>
  <c r="G31" i="9"/>
  <c r="L13" i="6"/>
  <c r="G9" i="9"/>
  <c r="K18" i="36"/>
  <c r="K15" i="36"/>
  <c r="G35" i="9"/>
  <c r="K4" i="36"/>
  <c r="K25" i="36"/>
  <c r="G30" i="9"/>
  <c r="K34" i="36"/>
  <c r="G39" i="9"/>
  <c r="K35" i="36"/>
  <c r="G58" i="9"/>
  <c r="G61" i="9"/>
  <c r="G23" i="9"/>
  <c r="G36" i="9"/>
  <c r="K9" i="36"/>
  <c r="V8" i="6"/>
  <c r="L7" i="6"/>
  <c r="K30" i="36"/>
  <c r="G49" i="9"/>
  <c r="G60" i="9"/>
  <c r="G56" i="9"/>
  <c r="G33" i="9"/>
  <c r="K5" i="36"/>
  <c r="K13" i="36"/>
  <c r="L8" i="6"/>
  <c r="G66" i="9"/>
  <c r="G51" i="9"/>
  <c r="G10" i="9"/>
  <c r="G47" i="9"/>
  <c r="K17" i="36"/>
  <c r="K5" i="6"/>
  <c r="K22" i="36"/>
  <c r="G42" i="9"/>
  <c r="G32" i="9"/>
  <c r="G22" i="9"/>
  <c r="G59" i="9"/>
  <c r="K7" i="36"/>
  <c r="K27" i="36"/>
  <c r="K23" i="36"/>
  <c r="G19" i="9"/>
  <c r="G27" i="9"/>
  <c r="G15" i="9"/>
  <c r="G13" i="9"/>
  <c r="K10" i="36"/>
  <c r="K32" i="36"/>
  <c r="G18" i="9"/>
  <c r="V12" i="6"/>
  <c r="G12" i="9"/>
  <c r="K12" i="36"/>
  <c r="K11" i="36"/>
  <c r="G62" i="9"/>
  <c r="AN41" i="18"/>
  <c r="AN42" i="18"/>
  <c r="AN19" i="18"/>
  <c r="AN29" i="18"/>
  <c r="AN38" i="18"/>
  <c r="AN34" i="18"/>
  <c r="AN20" i="18"/>
  <c r="AN13" i="18"/>
  <c r="AN23" i="18"/>
  <c r="AN46" i="18"/>
  <c r="AN30" i="18"/>
  <c r="AN16" i="18"/>
  <c r="AN10" i="18"/>
  <c r="AN8" i="18"/>
  <c r="AN24" i="18"/>
  <c r="AN43" i="18"/>
  <c r="AN39" i="18"/>
  <c r="AN17" i="18"/>
  <c r="AN7" i="18"/>
  <c r="AN36" i="18"/>
  <c r="AN33" i="18"/>
  <c r="AN6" i="18"/>
  <c r="AN27" i="18"/>
  <c r="AN47" i="18"/>
  <c r="AN44" i="18"/>
  <c r="AN25" i="18"/>
  <c r="AN11" i="18"/>
  <c r="AN12" i="18"/>
  <c r="AN9" i="18"/>
  <c r="AN28" i="18"/>
  <c r="AN37" i="18"/>
  <c r="AN14" i="18"/>
  <c r="AN18" i="18"/>
  <c r="AN31" i="18"/>
  <c r="AN35" i="18"/>
  <c r="AN40" i="18"/>
  <c r="AN15" i="18"/>
  <c r="AN32" i="18"/>
  <c r="AN45" i="18"/>
  <c r="AN21" i="18"/>
  <c r="AN26" i="18"/>
  <c r="AN22" i="18"/>
  <c r="X20" i="13" l="1"/>
  <c r="AB20" i="13" s="1"/>
  <c r="X28" i="13"/>
  <c r="AB28" i="13" s="1"/>
  <c r="X24" i="13"/>
  <c r="AB24" i="13" s="1"/>
  <c r="X33" i="13"/>
  <c r="AB33" i="13" s="1"/>
  <c r="X14" i="13"/>
  <c r="AB14" i="13" s="1"/>
  <c r="X17" i="13"/>
  <c r="AB17" i="13" s="1"/>
  <c r="X10" i="13"/>
  <c r="AB10" i="13" s="1"/>
  <c r="X34" i="13"/>
  <c r="AB34" i="13" s="1"/>
  <c r="X21" i="13"/>
  <c r="AB21" i="13" s="1"/>
  <c r="X23" i="13"/>
  <c r="AB23" i="13" s="1"/>
  <c r="X26" i="13"/>
  <c r="AB26" i="13" s="1"/>
  <c r="X11" i="13"/>
  <c r="AB11" i="13" s="1"/>
  <c r="X27" i="13"/>
  <c r="AB27" i="13" s="1"/>
  <c r="X31" i="13"/>
  <c r="AB31" i="13" s="1"/>
  <c r="X22" i="13"/>
  <c r="AB22" i="13" s="1"/>
  <c r="X9" i="13"/>
  <c r="AB9" i="13" s="1"/>
  <c r="X7" i="13"/>
  <c r="AB7" i="13" s="1"/>
  <c r="X38" i="13"/>
  <c r="AB38" i="13" s="1"/>
  <c r="X37" i="13"/>
  <c r="AB37" i="13" s="1"/>
  <c r="X15" i="13"/>
  <c r="AB15" i="13" s="1"/>
  <c r="X8" i="13"/>
  <c r="AB8" i="13" s="1"/>
  <c r="X5" i="13"/>
  <c r="AB5" i="13" s="1"/>
  <c r="X6" i="13"/>
  <c r="AB6" i="13" s="1"/>
  <c r="X32" i="13"/>
  <c r="AB32" i="13" s="1"/>
  <c r="X19" i="13"/>
  <c r="AB19" i="13" s="1"/>
  <c r="X29" i="13"/>
  <c r="AB29" i="13" s="1"/>
  <c r="X12" i="13"/>
  <c r="AB12" i="13" s="1"/>
  <c r="X13" i="13"/>
  <c r="AB13" i="13" s="1"/>
  <c r="X35" i="13"/>
  <c r="AB35" i="13" s="1"/>
  <c r="X36" i="13"/>
  <c r="AB36" i="13" s="1"/>
  <c r="X16" i="13"/>
  <c r="AB16" i="13" s="1"/>
  <c r="X25" i="13"/>
  <c r="AB25" i="13" s="1"/>
  <c r="X30" i="13"/>
  <c r="AB30" i="13" s="1"/>
  <c r="X18" i="13"/>
  <c r="AB18" i="13" s="1"/>
  <c r="X6" i="12"/>
  <c r="AB6" i="12" s="1"/>
  <c r="X7" i="12"/>
  <c r="AB7" i="12" s="1"/>
  <c r="X8" i="12"/>
  <c r="AB8" i="12" s="1"/>
  <c r="X5" i="12"/>
  <c r="AB5" i="12" s="1"/>
  <c r="X9" i="12"/>
  <c r="AB9" i="12" s="1"/>
  <c r="L22" i="36"/>
  <c r="L31" i="36"/>
  <c r="L5" i="36"/>
  <c r="L20" i="36"/>
  <c r="L10" i="36"/>
  <c r="L33" i="36"/>
  <c r="L13" i="36"/>
  <c r="L35" i="36"/>
  <c r="L25" i="36"/>
  <c r="L29" i="36"/>
  <c r="L24" i="36"/>
  <c r="L19" i="36"/>
  <c r="L23" i="36"/>
  <c r="Z10" i="6"/>
  <c r="L12" i="36"/>
  <c r="L7" i="36"/>
  <c r="L15" i="36"/>
  <c r="L34" i="36"/>
  <c r="L3" i="36"/>
  <c r="L30" i="36"/>
  <c r="L27" i="36"/>
  <c r="L16" i="36"/>
  <c r="L36" i="36"/>
  <c r="L21" i="36"/>
  <c r="Z12" i="6"/>
  <c r="L9" i="36"/>
  <c r="L14" i="36"/>
  <c r="Z9" i="6"/>
  <c r="L28" i="36"/>
  <c r="L18" i="36"/>
  <c r="Z11" i="6"/>
  <c r="L32" i="36"/>
  <c r="L4" i="36"/>
  <c r="L8" i="36"/>
  <c r="Z8" i="6"/>
  <c r="L11" i="36"/>
  <c r="W4" i="36"/>
  <c r="Z7" i="6"/>
  <c r="L26" i="36"/>
  <c r="L17" i="36"/>
  <c r="L6" i="36"/>
  <c r="AA8" i="6" l="1"/>
  <c r="AC8" i="6" s="1"/>
  <c r="X39" i="13"/>
  <c r="AB39" i="13" s="1"/>
  <c r="AA10" i="6"/>
  <c r="AC10" i="6" s="1"/>
  <c r="AA7" i="6"/>
  <c r="AC7" i="6" s="1"/>
  <c r="AA9" i="6"/>
  <c r="AC9" i="6" s="1"/>
  <c r="AA11" i="6"/>
  <c r="AC11" i="6" s="1"/>
  <c r="AA12" i="6"/>
  <c r="AC12" i="6" s="1"/>
  <c r="X10" i="12"/>
  <c r="AB10" i="12" s="1"/>
  <c r="X11" i="12"/>
  <c r="AB11" i="12" s="1"/>
  <c r="X12" i="12"/>
  <c r="AB12" i="12" s="1"/>
  <c r="X13" i="12"/>
  <c r="AB13" i="12" s="1"/>
  <c r="X14" i="12"/>
  <c r="AB14" i="12" s="1"/>
  <c r="X15" i="12"/>
  <c r="AB15" i="12" s="1"/>
  <c r="X16" i="12"/>
  <c r="AB16" i="12" s="1"/>
  <c r="X17" i="12"/>
  <c r="AB17" i="12" s="1"/>
  <c r="X18" i="12"/>
  <c r="AB18" i="12" s="1"/>
  <c r="X19" i="12"/>
  <c r="AB19" i="12" s="1"/>
  <c r="X20" i="12"/>
  <c r="AB20" i="12" s="1"/>
  <c r="X21" i="12"/>
  <c r="AB21" i="12" s="1"/>
  <c r="X22" i="12"/>
  <c r="AB22" i="12" s="1"/>
  <c r="X23" i="12"/>
  <c r="AB23" i="12" s="1"/>
  <c r="X24" i="12"/>
  <c r="AB24" i="12" s="1"/>
  <c r="X25" i="12"/>
  <c r="AB25" i="12" s="1"/>
  <c r="X26" i="12"/>
  <c r="AB26" i="12" s="1"/>
  <c r="X27" i="12"/>
  <c r="AB27" i="12" s="1"/>
  <c r="X28" i="12"/>
  <c r="AB28" i="12" s="1"/>
  <c r="X29" i="12"/>
  <c r="AB29" i="12" s="1"/>
  <c r="X30" i="12"/>
  <c r="AB30" i="12" s="1"/>
  <c r="X31" i="12"/>
  <c r="AB31" i="12" s="1"/>
  <c r="X32" i="12"/>
  <c r="AB32" i="12" s="1"/>
  <c r="X33" i="12"/>
  <c r="AB33" i="12" s="1"/>
  <c r="X34" i="12"/>
  <c r="AB34" i="12" s="1"/>
  <c r="X35" i="12"/>
  <c r="AB35" i="12" s="1"/>
  <c r="X36" i="12"/>
  <c r="AB36" i="12" s="1"/>
  <c r="X37" i="12"/>
  <c r="AB37" i="12" s="1"/>
  <c r="X38" i="12"/>
  <c r="AB38" i="12" s="1"/>
  <c r="AB9" i="6"/>
  <c r="AB12" i="6"/>
  <c r="AB10" i="6"/>
  <c r="AB8" i="6"/>
  <c r="AB11" i="6"/>
  <c r="AB7" i="6"/>
  <c r="X39" i="12" l="1"/>
  <c r="AB39" i="12" s="1"/>
  <c r="X40" i="13"/>
  <c r="AB40" i="13" s="1"/>
  <c r="X40" i="12" l="1"/>
  <c r="AB40" i="12" s="1"/>
  <c r="X41" i="13"/>
  <c r="AB41" i="13" s="1"/>
  <c r="S3" i="11"/>
  <c r="X41" i="12" l="1"/>
  <c r="AB41" i="12" s="1"/>
  <c r="X42" i="13"/>
  <c r="AB42" i="13" s="1"/>
  <c r="X5" i="11" a="1"/>
  <c r="X42" i="12" l="1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21" i="12"/>
  <c r="AC39" i="12"/>
  <c r="AC12" i="13"/>
  <c r="AC41" i="12"/>
  <c r="AC16" i="12"/>
  <c r="AC42" i="12"/>
  <c r="AC9" i="13"/>
  <c r="AC38" i="12"/>
  <c r="AC37" i="12"/>
  <c r="AC27" i="13"/>
  <c r="AC27" i="12"/>
  <c r="AC24" i="12"/>
  <c r="AC18" i="12"/>
  <c r="X5" i="16"/>
  <c r="AC18" i="13"/>
  <c r="AC28" i="12"/>
  <c r="AC38" i="13"/>
  <c r="AC32" i="13"/>
  <c r="AC12" i="12"/>
  <c r="AC14" i="13"/>
  <c r="AC34" i="13"/>
  <c r="AC5" i="13"/>
  <c r="AC23" i="13"/>
  <c r="AC16" i="13"/>
  <c r="AC6" i="12"/>
  <c r="AC8" i="13"/>
  <c r="AC30" i="12"/>
  <c r="AC20" i="13"/>
  <c r="AC10" i="12"/>
  <c r="AC14" i="12"/>
  <c r="AC25" i="12"/>
  <c r="AC15" i="13"/>
  <c r="AC9" i="12"/>
  <c r="AC17" i="12"/>
  <c r="AC37" i="13"/>
  <c r="AC19" i="13"/>
  <c r="AC22" i="13"/>
  <c r="AC6" i="13"/>
  <c r="AC29" i="13"/>
  <c r="Y3" i="23"/>
  <c r="AC39" i="13"/>
  <c r="AC24" i="13"/>
  <c r="AC11" i="12"/>
  <c r="AC31" i="12"/>
  <c r="AC20" i="12"/>
  <c r="AC7" i="13"/>
  <c r="AC8" i="12"/>
  <c r="AC13" i="12"/>
  <c r="AC22" i="12"/>
  <c r="AC11" i="13"/>
  <c r="AC19" i="12"/>
  <c r="AC26" i="13"/>
  <c r="AC28" i="13"/>
  <c r="AC15" i="12"/>
  <c r="AC13" i="13"/>
  <c r="P3" i="15"/>
  <c r="AC33" i="13"/>
  <c r="AC23" i="12"/>
  <c r="AC7" i="12"/>
  <c r="AC42" i="13"/>
  <c r="AC35" i="12"/>
  <c r="AC34" i="12"/>
  <c r="AC30" i="13"/>
  <c r="AC29" i="12"/>
  <c r="AC41" i="13"/>
  <c r="AC25" i="13"/>
  <c r="AC36" i="13"/>
  <c r="AC26" i="12"/>
  <c r="AC35" i="13"/>
  <c r="AC40" i="12"/>
  <c r="AC31" i="13"/>
  <c r="AC17" i="13"/>
  <c r="AC33" i="12"/>
  <c r="AC10" i="13"/>
  <c r="AC40" i="13"/>
  <c r="AC36" i="12"/>
  <c r="AC5" i="12"/>
  <c r="AC32" i="12"/>
  <c r="AC21" i="13"/>
  <c r="AJ22" i="12" l="1"/>
  <c r="AJ39" i="12"/>
  <c r="AJ30" i="12"/>
  <c r="AJ38" i="12"/>
  <c r="AJ17" i="12"/>
  <c r="AJ33" i="12"/>
  <c r="AJ18" i="12"/>
  <c r="AJ21" i="12"/>
  <c r="AJ34" i="12"/>
  <c r="AJ27" i="12"/>
  <c r="AJ9" i="12"/>
  <c r="AJ14" i="12"/>
  <c r="AJ24" i="12"/>
  <c r="AJ5" i="12"/>
  <c r="AJ23" i="12"/>
  <c r="AJ16" i="12"/>
  <c r="AJ25" i="12"/>
  <c r="AJ28" i="12"/>
  <c r="AJ35" i="12"/>
  <c r="AJ42" i="12"/>
  <c r="AJ13" i="12"/>
  <c r="AJ31" i="12"/>
  <c r="AJ41" i="12"/>
  <c r="AJ7" i="12"/>
  <c r="AJ8" i="12"/>
  <c r="AJ15" i="12"/>
  <c r="AJ10" i="12"/>
  <c r="AJ32" i="12"/>
  <c r="AJ26" i="12"/>
  <c r="AJ11" i="12"/>
  <c r="AJ37" i="12"/>
  <c r="AJ19" i="12"/>
  <c r="AJ12" i="12"/>
  <c r="AJ20" i="12"/>
  <c r="AJ29" i="12"/>
  <c r="AJ40" i="12"/>
  <c r="AJ36" i="12"/>
  <c r="AJ6" i="12"/>
  <c r="X39" i="11"/>
  <c r="AB39" i="11" s="1"/>
  <c r="M7" i="17"/>
  <c r="M6" i="17"/>
  <c r="M8" i="17"/>
  <c r="M9" i="17"/>
  <c r="X40" i="11" l="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AC20" i="11"/>
  <c r="AC24" i="11"/>
  <c r="AC11" i="11"/>
  <c r="AC38" i="11"/>
  <c r="AC23" i="11"/>
  <c r="AC27" i="11"/>
  <c r="AC19" i="11"/>
  <c r="AC12" i="11"/>
  <c r="AC8" i="11"/>
  <c r="AC29" i="11"/>
  <c r="AC17" i="11"/>
  <c r="AC33" i="11"/>
  <c r="AC28" i="11"/>
  <c r="AC13" i="11"/>
  <c r="AC7" i="11"/>
  <c r="AC9" i="11"/>
  <c r="AC42" i="11"/>
  <c r="AC34" i="11"/>
  <c r="AC6" i="11"/>
  <c r="AC41" i="11"/>
  <c r="AC40" i="11"/>
  <c r="AC39" i="11"/>
  <c r="AC16" i="11"/>
  <c r="AC31" i="11"/>
  <c r="AC25" i="11"/>
  <c r="AC10" i="11"/>
  <c r="AC37" i="11"/>
  <c r="AC36" i="11"/>
  <c r="AC14" i="11"/>
  <c r="AC32" i="11"/>
  <c r="AC35" i="11"/>
  <c r="AC21" i="11"/>
  <c r="AC30" i="11"/>
  <c r="AC5" i="11"/>
  <c r="AC18" i="11"/>
  <c r="AC22" i="11"/>
  <c r="AC26" i="11"/>
  <c r="AC15" i="11"/>
  <c r="O6" i="17" l="1" a="1"/>
  <c r="AC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K2" i="36"/>
  <c r="L2" i="36"/>
  <c r="AC3" i="26"/>
  <c r="AN5" i="18"/>
  <c r="AC3" i="13"/>
  <c r="Z4" i="18"/>
  <c r="AC3" i="12"/>
  <c r="AC3" i="25"/>
  <c r="D7" i="56" s="1"/>
  <c r="J4" i="15"/>
  <c r="O5" i="18"/>
  <c r="S4" i="12"/>
  <c r="D3" i="61"/>
  <c r="D3" i="60"/>
  <c r="U27" i="15"/>
  <c r="S4" i="13"/>
  <c r="S4" i="11"/>
  <c r="O4" i="23"/>
  <c r="F4" i="55"/>
  <c r="O4" i="22"/>
  <c r="O5" i="17"/>
  <c r="N6" i="16"/>
  <c r="S4" i="26"/>
  <c r="S4" i="25"/>
  <c r="O4" i="24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<sst xmlns="http://schemas.openxmlformats.org/spreadsheetml/2006/main" count="2798" uniqueCount="318">
  <si>
    <t>Usd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</si>
  <si>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</si>
  <si>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</si>
  <si>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</si>
  <si>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</si>
  <si>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</si>
  <si>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</si>
  <si>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</si>
  <si>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</si>
  <si>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</si>
  <si>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</si>
  <si>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</si>
  <si>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</si>
  <si>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</si>
  <si>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</si>
  <si>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</si>
  <si>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</si>
  <si>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</si>
  <si>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</si>
  <si>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</si>
  <si>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</si>
  <si>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</si>
  <si>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</si>
  <si>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</si>
  <si>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FedFund</t>
  </si>
  <si>
    <t>FedFund2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</si>
  <si>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</si>
  <si>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</si>
  <si>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</si>
  <si>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</si>
  <si>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</si>
  <si>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</si>
  <si>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</si>
  <si>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</si>
  <si>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</si>
  <si>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</si>
  <si>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</si>
  <si>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</si>
  <si>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</si>
  <si>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</si>
  <si>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</si>
  <si>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</si>
  <si>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</si>
  <si>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</si>
  <si>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</si>
  <si>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</si>
  <si>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</si>
  <si>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</si>
  <si>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</si>
  <si>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</si>
  <si>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</si>
  <si>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</si>
  <si>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</si>
  <si>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</si>
  <si>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</si>
  <si>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</si>
  <si>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</si>
  <si>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</si>
  <si>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</si>
  <si>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</si>
  <si>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</si>
  <si>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</si>
  <si>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</si>
  <si>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</si>
  <si>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</si>
  <si>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</si>
  <si>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</si>
  <si>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</si>
  <si>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</si>
  <si>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</si>
  <si>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</si>
  <si>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</si>
  <si>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</si>
  <si>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</si>
  <si>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</si>
  <si>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</si>
  <si>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</si>
  <si>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</si>
  <si>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</si>
  <si>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</si>
  <si>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</si>
  <si>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</si>
  <si>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</si>
  <si>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</si>
  <si>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</si>
  <si>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</si>
  <si>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</si>
  <si>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</si>
  <si>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</si>
  <si>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</si>
  <si>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</si>
  <si>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</si>
  <si>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</si>
  <si>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Dependency Trigger</t>
  </si>
  <si>
    <t>UnitedKingdom::Exchange</t>
  </si>
  <si>
    <t>Calendar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</si>
  <si>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</si>
  <si>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</si>
  <si>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</si>
  <si>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</si>
  <si>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</si>
  <si>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</si>
  <si>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</si>
  <si>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</si>
  <si>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</si>
  <si>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</si>
  <si>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</si>
  <si>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</si>
  <si>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</si>
  <si>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</si>
  <si>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</si>
  <si>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</si>
  <si>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</si>
  <si>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</si>
  <si>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</si>
  <si>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</si>
  <si>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</si>
  <si>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</si>
  <si>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</si>
  <si>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</si>
  <si>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</si>
  <si>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</si>
  <si>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</si>
  <si>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</si>
  <si>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</si>
  <si>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</si>
  <si>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</si>
  <si>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</si>
  <si>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</si>
  <si>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</si>
  <si>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</si>
  <si>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</si>
  <si>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</si>
  <si>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</si>
  <si>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</si>
  <si>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</si>
  <si>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</si>
  <si>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</si>
  <si>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</si>
  <si>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</si>
  <si>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</si>
  <si>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</si>
  <si>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</si>
  <si>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</si>
  <si>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</si>
  <si>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</si>
  <si>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</si>
  <si>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</si>
  <si>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</si>
  <si>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</si>
  <si>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</si>
  <si>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</si>
  <si>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</si>
  <si>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</si>
  <si>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</si>
  <si>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</si>
  <si>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</si>
  <si>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</si>
  <si>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</si>
  <si>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</si>
  <si>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</si>
  <si>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</si>
  <si>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</si>
  <si>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</si>
  <si>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</si>
  <si>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</si>
  <si>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</si>
  <si>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</si>
  <si>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</si>
  <si>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</si>
  <si>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</si>
  <si>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</si>
  <si>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</si>
  <si>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</si>
  <si>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</si>
  <si>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</si>
  <si>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</si>
  <si>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</si>
  <si>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</si>
  <si>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</si>
  <si>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</si>
  <si>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</si>
  <si>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</si>
  <si>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</si>
  <si>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</si>
  <si>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</si>
  <si>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</si>
  <si>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</si>
  <si>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</si>
  <si>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</si>
  <si>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</si>
  <si>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</si>
  <si>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</si>
  <si>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</si>
  <si>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</si>
  <si>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</si>
  <si>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</si>
  <si>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</si>
  <si>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</si>
  <si>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</si>
  <si>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0D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</si>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</sst>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27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1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67" fontId="13" fillId="0" borderId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498">
    <xf numFmtId="0" fontId="0" fillId="0" borderId="0" xfId="0"/>
    <xf numFmtId="0" fontId="1" fillId="2" borderId="0" xfId="1" applyFill="1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164" fontId="2" fillId="4" borderId="5" xfId="1" applyNumberFormat="1" applyFont="1" applyFill="1" applyBorder="1" applyAlignment="1" applyProtection="1">
      <alignment horizontal="left"/>
    </xf>
    <xf numFmtId="0" fontId="2" fillId="4" borderId="6" xfId="1" applyNumberFormat="1" applyFont="1" applyFill="1" applyBorder="1" applyAlignment="1" applyProtection="1"/>
    <xf numFmtId="0" fontId="2" fillId="2" borderId="5" xfId="1" applyNumberFormat="1" applyFont="1" applyFill="1" applyBorder="1" applyAlignment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3" fillId="3" borderId="5" xfId="1" applyNumberFormat="1" applyFont="1" applyFill="1" applyBorder="1" applyAlignment="1"/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2" fillId="3" borderId="9" xfId="1" applyFont="1" applyFill="1" applyBorder="1"/>
    <xf numFmtId="0" fontId="2" fillId="3" borderId="10" xfId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5" fillId="2" borderId="0" xfId="2" applyFill="1"/>
    <xf numFmtId="0" fontId="2" fillId="4" borderId="14" xfId="1" applyNumberFormat="1" applyFont="1" applyFill="1" applyBorder="1" applyAlignment="1" applyProtection="1"/>
    <xf numFmtId="0" fontId="5" fillId="2" borderId="15" xfId="2" applyFill="1" applyBorder="1" applyAlignment="1"/>
    <xf numFmtId="0" fontId="2" fillId="2" borderId="16" xfId="1" applyFont="1" applyFill="1" applyBorder="1" applyAlignment="1"/>
    <xf numFmtId="0" fontId="5" fillId="7" borderId="15" xfId="2" applyFont="1" applyFill="1" applyBorder="1" applyAlignment="1"/>
    <xf numFmtId="0" fontId="5" fillId="3" borderId="4" xfId="2" applyFill="1" applyBorder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17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5" fillId="3" borderId="0" xfId="2" applyFill="1" applyBorder="1"/>
    <xf numFmtId="0" fontId="4" fillId="3" borderId="0" xfId="2" applyFont="1" applyFill="1" applyBorder="1"/>
    <xf numFmtId="0" fontId="5" fillId="3" borderId="8" xfId="2" applyFill="1" applyBorder="1"/>
    <xf numFmtId="0" fontId="5" fillId="3" borderId="9" xfId="2" applyFill="1" applyBorder="1"/>
    <xf numFmtId="0" fontId="8" fillId="3" borderId="9" xfId="2" applyFont="1" applyFill="1" applyBorder="1"/>
    <xf numFmtId="0" fontId="4" fillId="3" borderId="9" xfId="2" applyFont="1" applyFill="1" applyBorder="1"/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9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10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4" borderId="5" xfId="1" applyNumberFormat="1" applyFont="1" applyFill="1" applyBorder="1" applyAlignment="1" applyProtection="1">
      <alignment horizontal="center"/>
    </xf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4" fillId="0" borderId="0" xfId="1" applyFont="1"/>
    <xf numFmtId="0" fontId="5" fillId="3" borderId="20" xfId="1" applyFont="1" applyFill="1" applyBorder="1" applyAlignment="1">
      <alignment horizontal="center"/>
    </xf>
    <xf numFmtId="164" fontId="15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10" fillId="3" borderId="5" xfId="1" applyFont="1" applyFill="1" applyBorder="1" applyAlignment="1"/>
    <xf numFmtId="0" fontId="15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4" fillId="3" borderId="22" xfId="1" applyFont="1" applyFill="1" applyBorder="1"/>
    <xf numFmtId="0" fontId="14" fillId="3" borderId="23" xfId="1" applyFont="1" applyFill="1" applyBorder="1"/>
    <xf numFmtId="0" fontId="14" fillId="3" borderId="24" xfId="1" applyFont="1" applyFill="1" applyBorder="1"/>
    <xf numFmtId="0" fontId="1" fillId="0" borderId="0" xfId="1" applyAlignment="1">
      <alignment horizontal="left"/>
    </xf>
    <xf numFmtId="0" fontId="11" fillId="0" borderId="0" xfId="1" applyFont="1"/>
    <xf numFmtId="0" fontId="5" fillId="3" borderId="2" xfId="1" applyFont="1" applyFill="1" applyBorder="1" applyAlignment="1">
      <alignment horizontal="left"/>
    </xf>
    <xf numFmtId="0" fontId="15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5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5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5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10" fillId="3" borderId="23" xfId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4" fillId="3" borderId="1" xfId="1" applyFont="1" applyFill="1" applyBorder="1"/>
    <xf numFmtId="0" fontId="14" fillId="3" borderId="2" xfId="1" applyFont="1" applyFill="1" applyBorder="1"/>
    <xf numFmtId="0" fontId="16" fillId="3" borderId="3" xfId="1" applyFont="1" applyFill="1" applyBorder="1"/>
    <xf numFmtId="0" fontId="14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10" fillId="3" borderId="5" xfId="1" applyFont="1" applyFill="1" applyBorder="1" applyAlignment="1">
      <alignment horizontal="center"/>
    </xf>
    <xf numFmtId="0" fontId="16" fillId="3" borderId="7" xfId="1" applyFont="1" applyFill="1" applyBorder="1"/>
    <xf numFmtId="164" fontId="15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0" fillId="3" borderId="14" xfId="1" applyFont="1" applyFill="1" applyBorder="1" applyAlignment="1">
      <alignment horizontal="center"/>
    </xf>
    <xf numFmtId="0" fontId="14" fillId="3" borderId="7" xfId="1" applyFont="1" applyFill="1" applyBorder="1"/>
    <xf numFmtId="0" fontId="16" fillId="3" borderId="8" xfId="1" applyFont="1" applyFill="1" applyBorder="1"/>
    <xf numFmtId="0" fontId="14" fillId="0" borderId="9" xfId="1" applyFont="1" applyBorder="1"/>
    <xf numFmtId="0" fontId="14" fillId="0" borderId="9" xfId="1" applyFont="1" applyBorder="1" applyAlignment="1">
      <alignment horizontal="center"/>
    </xf>
    <xf numFmtId="0" fontId="17" fillId="3" borderId="9" xfId="1" applyFont="1" applyFill="1" applyBorder="1"/>
    <xf numFmtId="0" fontId="14" fillId="3" borderId="10" xfId="1" applyFont="1" applyFill="1" applyBorder="1"/>
    <xf numFmtId="0" fontId="14" fillId="3" borderId="15" xfId="1" applyFont="1" applyFill="1" applyBorder="1"/>
    <xf numFmtId="0" fontId="14" fillId="3" borderId="18" xfId="1" applyFont="1" applyFill="1" applyBorder="1"/>
    <xf numFmtId="0" fontId="14" fillId="3" borderId="19" xfId="1" applyFont="1" applyFill="1" applyBorder="1"/>
    <xf numFmtId="0" fontId="14" fillId="3" borderId="20" xfId="1" applyFont="1" applyFill="1" applyBorder="1"/>
    <xf numFmtId="0" fontId="14" fillId="3" borderId="5" xfId="1" applyFont="1" applyFill="1" applyBorder="1"/>
    <xf numFmtId="0" fontId="14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10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4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4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10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10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4" fillId="3" borderId="8" xfId="1" applyFont="1" applyFill="1" applyBorder="1"/>
    <xf numFmtId="0" fontId="14" fillId="3" borderId="9" xfId="1" applyFont="1" applyFill="1" applyBorder="1"/>
    <xf numFmtId="0" fontId="14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8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10" fillId="3" borderId="25" xfId="1" applyFont="1" applyFill="1" applyBorder="1" applyAlignment="1">
      <alignment horizontal="center" vertical="center" wrapText="1"/>
    </xf>
    <xf numFmtId="0" fontId="10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5" fillId="4" borderId="5" xfId="1" applyNumberFormat="1" applyFont="1" applyFill="1" applyBorder="1" applyAlignment="1" applyProtection="1"/>
    <xf numFmtId="0" fontId="18" fillId="0" borderId="2" xfId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5" fillId="7" borderId="5" xfId="1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4" fillId="0" borderId="0" xfId="1" applyFont="1" applyAlignment="1">
      <alignment horizontal="center"/>
    </xf>
    <xf numFmtId="0" fontId="14" fillId="0" borderId="5" xfId="1" applyFont="1" applyFill="1" applyBorder="1"/>
    <xf numFmtId="0" fontId="14" fillId="0" borderId="5" xfId="1" applyFont="1" applyFill="1" applyBorder="1" applyAlignment="1">
      <alignment horizontal="center"/>
    </xf>
    <xf numFmtId="0" fontId="10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10" fillId="0" borderId="6" xfId="4" applyNumberFormat="1" applyFont="1" applyFill="1" applyBorder="1" applyAlignment="1">
      <alignment horizontal="center" vertical="center" wrapText="1"/>
    </xf>
    <xf numFmtId="170" fontId="10" fillId="0" borderId="16" xfId="4" applyNumberFormat="1" applyFont="1" applyFill="1" applyBorder="1" applyAlignment="1">
      <alignment horizontal="center" vertical="center" wrapText="1"/>
    </xf>
    <xf numFmtId="169" fontId="10" fillId="0" borderId="5" xfId="4" applyNumberFormat="1" applyFont="1" applyFill="1" applyBorder="1" applyAlignment="1">
      <alignment horizontal="center" vertical="center" wrapText="1"/>
    </xf>
    <xf numFmtId="169" fontId="10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7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6" xfId="4" applyNumberFormat="1" applyFont="1" applyFill="1" applyBorder="1" applyAlignment="1">
      <alignment horizontal="center"/>
    </xf>
    <xf numFmtId="169" fontId="5" fillId="0" borderId="5" xfId="4" applyNumberFormat="1" applyFont="1" applyFill="1" applyBorder="1" applyAlignment="1">
      <alignment horizontal="center"/>
    </xf>
    <xf numFmtId="169" fontId="5" fillId="0" borderId="6" xfId="4" applyNumberFormat="1" applyFont="1" applyFill="1" applyBorder="1" applyAlignment="1">
      <alignment horizontal="center"/>
    </xf>
    <xf numFmtId="0" fontId="5" fillId="0" borderId="17" xfId="4" applyNumberFormat="1" applyFont="1" applyFill="1" applyBorder="1" applyAlignment="1"/>
    <xf numFmtId="169" fontId="5" fillId="0" borderId="17" xfId="4" applyNumberFormat="1" applyFont="1" applyFill="1" applyBorder="1" applyAlignment="1"/>
    <xf numFmtId="0" fontId="5" fillId="0" borderId="17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0" borderId="17" xfId="1" applyFont="1" applyFill="1" applyBorder="1" applyAlignment="1">
      <alignment horizontal="center" vertical="center" wrapText="1"/>
    </xf>
    <xf numFmtId="169" fontId="10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10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1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1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10" fillId="0" borderId="16" xfId="4" applyNumberFormat="1" applyFont="1" applyFill="1" applyBorder="1" applyAlignment="1">
      <alignment horizontal="center" vertical="center" wrapText="1"/>
    </xf>
    <xf numFmtId="0" fontId="21" fillId="3" borderId="4" xfId="1" applyFont="1" applyFill="1" applyBorder="1"/>
    <xf numFmtId="0" fontId="21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10" fillId="0" borderId="22" xfId="4" applyNumberFormat="1" applyFont="1" applyFill="1" applyBorder="1" applyAlignment="1">
      <alignment horizontal="center" vertical="center" wrapText="1"/>
    </xf>
    <xf numFmtId="169" fontId="10" fillId="0" borderId="23" xfId="4" applyNumberFormat="1" applyFont="1" applyFill="1" applyBorder="1" applyAlignment="1">
      <alignment horizontal="center" vertical="center" wrapText="1"/>
    </xf>
    <xf numFmtId="169" fontId="10" fillId="0" borderId="25" xfId="4" applyNumberFormat="1" applyFont="1" applyFill="1" applyBorder="1" applyAlignment="1">
      <alignment horizontal="center" vertical="center" wrapText="1"/>
    </xf>
    <xf numFmtId="170" fontId="10" fillId="0" borderId="22" xfId="4" applyNumberFormat="1" applyFont="1" applyFill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169" fontId="10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10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1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2" fillId="3" borderId="0" xfId="1" applyFont="1" applyFill="1" applyBorder="1" applyAlignment="1">
      <alignment horizontal="right"/>
    </xf>
    <xf numFmtId="0" fontId="23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3" fillId="3" borderId="4" xfId="1" applyFont="1" applyFill="1" applyBorder="1"/>
    <xf numFmtId="0" fontId="1" fillId="3" borderId="0" xfId="1" applyFill="1" applyBorder="1"/>
    <xf numFmtId="0" fontId="23" fillId="3" borderId="15" xfId="1" applyFont="1" applyFill="1" applyBorder="1" applyAlignment="1">
      <alignment horizontal="center"/>
    </xf>
    <xf numFmtId="0" fontId="23" fillId="3" borderId="14" xfId="1" applyFont="1" applyFill="1" applyBorder="1" applyAlignment="1">
      <alignment horizontal="center"/>
    </xf>
    <xf numFmtId="0" fontId="23" fillId="3" borderId="20" xfId="1" applyFont="1" applyFill="1" applyBorder="1" applyAlignment="1">
      <alignment horizontal="center"/>
    </xf>
    <xf numFmtId="0" fontId="23" fillId="3" borderId="26" xfId="1" applyFont="1" applyFill="1" applyBorder="1" applyAlignment="1">
      <alignment horizontal="center"/>
    </xf>
    <xf numFmtId="0" fontId="23" fillId="3" borderId="0" xfId="1" applyFont="1" applyFill="1" applyBorder="1"/>
    <xf numFmtId="0" fontId="23" fillId="3" borderId="6" xfId="1" applyFont="1" applyFill="1" applyBorder="1" applyAlignment="1">
      <alignment horizontal="center"/>
    </xf>
    <xf numFmtId="0" fontId="23" fillId="3" borderId="5" xfId="1" applyFont="1" applyFill="1" applyBorder="1" applyAlignment="1">
      <alignment horizontal="center"/>
    </xf>
    <xf numFmtId="1" fontId="23" fillId="3" borderId="15" xfId="1" applyNumberFormat="1" applyFont="1" applyFill="1" applyBorder="1" applyAlignment="1">
      <alignment horizontal="center"/>
    </xf>
    <xf numFmtId="0" fontId="23" fillId="2" borderId="14" xfId="1" applyFont="1" applyFill="1" applyBorder="1"/>
    <xf numFmtId="1" fontId="23" fillId="3" borderId="20" xfId="1" applyNumberFormat="1" applyFont="1" applyFill="1" applyBorder="1" applyAlignment="1">
      <alignment horizontal="center"/>
    </xf>
    <xf numFmtId="0" fontId="23" fillId="2" borderId="26" xfId="1" applyFont="1" applyFill="1" applyBorder="1"/>
    <xf numFmtId="0" fontId="23" fillId="3" borderId="20" xfId="1" applyNumberFormat="1" applyFont="1" applyFill="1" applyBorder="1" applyAlignment="1">
      <alignment horizontal="center"/>
    </xf>
    <xf numFmtId="176" fontId="23" fillId="3" borderId="20" xfId="1" applyNumberFormat="1" applyFont="1" applyFill="1" applyBorder="1" applyAlignment="1">
      <alignment horizontal="center"/>
    </xf>
    <xf numFmtId="0" fontId="23" fillId="3" borderId="22" xfId="1" applyFont="1" applyFill="1" applyBorder="1" applyAlignment="1">
      <alignment horizontal="center"/>
    </xf>
    <xf numFmtId="0" fontId="23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4" fillId="0" borderId="0" xfId="11"/>
    <xf numFmtId="0" fontId="14" fillId="3" borderId="0" xfId="11" applyFill="1"/>
    <xf numFmtId="0" fontId="14" fillId="3" borderId="1" xfId="11" quotePrefix="1" applyFill="1" applyBorder="1"/>
    <xf numFmtId="0" fontId="14" fillId="3" borderId="2" xfId="11" quotePrefix="1" applyFill="1" applyBorder="1"/>
    <xf numFmtId="0" fontId="14" fillId="3" borderId="3" xfId="11" applyFill="1" applyBorder="1"/>
    <xf numFmtId="0" fontId="14" fillId="3" borderId="4" xfId="11" applyFill="1" applyBorder="1"/>
    <xf numFmtId="0" fontId="14" fillId="3" borderId="0" xfId="11" applyFill="1" applyBorder="1"/>
    <xf numFmtId="0" fontId="14" fillId="3" borderId="7" xfId="11" applyFill="1" applyBorder="1"/>
    <xf numFmtId="14" fontId="14" fillId="3" borderId="0" xfId="11" applyNumberFormat="1" applyFill="1"/>
    <xf numFmtId="177" fontId="14" fillId="3" borderId="0" xfId="11" applyNumberFormat="1" applyFill="1"/>
    <xf numFmtId="0" fontId="14" fillId="3" borderId="8" xfId="11" applyFill="1" applyBorder="1"/>
    <xf numFmtId="0" fontId="14" fillId="3" borderId="9" xfId="11" applyFill="1" applyBorder="1"/>
    <xf numFmtId="0" fontId="14" fillId="3" borderId="10" xfId="11" applyFill="1" applyBorder="1"/>
    <xf numFmtId="169" fontId="25" fillId="3" borderId="0" xfId="12" applyNumberFormat="1" applyFont="1" applyFill="1"/>
    <xf numFmtId="0" fontId="25" fillId="3" borderId="0" xfId="11" applyFont="1" applyFill="1" applyAlignment="1">
      <alignment horizontal="left"/>
    </xf>
    <xf numFmtId="0" fontId="14" fillId="2" borderId="1" xfId="11" applyFill="1" applyBorder="1"/>
    <xf numFmtId="0" fontId="14" fillId="2" borderId="2" xfId="11" applyFill="1" applyBorder="1"/>
    <xf numFmtId="169" fontId="25" fillId="2" borderId="2" xfId="12" applyNumberFormat="1" applyFont="1" applyFill="1" applyBorder="1"/>
    <xf numFmtId="0" fontId="25" fillId="2" borderId="2" xfId="11" applyFont="1" applyFill="1" applyBorder="1" applyAlignment="1">
      <alignment horizontal="left"/>
    </xf>
    <xf numFmtId="0" fontId="14" fillId="2" borderId="3" xfId="11" applyFill="1" applyBorder="1"/>
    <xf numFmtId="0" fontId="14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4" fillId="2" borderId="0" xfId="11" applyFill="1" applyBorder="1" applyAlignment="1"/>
    <xf numFmtId="0" fontId="14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10" fillId="0" borderId="19" xfId="12" applyNumberFormat="1" applyFont="1" applyFill="1" applyBorder="1" applyAlignment="1"/>
    <xf numFmtId="0" fontId="14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4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10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4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10" fillId="0" borderId="24" xfId="12" applyNumberFormat="1" applyFont="1" applyFill="1" applyBorder="1" applyAlignment="1"/>
    <xf numFmtId="170" fontId="10" fillId="0" borderId="5" xfId="12" applyNumberFormat="1" applyFont="1" applyFill="1" applyBorder="1" applyAlignment="1">
      <alignment horizontal="center" vertical="center" wrapText="1"/>
    </xf>
    <xf numFmtId="170" fontId="10" fillId="0" borderId="6" xfId="12" applyNumberFormat="1" applyFont="1" applyFill="1" applyBorder="1" applyAlignment="1">
      <alignment horizontal="center" vertical="center" wrapText="1"/>
    </xf>
    <xf numFmtId="170" fontId="10" fillId="0" borderId="17" xfId="12" applyNumberFormat="1" applyFont="1" applyFill="1" applyBorder="1" applyAlignment="1">
      <alignment horizontal="center" vertical="center" wrapText="1"/>
    </xf>
    <xf numFmtId="170" fontId="10" fillId="0" borderId="16" xfId="12" applyNumberFormat="1" applyFont="1" applyFill="1" applyBorder="1" applyAlignment="1">
      <alignment horizontal="center" vertical="center" wrapText="1"/>
    </xf>
    <xf numFmtId="0" fontId="14" fillId="2" borderId="0" xfId="11" applyFill="1" applyBorder="1"/>
    <xf numFmtId="0" fontId="14" fillId="2" borderId="8" xfId="11" applyFill="1" applyBorder="1"/>
    <xf numFmtId="0" fontId="14" fillId="2" borderId="9" xfId="11" applyFill="1" applyBorder="1"/>
    <xf numFmtId="170" fontId="14" fillId="2" borderId="9" xfId="11" applyNumberFormat="1" applyFill="1" applyBorder="1"/>
    <xf numFmtId="0" fontId="26" fillId="2" borderId="9" xfId="11" applyFont="1" applyFill="1" applyBorder="1"/>
    <xf numFmtId="0" fontId="25" fillId="2" borderId="9" xfId="11" applyFont="1" applyFill="1" applyBorder="1"/>
    <xf numFmtId="0" fontId="25" fillId="2" borderId="9" xfId="11" applyFont="1" applyFill="1" applyBorder="1" applyAlignment="1">
      <alignment horizontal="left"/>
    </xf>
    <xf numFmtId="0" fontId="26" fillId="2" borderId="9" xfId="11" applyFont="1" applyFill="1" applyBorder="1" applyAlignment="1">
      <alignment horizontal="center"/>
    </xf>
    <xf numFmtId="0" fontId="14" fillId="2" borderId="10" xfId="11" applyFill="1" applyBorder="1"/>
    <xf numFmtId="0" fontId="25" fillId="3" borderId="0" xfId="11" applyFont="1" applyFill="1"/>
    <xf numFmtId="0" fontId="14" fillId="3" borderId="1" xfId="11" applyFill="1" applyBorder="1"/>
    <xf numFmtId="0" fontId="14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4" fillId="3" borderId="4" xfId="11" quotePrefix="1" applyFill="1" applyBorder="1"/>
    <xf numFmtId="0" fontId="14" fillId="3" borderId="0" xfId="11" quotePrefix="1" applyFill="1" applyBorder="1"/>
    <xf numFmtId="0" fontId="14" fillId="3" borderId="8" xfId="11" quotePrefix="1" applyFill="1" applyBorder="1"/>
    <xf numFmtId="0" fontId="14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1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172" fontId="5" fillId="0" borderId="5" xfId="12" applyNumberFormat="1" applyFont="1" applyFill="1" applyBorder="1" applyAlignment="1">
      <alignment horizontal="center"/>
    </xf>
    <xf numFmtId="0" fontId="10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4" fillId="0" borderId="0" xfId="1" quotePrefix="1" applyFont="1"/>
    <xf numFmtId="169" fontId="10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70" fontId="5" fillId="10" borderId="24" xfId="12" applyNumberFormat="1" applyFont="1" applyFill="1" applyBorder="1" applyAlignment="1"/>
    <xf numFmtId="169" fontId="5" fillId="0" borderId="16" xfId="4" applyNumberFormat="1" applyFont="1" applyFill="1" applyBorder="1" applyAlignment="1">
      <alignment horizontal="center"/>
    </xf>
    <xf numFmtId="169" fontId="10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4" fillId="3" borderId="0" xfId="1" applyNumberFormat="1" applyFont="1" applyFill="1" applyBorder="1" applyAlignment="1">
      <alignment horizontal="center"/>
    </xf>
    <xf numFmtId="0" fontId="18" fillId="3" borderId="0" xfId="1" quotePrefix="1" applyFont="1" applyFill="1" applyBorder="1" applyAlignment="1">
      <alignment horizontal="center"/>
    </xf>
    <xf numFmtId="0" fontId="10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9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" fillId="2" borderId="5" xfId="1" applyNumberFormat="1" applyFont="1" applyFill="1" applyBorder="1" applyAlignment="1">
      <alignment horizontal="center" vertical="center"/>
    </xf>
    <xf numFmtId="165" fontId="2" fillId="4" borderId="6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>
      <alignment horizontal="left" vertical="center"/>
    </xf>
    <xf numFmtId="0" fontId="0" fillId="9" borderId="0" xfId="0" applyFill="1"/>
    <xf numFmtId="0" fontId="14" fillId="9" borderId="0" xfId="11" applyFill="1"/>
    <xf numFmtId="0" fontId="5" fillId="9" borderId="0" xfId="2" applyFill="1"/>
    <xf numFmtId="0" fontId="1" fillId="9" borderId="0" xfId="1" applyFill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10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3">
    <cellStyle name="Migliaia (0)_AZIONI" xfId="5"/>
    <cellStyle name="Migliaia_AZIONI" xfId="6"/>
    <cellStyle name="Normal" xfId="0" builtinId="0"/>
    <cellStyle name="Normal 2" xfId="1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15:28:02</v>
        <stp/>
        <stp>{E3DFECB1-DF5F-4AB5-A5C3-680BD84845E4}</stp>
        <tr r="S4" s="26"/>
      </tp>
      <tp t="s">
        <v>Paused at 15:28:02</v>
        <stp/>
        <stp>{88E6D182-3BF6-4B8F-B0D1-8C0D0D852746}</stp>
        <tr r="O4" s="23"/>
      </tp>
      <tp t="s">
        <v>Paused at 15:28:02</v>
        <stp/>
        <stp>{B77910E4-E009-46F4-8321-696B3F1736F7}</stp>
        <tr r="D3" s="60"/>
      </tp>
      <tp t="s">
        <v>Paused at 15:28:02</v>
        <stp/>
        <stp>{AA76D43B-C9C7-46A8-BE76-2C7D7E96AA67}</stp>
        <tr r="D3" s="61"/>
      </tp>
      <tp t="s">
        <v>Paused at 15:28:02</v>
        <stp/>
        <stp>{4E928496-A5DA-4BC5-B0FD-61D408224340}</stp>
        <tr r="S4" s="25"/>
      </tp>
      <tp t="s">
        <v>Paused at 15:28:02</v>
        <stp/>
        <stp>{E4CBA4DB-86CD-4B35-8C3E-FABAF22C7C47}</stp>
        <tr r="H4" s="20"/>
      </tp>
      <tp t="s">
        <v>Paused at 15:28:02</v>
        <stp/>
        <stp>{1CF031FF-226D-4CA4-92BB-892C93AE172B}</stp>
        <tr r="S4" s="12"/>
      </tp>
      <tp t="s">
        <v>Paused at 15:28:02</v>
        <stp/>
        <stp>{B6691C94-9614-47EE-AC7E-62F6B0D41FA4}</stp>
        <tr r="J4" s="15"/>
      </tp>
      <tp t="s">
        <v>Paused at 15:28:02</v>
        <stp/>
        <stp>{0A4F9CA9-8CA2-401F-BDC8-84B5404DDBB7}</stp>
        <tr r="M6" s="8"/>
      </tp>
      <tp t="s">
        <v>Paused at 15:28:02</v>
        <stp/>
        <stp>{0388977B-EC11-42C1-AE46-57102C5602E2}</stp>
        <tr r="O4" s="24"/>
      </tp>
      <tp t="s">
        <v>Paused at 15:28:02</v>
        <stp/>
        <stp>{FA122F7D-3A92-4304-BB4B-D83D6A680F99}</stp>
        <tr r="S4" s="11"/>
      </tp>
      <tp t="s">
        <v>Paused at 15:28:02</v>
        <stp/>
        <stp>{6FBF5320-B17E-4A68-B978-21724A98EE56}</stp>
        <tr r="D3" s="62"/>
      </tp>
      <tp t="s">
        <v>Paused at 15:28:02</v>
        <stp/>
        <stp>{A0A75D3F-0273-4A00-B461-A5BFF2A2860B}</stp>
        <tr r="S4" s="13"/>
      </tp>
      <tp t="s">
        <v>Paused at 15:28:02</v>
        <stp/>
        <stp>{431980A1-69F9-4F12-AB58-B6F68618ABEE}</stp>
        <tr r="N6" s="16"/>
      </tp>
      <tp t="s">
        <v>Paused at 15:28:02</v>
        <stp/>
        <stp>{D2221BFA-D69E-4AAA-B5E8-F1C19AAE9B89}</stp>
        <tr r="R5" s="6"/>
      </tp>
      <tp t="s">
        <v>Paused at 15:28:02</v>
        <stp/>
        <stp>{DA2045BB-1CA1-4AFD-BE3D-997D50D4CAEA}</stp>
        <tr r="U27" s="15"/>
      </tp>
      <tp t="s">
        <v>Paused at 15:28:02</v>
        <stp/>
        <stp>{DA73DCFB-3BEB-4BD5-BCD5-48A2A8C0EDEA}</stp>
        <tr r="O5" s="17"/>
      </tp>
      <tp t="s">
        <v>Paused at 15:28:02</v>
        <stp/>
        <stp>{ADD0C642-7941-4B6C-8131-01CE9DAE9213}</stp>
        <tr r="O4" s="22"/>
      </tp>
      <tp t="s">
        <v>Paused at 15:28:02</v>
        <stp/>
        <stp>{F78D5274-D8A0-41BB-B103-BEBD987A6693}</stp>
        <tr r="F4" s="55"/>
      </tp>
      <tp t="s">
        <v>Paused at 15:28:02</v>
        <stp/>
        <stp>{96E094B8-50E9-4188-B0A7-C9E10D80D54C}</stp>
        <tr r="O5" s="18"/>
      </tp>
      <tp t="s">
        <v>Paused at 15:28:02</v>
        <stp/>
        <stp>{CA92FE8E-5647-44D9-B258-1C040AC9255F}</stp>
        <tr r="M6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28"/>
  <sheetViews>
    <sheetView tabSelected="1" workbookViewId="0">
      <selection activeCell="D5" sqref="D5"/>
    </sheetView>
  </sheetViews>
  <sheetFormatPr defaultRowHeight="12.75" x14ac:dyDescent="0.2"/>
  <cols>
    <col min="1" max="2" width="2.7109375" style="466" customWidth="1"/>
    <col min="3" max="3" width="14.85546875" style="466" bestFit="1" customWidth="1"/>
    <col min="4" max="4" width="21.42578125" style="466" bestFit="1" customWidth="1"/>
    <col min="5" max="5" width="20.7109375" style="466" bestFit="1" customWidth="1"/>
    <col min="6" max="8" width="2.7109375" style="466" customWidth="1"/>
    <col min="9" max="9" width="12.140625" style="466" bestFit="1" customWidth="1"/>
    <col min="10" max="10" width="53.7109375" style="466" bestFit="1" customWidth="1"/>
    <col min="11" max="11" width="2.7109375" style="466" customWidth="1"/>
    <col min="12" max="16384" width="9.140625" style="466"/>
  </cols>
  <sheetData>
    <row r="1" spans="1:11" ht="13.5" thickBot="1" x14ac:dyDescent="0.25">
      <c r="A1" s="466" t="s">
        <v>286</v>
      </c>
      <c r="B1" s="466" t="str">
        <f>_xll.qlxlVersion(TRUE,Trigger)</f>
        <v>QuantLibXL 1.4.0 - MS VC++ 9.0 - Multithreaded Dynamic Runtime library - Release Configuration - Apr 18 2014 11:20:01</v>
      </c>
    </row>
    <row r="2" spans="1:11" ht="16.5" thickBot="1" x14ac:dyDescent="0.3">
      <c r="B2" s="493" t="s">
        <v>285</v>
      </c>
      <c r="C2" s="494"/>
      <c r="D2" s="494"/>
      <c r="E2" s="494"/>
      <c r="F2" s="495"/>
      <c r="H2" s="493" t="s">
        <v>8</v>
      </c>
      <c r="I2" s="494"/>
      <c r="J2" s="494"/>
      <c r="K2" s="495"/>
    </row>
    <row r="3" spans="1:11" x14ac:dyDescent="0.2">
      <c r="B3" s="353"/>
      <c r="C3" s="372"/>
      <c r="D3" s="372"/>
      <c r="E3" s="372"/>
      <c r="F3" s="371"/>
      <c r="H3" s="9"/>
      <c r="I3" s="12"/>
      <c r="J3" s="12"/>
      <c r="K3" s="5"/>
    </row>
    <row r="4" spans="1:11" x14ac:dyDescent="0.2">
      <c r="B4" s="353"/>
      <c r="C4" s="370" t="s">
        <v>1</v>
      </c>
      <c r="D4" s="369" t="s">
        <v>100</v>
      </c>
      <c r="E4" s="360"/>
      <c r="F4" s="354"/>
      <c r="H4" s="9"/>
      <c r="I4" s="15" t="s">
        <v>7</v>
      </c>
      <c r="J4" s="449">
        <v>41753.624444444446</v>
      </c>
      <c r="K4" s="13"/>
    </row>
    <row r="5" spans="1:11" x14ac:dyDescent="0.2">
      <c r="B5" s="353"/>
      <c r="C5" s="366" t="s">
        <v>7</v>
      </c>
      <c r="D5" s="368">
        <v>41621.603217592594</v>
      </c>
      <c r="E5" s="360"/>
      <c r="F5" s="354"/>
      <c r="H5" s="9"/>
      <c r="I5" s="15" t="s">
        <v>6</v>
      </c>
      <c r="J5" s="449" t="b">
        <v>1</v>
      </c>
      <c r="K5" s="13"/>
    </row>
    <row r="6" spans="1:11" x14ac:dyDescent="0.2">
      <c r="B6" s="353"/>
      <c r="C6" s="366" t="s">
        <v>284</v>
      </c>
      <c r="D6" s="367" t="s">
        <v>283</v>
      </c>
      <c r="E6" s="360"/>
      <c r="F6" s="354"/>
      <c r="H6" s="9"/>
      <c r="I6" s="15" t="s">
        <v>5</v>
      </c>
      <c r="J6" s="449" t="b">
        <v>0</v>
      </c>
      <c r="K6" s="13"/>
    </row>
    <row r="7" spans="1:11" x14ac:dyDescent="0.2">
      <c r="B7" s="353"/>
      <c r="C7" s="366" t="s">
        <v>282</v>
      </c>
      <c r="D7" s="365">
        <f>_xll.ohTrigger(Deposits!P3,FRA!X5,Futures3M!Z4,FuturesHWConvAdj!Q3,Swaps1M!Y3,Swap3M!AC3,SwapsIMMDated!Y3,Swap6M!AC3,BasisSwap1MxM!AC3,BasisSwap3M6M!AC3,BasisSwapxM12M!AC3,OIS!Y3)</f>
        <v>1292</v>
      </c>
      <c r="E7" s="360"/>
      <c r="F7" s="354"/>
      <c r="H7" s="9"/>
      <c r="I7" s="15" t="s">
        <v>4</v>
      </c>
      <c r="J7" s="449" t="b">
        <v>0</v>
      </c>
      <c r="K7" s="13"/>
    </row>
    <row r="8" spans="1:11" x14ac:dyDescent="0.2">
      <c r="B8" s="353"/>
      <c r="C8" s="366" t="s">
        <v>317</v>
      </c>
      <c r="D8" s="365">
        <f>_xll.ohTrigger(V6:V12)</f>
        <v>0</v>
      </c>
      <c r="E8" s="360"/>
      <c r="F8" s="354"/>
      <c r="H8" s="9"/>
      <c r="I8" s="15" t="s">
        <v>3</v>
      </c>
      <c r="J8" s="450"/>
      <c r="K8" s="13"/>
    </row>
    <row r="9" spans="1:11" x14ac:dyDescent="0.2">
      <c r="B9" s="353"/>
      <c r="C9" s="364" t="s">
        <v>281</v>
      </c>
      <c r="D9" s="363" t="s">
        <v>280</v>
      </c>
      <c r="E9" s="360"/>
      <c r="F9" s="354"/>
      <c r="H9" s="9"/>
      <c r="I9" s="15" t="s">
        <v>2</v>
      </c>
      <c r="J9" s="451" t="b">
        <v>1</v>
      </c>
      <c r="K9" s="13"/>
    </row>
    <row r="10" spans="1:11" x14ac:dyDescent="0.2">
      <c r="B10" s="353"/>
      <c r="C10" s="360"/>
      <c r="D10" s="322"/>
      <c r="E10" s="360"/>
      <c r="F10" s="354"/>
      <c r="H10" s="9"/>
      <c r="I10" s="15" t="s">
        <v>1</v>
      </c>
      <c r="J10" s="10" t="s">
        <v>100</v>
      </c>
      <c r="K10" s="13"/>
    </row>
    <row r="11" spans="1:11" x14ac:dyDescent="0.2">
      <c r="B11" s="353"/>
      <c r="C11" s="362" t="s">
        <v>233</v>
      </c>
      <c r="D11" s="361" t="s">
        <v>279</v>
      </c>
      <c r="E11" s="360"/>
      <c r="F11" s="354"/>
      <c r="H11" s="9"/>
      <c r="I11" s="15" t="s">
        <v>1</v>
      </c>
      <c r="J11" s="10" t="s">
        <v>109</v>
      </c>
      <c r="K11" s="13"/>
    </row>
    <row r="12" spans="1:11" x14ac:dyDescent="0.2">
      <c r="B12" s="353"/>
      <c r="C12" s="359" t="s">
        <v>222</v>
      </c>
      <c r="D12" s="358" t="str">
        <f>""</f>
        <v/>
      </c>
      <c r="E12" s="360"/>
      <c r="F12" s="354"/>
      <c r="H12" s="9"/>
      <c r="I12" s="15" t="s">
        <v>99</v>
      </c>
      <c r="J12" s="449" t="str">
        <f>Currency&amp;"ON"</f>
        <v>USDON</v>
      </c>
      <c r="K12" s="13"/>
    </row>
    <row r="13" spans="1:11" x14ac:dyDescent="0.2">
      <c r="B13" s="353"/>
      <c r="C13" s="359" t="s">
        <v>209</v>
      </c>
      <c r="D13" s="358" t="s">
        <v>221</v>
      </c>
      <c r="E13" s="355"/>
      <c r="F13" s="354"/>
      <c r="H13" s="9"/>
      <c r="I13" s="15" t="s">
        <v>98</v>
      </c>
      <c r="J13" s="449" t="str">
        <f>Currency&amp;"YCSTD"</f>
        <v>USDYCSTD</v>
      </c>
      <c r="K13" s="13"/>
    </row>
    <row r="14" spans="1:11" x14ac:dyDescent="0.2">
      <c r="B14" s="353"/>
      <c r="C14" s="359" t="s">
        <v>220</v>
      </c>
      <c r="D14" s="358" t="s">
        <v>220</v>
      </c>
      <c r="E14" s="355"/>
      <c r="F14" s="354"/>
      <c r="H14" s="447"/>
      <c r="I14" s="452" t="s">
        <v>312</v>
      </c>
      <c r="J14" s="453">
        <f>_xll.qlSettingsEvaluationDate(Trigger)</f>
        <v>41753</v>
      </c>
      <c r="K14" s="446"/>
    </row>
    <row r="15" spans="1:11" ht="13.5" thickBot="1" x14ac:dyDescent="0.25">
      <c r="B15" s="353"/>
      <c r="C15" s="359" t="s">
        <v>218</v>
      </c>
      <c r="D15" s="358" t="s">
        <v>217</v>
      </c>
      <c r="E15" s="355"/>
      <c r="F15" s="354"/>
      <c r="H15" s="4"/>
      <c r="I15" s="3"/>
      <c r="J15" s="3"/>
      <c r="K15" s="2"/>
    </row>
    <row r="16" spans="1:11" ht="13.5" thickBot="1" x14ac:dyDescent="0.25">
      <c r="B16" s="353"/>
      <c r="C16" s="359" t="s">
        <v>216</v>
      </c>
      <c r="D16" s="358" t="s">
        <v>215</v>
      </c>
      <c r="E16" s="355"/>
      <c r="F16" s="354"/>
      <c r="H16" s="468"/>
      <c r="I16" s="468"/>
      <c r="J16" s="468"/>
      <c r="K16" s="468"/>
    </row>
    <row r="17" spans="2:11" ht="16.5" thickBot="1" x14ac:dyDescent="0.3">
      <c r="B17" s="353"/>
      <c r="C17" s="359" t="s">
        <v>214</v>
      </c>
      <c r="D17" s="358" t="s">
        <v>278</v>
      </c>
      <c r="E17" s="355"/>
      <c r="F17" s="354"/>
      <c r="H17" s="493" t="s">
        <v>122</v>
      </c>
      <c r="I17" s="494"/>
      <c r="J17" s="494"/>
      <c r="K17" s="495"/>
    </row>
    <row r="18" spans="2:11" x14ac:dyDescent="0.2">
      <c r="B18" s="353"/>
      <c r="C18" s="357" t="s">
        <v>277</v>
      </c>
      <c r="D18" s="356" t="s">
        <v>276</v>
      </c>
      <c r="E18" s="355"/>
      <c r="F18" s="354"/>
      <c r="H18" s="9"/>
      <c r="I18" s="12"/>
      <c r="J18" s="12"/>
      <c r="K18" s="5"/>
    </row>
    <row r="19" spans="2:11" x14ac:dyDescent="0.2">
      <c r="B19" s="353"/>
      <c r="C19" s="352"/>
      <c r="D19" s="352"/>
      <c r="E19" s="352"/>
      <c r="F19" s="354"/>
      <c r="H19" s="9"/>
      <c r="I19" s="15" t="s">
        <v>121</v>
      </c>
      <c r="J19" s="21" t="s">
        <v>120</v>
      </c>
      <c r="K19" s="13"/>
    </row>
    <row r="20" spans="2:11" x14ac:dyDescent="0.2">
      <c r="B20" s="353"/>
      <c r="C20" s="351" t="s">
        <v>275</v>
      </c>
      <c r="D20" s="469">
        <v>41570.838356481479</v>
      </c>
      <c r="E20" s="352"/>
      <c r="F20" s="42"/>
      <c r="H20" s="9"/>
      <c r="I20" s="15" t="s">
        <v>119</v>
      </c>
      <c r="J20" s="95">
        <v>1E-4</v>
      </c>
      <c r="K20" s="13"/>
    </row>
    <row r="21" spans="2:11" x14ac:dyDescent="0.2">
      <c r="B21" s="353"/>
      <c r="C21" s="351" t="s">
        <v>274</v>
      </c>
      <c r="D21" s="470" t="b">
        <v>1</v>
      </c>
      <c r="E21" s="352"/>
      <c r="F21" s="42"/>
      <c r="H21" s="9"/>
      <c r="I21" s="15" t="s">
        <v>118</v>
      </c>
      <c r="J21" s="94">
        <v>-0.01</v>
      </c>
      <c r="K21" s="13"/>
    </row>
    <row r="22" spans="2:11" ht="13.5" thickBot="1" x14ac:dyDescent="0.25">
      <c r="B22" s="350"/>
      <c r="C22" s="40"/>
      <c r="D22" s="40"/>
      <c r="E22" s="40"/>
      <c r="F22" s="39"/>
      <c r="H22" s="9"/>
      <c r="I22" s="15" t="s">
        <v>28</v>
      </c>
      <c r="J22" s="14" t="s">
        <v>27</v>
      </c>
      <c r="K22" s="13"/>
    </row>
    <row r="23" spans="2:11" x14ac:dyDescent="0.2">
      <c r="C23" s="467"/>
      <c r="D23" s="467"/>
      <c r="E23" s="467"/>
      <c r="F23" s="467"/>
      <c r="H23" s="9"/>
      <c r="I23" s="15" t="s">
        <v>90</v>
      </c>
      <c r="J23" s="14" t="s">
        <v>97</v>
      </c>
      <c r="K23" s="13"/>
    </row>
    <row r="24" spans="2:11" ht="11.25" customHeight="1" thickBot="1" x14ac:dyDescent="0.25">
      <c r="C24" s="467"/>
      <c r="D24" s="467"/>
      <c r="E24" s="467"/>
      <c r="F24" s="467"/>
      <c r="H24" s="4"/>
      <c r="I24" s="3"/>
      <c r="J24" s="3"/>
      <c r="K24" s="2"/>
    </row>
    <row r="25" spans="2:11" x14ac:dyDescent="0.2">
      <c r="C25" s="467"/>
      <c r="D25" s="467"/>
      <c r="E25" s="467"/>
      <c r="F25" s="467"/>
    </row>
    <row r="26" spans="2:11" x14ac:dyDescent="0.2">
      <c r="C26" s="467"/>
      <c r="D26" s="467"/>
      <c r="E26" s="467"/>
      <c r="F26" s="467"/>
    </row>
    <row r="27" spans="2:11" x14ac:dyDescent="0.2">
      <c r="C27" s="467"/>
      <c r="D27" s="467"/>
      <c r="E27" s="467"/>
      <c r="F27" s="467"/>
    </row>
    <row r="28" spans="2:11" x14ac:dyDescent="0.2">
      <c r="C28" s="467"/>
      <c r="D28" s="467"/>
      <c r="E28" s="467"/>
      <c r="F28" s="467"/>
    </row>
  </sheetData>
  <mergeCells count="3">
    <mergeCell ref="H17:K17"/>
    <mergeCell ref="B2:F2"/>
    <mergeCell ref="H2:K2"/>
  </mergeCells>
  <conditionalFormatting sqref="D21">
    <cfRule type="cellIs" dxfId="38" priority="1" stopIfTrue="1" operator="equal">
      <formula>TRUE</formula>
    </cfRule>
  </conditionalFormatting>
  <dataValidations count="3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J10:J11">
      <formula1>"EUR,USD,GBP,JPY,CHF"</formula1>
    </dataValidation>
    <dataValidation type="list" allowBlank="1" showInputMessage="1" showErrorMessage="1" sqref="J22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24"/>
  <sheetViews>
    <sheetView topLeftCell="A4" workbookViewId="0">
      <selection activeCell="Y12" sqref="Y12"/>
    </sheetView>
  </sheetViews>
  <sheetFormatPr defaultRowHeight="12.75" x14ac:dyDescent="0.2"/>
  <cols>
    <col min="1" max="2" width="2.7109375" style="1" customWidth="1"/>
    <col min="3" max="3" width="9.7109375" style="1" customWidth="1"/>
    <col min="4" max="4" width="24.7109375" style="1" customWidth="1"/>
    <col min="5" max="5" width="11.7109375" style="1" customWidth="1"/>
    <col min="6" max="6" width="27.7109375" style="1" customWidth="1"/>
    <col min="7" max="7" width="7.85546875" style="1" bestFit="1" customWidth="1"/>
    <col min="8" max="8" width="10.140625" style="1" bestFit="1" customWidth="1"/>
    <col min="9" max="9" width="14.5703125" style="1" bestFit="1" customWidth="1"/>
    <col min="10" max="10" width="26" style="1" bestFit="1" customWidth="1"/>
    <col min="11" max="12" width="15.7109375" style="1" customWidth="1"/>
    <col min="13" max="16" width="2.7109375" style="1" customWidth="1"/>
    <col min="17" max="17" width="9.140625" style="1"/>
    <col min="18" max="18" width="10.5703125" style="1" bestFit="1" customWidth="1"/>
    <col min="19" max="19" width="22.28515625" style="1" bestFit="1" customWidth="1"/>
    <col min="20" max="22" width="9.140625" style="1"/>
    <col min="23" max="23" width="2.7109375" style="1" customWidth="1"/>
    <col min="24" max="24" width="14" style="1" bestFit="1" customWidth="1"/>
    <col min="25" max="25" width="10.5703125" style="1" customWidth="1"/>
    <col min="26" max="29" width="9.140625" style="1"/>
    <col min="30" max="31" width="2.7109375" style="1" customWidth="1"/>
    <col min="32" max="16384" width="9.140625" style="1"/>
  </cols>
  <sheetData>
    <row r="1" spans="2:31" s="22" customFormat="1" ht="13.5" thickBot="1" x14ac:dyDescent="0.25"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2:31" s="22" customFormat="1" x14ac:dyDescent="0.2">
      <c r="B2" s="17"/>
      <c r="C2" s="16" t="s">
        <v>101</v>
      </c>
      <c r="D2" s="16"/>
      <c r="E2" s="16"/>
      <c r="F2" s="16"/>
      <c r="G2" s="37"/>
      <c r="H2" s="36"/>
      <c r="I2" s="35"/>
      <c r="J2" s="35"/>
      <c r="K2" s="35"/>
      <c r="L2" s="35"/>
      <c r="M2" s="3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s="22" customFormat="1" ht="12.75" customHeight="1" thickBot="1" x14ac:dyDescent="0.25">
      <c r="B3" s="9"/>
      <c r="C3" s="12"/>
      <c r="D3" s="488" t="s">
        <v>1</v>
      </c>
      <c r="E3" s="487" t="s">
        <v>0</v>
      </c>
      <c r="F3" s="12"/>
      <c r="G3" s="33"/>
      <c r="H3" s="486" t="s">
        <v>28</v>
      </c>
      <c r="I3" s="84" t="s">
        <v>27</v>
      </c>
      <c r="J3" s="32"/>
      <c r="K3" s="32"/>
      <c r="L3" s="32"/>
      <c r="M3" s="27"/>
      <c r="O3" s="490" t="s">
        <v>313</v>
      </c>
      <c r="P3" s="491"/>
      <c r="Q3" s="491"/>
      <c r="R3" s="491"/>
      <c r="S3" s="491"/>
      <c r="T3" s="491"/>
      <c r="U3" s="491"/>
      <c r="V3" s="491"/>
      <c r="W3" s="491"/>
      <c r="X3" s="491"/>
      <c r="Y3" s="491"/>
      <c r="Z3" s="491"/>
      <c r="AA3" s="491"/>
      <c r="AB3" s="491"/>
      <c r="AC3" s="491"/>
      <c r="AD3" s="491"/>
      <c r="AE3" s="490"/>
    </row>
    <row r="4" spans="2:31" s="22" customFormat="1" ht="19.5" x14ac:dyDescent="0.4">
      <c r="B4" s="9"/>
      <c r="C4" s="12"/>
      <c r="D4" s="12"/>
      <c r="E4" s="12"/>
      <c r="F4" s="12"/>
      <c r="G4" s="33"/>
      <c r="H4" s="32"/>
      <c r="I4" s="32"/>
      <c r="J4" s="32"/>
      <c r="K4" s="32"/>
      <c r="L4" s="32"/>
      <c r="M4" s="27"/>
      <c r="O4" s="374"/>
      <c r="P4" s="432"/>
      <c r="Q4" s="426"/>
      <c r="R4" s="431" t="str">
        <f>VLOOKUP(Currency,Traits,2,FALSE)</f>
        <v>FSR</v>
      </c>
      <c r="S4" s="430"/>
      <c r="T4" s="429"/>
      <c r="U4" s="429"/>
      <c r="V4" s="426"/>
      <c r="W4" s="426"/>
      <c r="X4" s="428" t="str">
        <f>VLOOKUP(Currency,Traits,3,FALSE)</f>
        <v>Libor</v>
      </c>
      <c r="Y4" s="426"/>
      <c r="Z4" s="426"/>
      <c r="AA4" s="427"/>
      <c r="AB4" s="426"/>
      <c r="AC4" s="426"/>
      <c r="AD4" s="425"/>
      <c r="AE4" s="374"/>
    </row>
    <row r="5" spans="2:31" s="22" customFormat="1" ht="33.75" x14ac:dyDescent="0.2">
      <c r="B5" s="9"/>
      <c r="C5" s="12"/>
      <c r="D5" s="11" t="str">
        <f>UPPER(Currency)&amp;"_RH_YieldTermStructure.xml"</f>
        <v>USD_RH_YieldTermStructure.xml</v>
      </c>
      <c r="E5" s="10" t="str">
        <f>IF(Serialize,_xll.ohObjectSave(E6:E15,SerializationPath&amp;D5,FileOverwrite,,Serialize),"---")</f>
        <v>---</v>
      </c>
      <c r="F5" s="6" t="str">
        <f>_xll.ohRangeRetrieveError(E5)</f>
        <v/>
      </c>
      <c r="G5" s="31" t="s">
        <v>26</v>
      </c>
      <c r="H5" s="29" t="str">
        <f>PROPER(Currency)&amp;FamilyName&amp;".xml"</f>
        <v>UsdLibor.xml</v>
      </c>
      <c r="I5" s="10" t="str">
        <f>IF(Serialize,_xll.ohObjectSave(I6:J13,SerializationPath&amp;FileName,FileOverwrite,,Serialize),"---")</f>
        <v>---</v>
      </c>
      <c r="J5" s="28"/>
      <c r="K5" s="7" t="str">
        <f>_xll.ohRangeRetrieveError(I5)</f>
        <v/>
      </c>
      <c r="L5" s="7" t="str">
        <f>_xll.ohRangeRetrieveError(J5)</f>
        <v/>
      </c>
      <c r="M5" s="27"/>
      <c r="O5" s="374"/>
      <c r="P5" s="403"/>
      <c r="Q5" s="423" t="s">
        <v>26</v>
      </c>
      <c r="R5" s="422" t="str">
        <f>_xll.RData(R6:R12,S5:T5,"RTFEED:IDN",,,S6)</f>
        <v>Paused at 15:28:02</v>
      </c>
      <c r="S5" s="422" t="s">
        <v>295</v>
      </c>
      <c r="T5" s="422" t="s">
        <v>224</v>
      </c>
      <c r="U5" s="422" t="s">
        <v>294</v>
      </c>
      <c r="V5" s="421" t="s">
        <v>293</v>
      </c>
      <c r="W5" s="424"/>
      <c r="X5" s="423" t="s">
        <v>236</v>
      </c>
      <c r="Y5" s="422" t="s">
        <v>292</v>
      </c>
      <c r="Z5" s="422" t="s">
        <v>291</v>
      </c>
      <c r="AA5" s="422" t="s">
        <v>290</v>
      </c>
      <c r="AB5" s="421" t="s">
        <v>289</v>
      </c>
      <c r="AC5" s="420"/>
      <c r="AD5" s="393"/>
      <c r="AE5" s="374"/>
    </row>
    <row r="6" spans="2:31" s="22" customFormat="1" ht="11.25" x14ac:dyDescent="0.2">
      <c r="B6" s="9"/>
      <c r="C6" s="8"/>
      <c r="D6" s="8"/>
      <c r="E6" s="7"/>
      <c r="F6" s="6" t="str">
        <f>_xll.ohRangeRetrieveError(E6)</f>
        <v/>
      </c>
      <c r="G6" s="25" t="s">
        <v>25</v>
      </c>
      <c r="H6" s="26"/>
      <c r="I6" s="23" t="str">
        <f>_xll.qlEonia(G6,E9,Permanent,Trigger,ObjectOverwrite)</f>
        <v>FedFund2#0000</v>
      </c>
      <c r="J6" s="23"/>
      <c r="K6" s="7" t="str">
        <f>_xll.ohRangeRetrieveError(I6)</f>
        <v/>
      </c>
      <c r="L6" s="7" t="str">
        <f>_xll.ohRangeRetrieveError(J6)</f>
        <v/>
      </c>
      <c r="M6" s="27"/>
      <c r="O6" s="374"/>
      <c r="P6" s="403"/>
      <c r="Q6" s="419" t="s">
        <v>194</v>
      </c>
      <c r="R6" s="414" t="str">
        <f t="shared" ref="R6:R12" si="0">Currency&amp;$Q6&amp;$R$4&amp;"="</f>
        <v>USDONFSR=</v>
      </c>
      <c r="S6" s="418">
        <v>41753</v>
      </c>
      <c r="T6" s="417">
        <v>8.8900000000000007E-2</v>
      </c>
      <c r="U6" s="417" t="b">
        <f t="shared" ref="U6:U12" si="1">IF(AND(ISNUMBER($T6),$T6&lt;&gt;0%),TRUE,FALSE)</f>
        <v>1</v>
      </c>
      <c r="V6" s="416" t="b">
        <f>IF($U6,_xll.qlIndexAddFixings($X6,$S6,$T6/100,TRUE,ISERROR($Y6)),NA())</f>
        <v>1</v>
      </c>
      <c r="W6" s="398"/>
      <c r="X6" s="463" t="str">
        <f>I7</f>
        <v>FedFund#0000</v>
      </c>
      <c r="Y6" s="414">
        <f>_xll.qlIndexFixing($X6,$S6,TRUE,$U6)</f>
        <v>1.4000000000091717E-3</v>
      </c>
      <c r="Z6" s="414">
        <f>IF($V6,_xll.qlIndexFixing($X6,$S6,FALSE,$U6),"-")</f>
        <v>8.8900000000000003E-4</v>
      </c>
      <c r="AA6" s="414">
        <f t="shared" ref="AA6:AA12" si="2">Y6-Z6</f>
        <v>5.1100000000917165E-4</v>
      </c>
      <c r="AB6" s="413">
        <f>_xll.qlIndexFixing($X6,$S6,TRUE,$Z6)</f>
        <v>1.4000000000091717E-3</v>
      </c>
      <c r="AC6" s="412">
        <f>IF(ISERROR(AA6),0,ABS(AA6))</f>
        <v>5.1100000000917165E-4</v>
      </c>
      <c r="AD6" s="393"/>
      <c r="AE6" s="374"/>
    </row>
    <row r="7" spans="2:31" s="22" customFormat="1" ht="11.25" x14ac:dyDescent="0.2">
      <c r="B7" s="9"/>
      <c r="C7" s="8"/>
      <c r="D7" s="8"/>
      <c r="E7" s="7"/>
      <c r="F7" s="6" t="str">
        <f>_xll.ohRangeRetrieveError(E7)</f>
        <v/>
      </c>
      <c r="G7" s="25" t="s">
        <v>24</v>
      </c>
      <c r="H7" s="26" t="s">
        <v>24</v>
      </c>
      <c r="I7" s="23" t="str">
        <f>_xll.qlEonia(G7,E9,Permanent,Trigger,ObjectOverwrite)</f>
        <v>FedFund#0000</v>
      </c>
      <c r="J7" s="23" t="str">
        <f>_xll.qlLastFixingQuote(H7&amp;"LastFixing_Quote",I7,Permanent,Trigger,ObjectOverwrite)</f>
        <v>FedFundLastFixing_Quote#0000</v>
      </c>
      <c r="K7" s="7" t="str">
        <f>_xll.ohRangeRetrieveError(I7)</f>
        <v/>
      </c>
      <c r="L7" s="7" t="str">
        <f>_xll.ohRangeRetrieveError(J7)</f>
        <v/>
      </c>
      <c r="M7" s="5"/>
      <c r="O7" s="374"/>
      <c r="P7" s="403"/>
      <c r="Q7" s="411" t="s">
        <v>23</v>
      </c>
      <c r="R7" s="406" t="str">
        <f t="shared" si="0"/>
        <v>USDSWFSR=</v>
      </c>
      <c r="S7" s="410">
        <v>41753</v>
      </c>
      <c r="T7" s="409">
        <v>0.11924999999999999</v>
      </c>
      <c r="U7" s="409" t="b">
        <f t="shared" si="1"/>
        <v>1</v>
      </c>
      <c r="V7" s="408" t="b">
        <f>IF($U7,_xll.qlIndexAddFixings($X7,$S7,$T7/100,TRUE,ISERROR($Y7)),NA())</f>
        <v>1</v>
      </c>
      <c r="W7" s="398"/>
      <c r="X7" s="407" t="str">
        <f t="shared" ref="X7:X12" si="3">I8</f>
        <v>UsdLiborSW#0000</v>
      </c>
      <c r="Y7" s="406">
        <f>_xll.qlIndexFixing($X7,$S7,TRUE,$U7)</f>
        <v>8.6468532205397075E-4</v>
      </c>
      <c r="Z7" s="406">
        <f>IF($V7,_xll.qlIndexFixing($X7,$S7,FALSE,$U7),"-")</f>
        <v>1.1925E-3</v>
      </c>
      <c r="AA7" s="406">
        <f t="shared" si="2"/>
        <v>-3.2781467794602923E-4</v>
      </c>
      <c r="AB7" s="405">
        <f>_xll.qlIndexFixing($X7,$S7,TRUE,$Z7)</f>
        <v>8.6468532205397075E-4</v>
      </c>
      <c r="AC7" s="404">
        <f t="shared" ref="AC7:AC12" si="4">IF(ISERROR(AA7),0,ABS(AA7))</f>
        <v>3.2781467794602923E-4</v>
      </c>
      <c r="AD7" s="393"/>
      <c r="AE7" s="374"/>
    </row>
    <row r="8" spans="2:31" s="22" customFormat="1" ht="11.25" x14ac:dyDescent="0.2">
      <c r="B8" s="9"/>
      <c r="C8" s="8" t="s">
        <v>316</v>
      </c>
      <c r="D8" s="8" t="str">
        <f t="shared" ref="D8:D13" si="5">Currency&amp;C8</f>
        <v>USDSTD</v>
      </c>
      <c r="E8" s="7" t="str">
        <f>_xll.qlRelinkableHandleYieldTermStructure($D8,,Permanent,Trigger,ObjectOverwrite)</f>
        <v>USDSTD#0000</v>
      </c>
      <c r="F8" s="6" t="str">
        <f>_xll.ohRangeRetrieveError(E8)</f>
        <v/>
      </c>
      <c r="G8" s="25" t="s">
        <v>23</v>
      </c>
      <c r="H8" s="24" t="str">
        <f t="shared" ref="H8:H13" si="6">PROPER(Currency)&amp;FamilyName&amp;$G8</f>
        <v>UsdLiborSW</v>
      </c>
      <c r="I8" s="23" t="str">
        <f>_xll.qlLibor($H8,Currency,$G8,E9,Permanent,Trigger,ObjectOverwrite)</f>
        <v>UsdLiborSW#0000</v>
      </c>
      <c r="J8" s="23" t="str">
        <f>_xll.qlLastFixingQuote(H8&amp;"LastFixing_Quote",I8,Permanent,Trigger,ObjectOverwrite)</f>
        <v>UsdLiborSWLastFixing_Quote#0000</v>
      </c>
      <c r="K8" s="7" t="str">
        <f>_xll.ohRangeRetrieveError(I8)</f>
        <v/>
      </c>
      <c r="L8" s="7" t="str">
        <f>_xll.ohRangeRetrieveError(J8)</f>
        <v/>
      </c>
      <c r="M8" s="5"/>
      <c r="O8" s="374"/>
      <c r="P8" s="403"/>
      <c r="Q8" s="411" t="s">
        <v>20</v>
      </c>
      <c r="R8" s="406" t="str">
        <f t="shared" si="0"/>
        <v>USD1MFSR=</v>
      </c>
      <c r="S8" s="410">
        <v>41753</v>
      </c>
      <c r="T8" s="409">
        <v>0.15179999999999999</v>
      </c>
      <c r="U8" s="409" t="b">
        <f t="shared" si="1"/>
        <v>1</v>
      </c>
      <c r="V8" s="408" t="b">
        <f>IF($U8,_xll.qlIndexAddFixings($X8,$S8,$T8/100,TRUE,ISERROR($Y8)),NA())</f>
        <v>1</v>
      </c>
      <c r="W8" s="398"/>
      <c r="X8" s="407" t="str">
        <f t="shared" si="3"/>
        <v>UsdLibor1M#0000</v>
      </c>
      <c r="Y8" s="406">
        <f>_xll.qlIndexFixing($X8,$S8,TRUE,$U8)</f>
        <v>1.509492645980437E-3</v>
      </c>
      <c r="Z8" s="406">
        <f>IF($V8,_xll.qlIndexFixing($X8,$S8,FALSE,$U8),"-")</f>
        <v>1.5179999999999998E-3</v>
      </c>
      <c r="AA8" s="406">
        <f>Y8-Z8</f>
        <v>-8.5073540195628426E-6</v>
      </c>
      <c r="AB8" s="405">
        <f>_xll.qlIndexFixing($X8,$S8,TRUE,$Z8)</f>
        <v>1.509492645980437E-3</v>
      </c>
      <c r="AC8" s="404">
        <f t="shared" si="4"/>
        <v>8.5073540195628426E-6</v>
      </c>
      <c r="AD8" s="393"/>
      <c r="AE8" s="374"/>
    </row>
    <row r="9" spans="2:31" s="22" customFormat="1" ht="11.25" x14ac:dyDescent="0.2">
      <c r="B9" s="9"/>
      <c r="C9" s="8" t="s">
        <v>194</v>
      </c>
      <c r="D9" s="8" t="str">
        <f t="shared" si="5"/>
        <v>USDON</v>
      </c>
      <c r="E9" s="7" t="str">
        <f>_xll.qlRelinkableHandleYieldTermStructure($D9,,Permanent,Trigger,ObjectOverwrite)</f>
        <v>USDON#0000</v>
      </c>
      <c r="F9" s="6" t="str">
        <f>_xll.ohRangeRetrieveError(E9)</f>
        <v/>
      </c>
      <c r="G9" s="25" t="s">
        <v>20</v>
      </c>
      <c r="H9" s="24" t="str">
        <f t="shared" si="6"/>
        <v>UsdLibor1M</v>
      </c>
      <c r="I9" s="23" t="str">
        <f>_xll.qlLibor($H9,Currency,$G9,E10,Permanent,Trigger,ObjectOverwrite)</f>
        <v>UsdLibor1M#0000</v>
      </c>
      <c r="J9" s="23" t="str">
        <f>_xll.qlLastFixingQuote(H9&amp;"LastFixing_Quote",I9,Permanent,Trigger,ObjectOverwrite)</f>
        <v>UsdLibor1MLastFixing_Quote#0000</v>
      </c>
      <c r="K9" s="7" t="str">
        <f>_xll.ohRangeRetrieveError(I9)</f>
        <v/>
      </c>
      <c r="L9" s="7" t="str">
        <f>_xll.ohRangeRetrieveError(J9)</f>
        <v/>
      </c>
      <c r="M9" s="5"/>
      <c r="O9" s="374"/>
      <c r="P9" s="403"/>
      <c r="Q9" s="411" t="s">
        <v>19</v>
      </c>
      <c r="R9" s="406" t="str">
        <f t="shared" si="0"/>
        <v>USD2MFSR=</v>
      </c>
      <c r="S9" s="410">
        <v>41753</v>
      </c>
      <c r="T9" s="409">
        <v>0.19209999999999999</v>
      </c>
      <c r="U9" s="409" t="b">
        <f t="shared" si="1"/>
        <v>1</v>
      </c>
      <c r="V9" s="408" t="b">
        <f>IF($U9,_xll.qlIndexAddFixings($X9,$S9,$T9/100,TRUE,ISERROR($Y9)),NA())</f>
        <v>1</v>
      </c>
      <c r="W9" s="398"/>
      <c r="X9" s="407" t="str">
        <f t="shared" si="3"/>
        <v>UsdLibor2M#0000</v>
      </c>
      <c r="Y9" s="406">
        <f>_xll.qlIndexFixing($X9,$S9,TRUE,$U9)</f>
        <v>1.509606141142531E-3</v>
      </c>
      <c r="Z9" s="406">
        <f>IF($V9,_xll.qlIndexFixing($X9,$S9,FALSE,$U9),"-")</f>
        <v>1.921E-3</v>
      </c>
      <c r="AA9" s="406">
        <f t="shared" si="2"/>
        <v>-4.11393858857469E-4</v>
      </c>
      <c r="AB9" s="405">
        <f>_xll.qlIndexFixing($X9,$S9,TRUE,$Z9)</f>
        <v>1.509606141142531E-3</v>
      </c>
      <c r="AC9" s="404">
        <f t="shared" si="4"/>
        <v>4.11393858857469E-4</v>
      </c>
      <c r="AD9" s="393"/>
      <c r="AE9" s="374"/>
    </row>
    <row r="10" spans="2:31" s="22" customFormat="1" ht="11.25" x14ac:dyDescent="0.2">
      <c r="B10" s="9"/>
      <c r="C10" s="8" t="s">
        <v>20</v>
      </c>
      <c r="D10" s="8" t="str">
        <f t="shared" si="5"/>
        <v>USD1M</v>
      </c>
      <c r="E10" s="7" t="str">
        <f>_xll.qlRelinkableHandleYieldTermStructure($D10,,Permanent,Trigger,ObjectOverwrite)</f>
        <v>USD1M#0000</v>
      </c>
      <c r="F10" s="6" t="str">
        <f>_xll.ohRangeRetrieveError(E10)</f>
        <v/>
      </c>
      <c r="G10" s="25" t="s">
        <v>19</v>
      </c>
      <c r="H10" s="24" t="str">
        <f t="shared" si="6"/>
        <v>UsdLibor2M</v>
      </c>
      <c r="I10" s="23" t="str">
        <f>_xll.qlLibor($H10,Currency,$G10,E10,Permanent,Trigger,ObjectOverwrite)</f>
        <v>UsdLibor2M#0000</v>
      </c>
      <c r="J10" s="23" t="str">
        <f>_xll.qlLastFixingQuote(H10&amp;"LastFixing_Quote",I10,Permanent,Trigger,ObjectOverwrite)</f>
        <v>UsdLibor2MLastFixing_Quote#0000</v>
      </c>
      <c r="K10" s="7" t="str">
        <f>_xll.ohRangeRetrieveError(I10)</f>
        <v/>
      </c>
      <c r="L10" s="7" t="str">
        <f>_xll.ohRangeRetrieveError(J10)</f>
        <v/>
      </c>
      <c r="M10" s="5"/>
      <c r="O10" s="374"/>
      <c r="P10" s="403"/>
      <c r="Q10" s="411" t="s">
        <v>18</v>
      </c>
      <c r="R10" s="406" t="str">
        <f t="shared" si="0"/>
        <v>USD3MFSR=</v>
      </c>
      <c r="S10" s="410">
        <v>41753</v>
      </c>
      <c r="T10" s="409">
        <v>0.22785</v>
      </c>
      <c r="U10" s="409" t="b">
        <f t="shared" si="1"/>
        <v>1</v>
      </c>
      <c r="V10" s="408" t="b">
        <f>IF($U10,_xll.qlIndexAddFixings($X10,$S10,$T10/100,TRUE,ISERROR($Y10)),NA())</f>
        <v>1</v>
      </c>
      <c r="W10" s="398"/>
      <c r="X10" s="407" t="str">
        <f t="shared" si="3"/>
        <v>UsdLibor3M#0000</v>
      </c>
      <c r="Y10" s="406">
        <f>_xll.qlIndexFixing($X10,$S10,TRUE,$U10)</f>
        <v>2.2880000002717333E-3</v>
      </c>
      <c r="Z10" s="406">
        <f>IF($V10,_xll.qlIndexFixing($X10,$S10,FALSE,$U10),"-")</f>
        <v>2.2785000000000001E-3</v>
      </c>
      <c r="AA10" s="406">
        <f t="shared" si="2"/>
        <v>9.5000002717331167E-6</v>
      </c>
      <c r="AB10" s="405">
        <f>_xll.qlIndexFixing($X10,$S10,TRUE,$Z10)</f>
        <v>2.2880000002717333E-3</v>
      </c>
      <c r="AC10" s="404">
        <f t="shared" si="4"/>
        <v>9.5000002717331167E-6</v>
      </c>
      <c r="AD10" s="393"/>
      <c r="AE10" s="374"/>
    </row>
    <row r="11" spans="2:31" s="22" customFormat="1" ht="11.25" x14ac:dyDescent="0.2">
      <c r="B11" s="9"/>
      <c r="C11" s="8" t="s">
        <v>18</v>
      </c>
      <c r="D11" s="8" t="str">
        <f t="shared" si="5"/>
        <v>USD3M</v>
      </c>
      <c r="E11" s="7" t="str">
        <f>_xll.qlRelinkableHandleYieldTermStructure($D11,,Permanent,Trigger,ObjectOverwrite)</f>
        <v>USD3M#0000</v>
      </c>
      <c r="F11" s="6" t="str">
        <f>_xll.ohRangeRetrieveError(E11)</f>
        <v/>
      </c>
      <c r="G11" s="25" t="s">
        <v>18</v>
      </c>
      <c r="H11" s="24" t="str">
        <f t="shared" si="6"/>
        <v>UsdLibor3M</v>
      </c>
      <c r="I11" s="23" t="str">
        <f>_xll.qlLibor($H11,Currency,$G11,E11,Permanent,Trigger,ObjectOverwrite)</f>
        <v>UsdLibor3M#0000</v>
      </c>
      <c r="J11" s="23" t="str">
        <f>_xll.qlLastFixingQuote(H11&amp;"LastFixing_Quote",I11,Permanent,Trigger,ObjectOverwrite)</f>
        <v>UsdLibor3MLastFixing_Quote#0000</v>
      </c>
      <c r="K11" s="7" t="str">
        <f>_xll.ohRangeRetrieveError(I11)</f>
        <v/>
      </c>
      <c r="L11" s="7" t="str">
        <f>_xll.ohRangeRetrieveError(J11)</f>
        <v/>
      </c>
      <c r="M11" s="5"/>
      <c r="O11" s="374"/>
      <c r="P11" s="403"/>
      <c r="Q11" s="411" t="s">
        <v>15</v>
      </c>
      <c r="R11" s="406" t="str">
        <f t="shared" si="0"/>
        <v>USD6MFSR=</v>
      </c>
      <c r="S11" s="410">
        <v>41753</v>
      </c>
      <c r="T11" s="409">
        <v>0.32350000000000001</v>
      </c>
      <c r="U11" s="409" t="b">
        <f t="shared" si="1"/>
        <v>1</v>
      </c>
      <c r="V11" s="408" t="b">
        <f>IF($U11,_xll.qlIndexAddFixings($X11,$S11,$T11/100,TRUE,ISERROR($Y11)),NA())</f>
        <v>1</v>
      </c>
      <c r="W11" s="398"/>
      <c r="X11" s="407" t="str">
        <f t="shared" si="3"/>
        <v>UsdLibor6M#0000</v>
      </c>
      <c r="Y11" s="406">
        <f>_xll.qlIndexFixing($X11,$S11,TRUE,$U11)</f>
        <v>3.2209999999999184E-3</v>
      </c>
      <c r="Z11" s="406">
        <f>IF($V11,_xll.qlIndexFixing($X11,$S11,FALSE,$U11),"-")</f>
        <v>3.235E-3</v>
      </c>
      <c r="AA11" s="406">
        <f t="shared" si="2"/>
        <v>-1.4000000000081655E-5</v>
      </c>
      <c r="AB11" s="405">
        <f>_xll.qlIndexFixing($X11,$S11,TRUE,$Z11)</f>
        <v>3.2209999999999184E-3</v>
      </c>
      <c r="AC11" s="404">
        <f t="shared" si="4"/>
        <v>1.4000000000081655E-5</v>
      </c>
      <c r="AD11" s="393"/>
      <c r="AE11" s="374"/>
    </row>
    <row r="12" spans="2:31" s="22" customFormat="1" ht="11.25" x14ac:dyDescent="0.2">
      <c r="B12" s="9"/>
      <c r="C12" s="8" t="s">
        <v>15</v>
      </c>
      <c r="D12" s="8" t="str">
        <f t="shared" si="5"/>
        <v>USD6M</v>
      </c>
      <c r="E12" s="7" t="str">
        <f>_xll.qlRelinkableHandleYieldTermStructure($D12,,Permanent,Trigger,ObjectOverwrite)</f>
        <v>USD6M#0000</v>
      </c>
      <c r="F12" s="6" t="str">
        <f>_xll.ohRangeRetrieveError(E12)</f>
        <v/>
      </c>
      <c r="G12" s="25" t="s">
        <v>15</v>
      </c>
      <c r="H12" s="24" t="str">
        <f t="shared" si="6"/>
        <v>UsdLibor6M</v>
      </c>
      <c r="I12" s="23" t="str">
        <f>_xll.qlLibor($H12,Currency,$G12,E12,Permanent,Trigger,ObjectOverwrite)</f>
        <v>UsdLibor6M#0000</v>
      </c>
      <c r="J12" s="23" t="str">
        <f>_xll.qlLastFixingQuote(H12&amp;"LastFixing_Quote",I12,Permanent,Trigger,ObjectOverwrite)</f>
        <v>UsdLibor6MLastFixing_Quote#0000</v>
      </c>
      <c r="K12" s="7" t="str">
        <f>_xll.ohRangeRetrieveError(I12)</f>
        <v/>
      </c>
      <c r="L12" s="7" t="str">
        <f>_xll.ohRangeRetrieveError(J12)</f>
        <v/>
      </c>
      <c r="M12" s="5"/>
      <c r="O12" s="374"/>
      <c r="P12" s="403"/>
      <c r="Q12" s="402" t="s">
        <v>9</v>
      </c>
      <c r="R12" s="396" t="str">
        <f t="shared" si="0"/>
        <v>USD1YFSR=</v>
      </c>
      <c r="S12" s="401">
        <v>41753</v>
      </c>
      <c r="T12" s="400">
        <v>0.54949999999999999</v>
      </c>
      <c r="U12" s="400" t="b">
        <f t="shared" si="1"/>
        <v>1</v>
      </c>
      <c r="V12" s="399" t="b">
        <f>IF($U12,_xll.qlIndexAddFixings($X12,$S12,$T12/100,TRUE,ISERROR($Y12)),NA())</f>
        <v>1</v>
      </c>
      <c r="W12" s="398"/>
      <c r="X12" s="397" t="str">
        <f t="shared" si="3"/>
        <v>UsdLibor1Y#0000</v>
      </c>
      <c r="Y12" s="396" t="e">
        <f>_xll.qlIndexFixing($X12,$S12,TRUE,$U12)</f>
        <v>#NUM!</v>
      </c>
      <c r="Z12" s="396">
        <f>IF($V12,_xll.qlIndexFixing($X12,$S12,FALSE,$U12),"-")</f>
        <v>5.4949999999999999E-3</v>
      </c>
      <c r="AA12" s="396" t="e">
        <f t="shared" si="2"/>
        <v>#NUM!</v>
      </c>
      <c r="AB12" s="395" t="e">
        <f>_xll.qlIndexFixing($X12,$S12,TRUE,$Z12)</f>
        <v>#NUM!</v>
      </c>
      <c r="AC12" s="394">
        <f t="shared" si="4"/>
        <v>0</v>
      </c>
      <c r="AD12" s="393"/>
      <c r="AE12" s="374"/>
    </row>
    <row r="13" spans="2:31" s="22" customFormat="1" ht="12" thickBot="1" x14ac:dyDescent="0.25">
      <c r="B13" s="9"/>
      <c r="C13" s="8" t="s">
        <v>9</v>
      </c>
      <c r="D13" s="8" t="str">
        <f t="shared" si="5"/>
        <v>USD1Y</v>
      </c>
      <c r="E13" s="7" t="str">
        <f>_xll.qlRelinkableHandleYieldTermStructure($D13,,Permanent,Trigger,ObjectOverwrite)</f>
        <v>USD1Y#0000</v>
      </c>
      <c r="F13" s="6" t="str">
        <f>_xll.ohRangeRetrieveError(E13)</f>
        <v/>
      </c>
      <c r="G13" s="25" t="s">
        <v>9</v>
      </c>
      <c r="H13" s="24" t="str">
        <f t="shared" si="6"/>
        <v>UsdLibor1Y</v>
      </c>
      <c r="I13" s="23" t="str">
        <f>_xll.qlLibor($H13,Currency,$G13,E13,Permanent,Trigger,ObjectOverwrite)</f>
        <v>UsdLibor1Y#0000</v>
      </c>
      <c r="J13" s="23" t="str">
        <f>_xll.qlLastFixingQuote(H13&amp;"LastFixing_Quote",I13,Permanent,Trigger,ObjectOverwrite)</f>
        <v>UsdLibor1YLastFixing_Quote#0000</v>
      </c>
      <c r="K13" s="7" t="str">
        <f>_xll.ohRangeRetrieveError(I13)</f>
        <v/>
      </c>
      <c r="L13" s="7" t="str">
        <f>_xll.ohRangeRetrieveError(J13)</f>
        <v/>
      </c>
      <c r="M13" s="5"/>
      <c r="O13" s="374"/>
      <c r="P13" s="392"/>
      <c r="Q13" s="389"/>
      <c r="R13" s="389"/>
      <c r="S13" s="391"/>
      <c r="T13" s="390"/>
      <c r="U13" s="390"/>
      <c r="V13" s="389"/>
      <c r="W13" s="389"/>
      <c r="X13" s="389"/>
      <c r="Y13" s="389"/>
      <c r="Z13" s="389"/>
      <c r="AA13" s="389"/>
      <c r="AB13" s="389"/>
      <c r="AC13" s="389"/>
      <c r="AD13" s="388"/>
      <c r="AE13" s="374"/>
    </row>
    <row r="14" spans="2:31" s="22" customFormat="1" ht="12" customHeight="1" thickBot="1" x14ac:dyDescent="0.3">
      <c r="B14" s="9"/>
      <c r="C14" s="489"/>
      <c r="D14" s="489"/>
      <c r="E14" s="489"/>
      <c r="F14" s="489"/>
      <c r="G14" s="12"/>
      <c r="H14" s="12"/>
      <c r="I14" s="12"/>
      <c r="J14" s="12"/>
      <c r="K14" s="12"/>
      <c r="L14" s="12"/>
      <c r="M14" s="5"/>
      <c r="O14" s="374"/>
      <c r="P14" s="374"/>
      <c r="Q14" s="374"/>
      <c r="R14" s="374"/>
      <c r="S14" s="387"/>
      <c r="T14" s="386"/>
      <c r="U14" s="386"/>
      <c r="V14" s="374"/>
      <c r="W14" s="374"/>
      <c r="X14" s="374"/>
      <c r="Y14" s="374"/>
      <c r="Z14" s="374"/>
      <c r="AA14" s="374"/>
      <c r="AB14" s="374"/>
      <c r="AC14" s="374"/>
      <c r="AD14" s="374"/>
      <c r="AE14" s="374"/>
    </row>
    <row r="15" spans="2:31" s="22" customFormat="1" ht="12" customHeight="1" x14ac:dyDescent="0.25">
      <c r="B15" s="9"/>
      <c r="C15" s="489"/>
      <c r="D15" s="489"/>
      <c r="E15" s="489"/>
      <c r="F15" s="489"/>
      <c r="G15" s="12"/>
      <c r="H15" s="12"/>
      <c r="I15" s="12"/>
      <c r="J15" s="12"/>
      <c r="K15" s="12"/>
      <c r="L15" s="12"/>
      <c r="M15" s="5"/>
      <c r="O15" s="374"/>
      <c r="P15" s="374"/>
      <c r="Q15" s="385" t="s">
        <v>110</v>
      </c>
      <c r="R15" s="384" t="s">
        <v>225</v>
      </c>
      <c r="S15" s="383"/>
      <c r="T15" s="382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  <c r="AE15" s="374"/>
    </row>
    <row r="16" spans="2:31" s="22" customFormat="1" ht="12" customHeight="1" x14ac:dyDescent="0.25">
      <c r="B16" s="9"/>
      <c r="C16" s="489"/>
      <c r="D16" s="489"/>
      <c r="E16" s="489"/>
      <c r="F16" s="489"/>
      <c r="G16" s="12"/>
      <c r="H16" s="12"/>
      <c r="I16" s="12"/>
      <c r="J16" s="12"/>
      <c r="K16" s="12"/>
      <c r="L16" s="12"/>
      <c r="M16" s="5"/>
      <c r="O16" s="374"/>
      <c r="P16" s="374"/>
      <c r="Q16" s="380" t="s">
        <v>109</v>
      </c>
      <c r="R16" s="379" t="s">
        <v>225</v>
      </c>
      <c r="S16" s="378"/>
      <c r="T16" s="374"/>
      <c r="U16" s="374"/>
      <c r="V16" s="374"/>
      <c r="W16" s="374"/>
      <c r="X16" s="381"/>
      <c r="Y16" s="374"/>
      <c r="Z16" s="374"/>
      <c r="AA16" s="374"/>
      <c r="AB16" s="374"/>
      <c r="AC16" s="374"/>
      <c r="AD16" s="374"/>
      <c r="AE16" s="374"/>
    </row>
    <row r="17" spans="2:31" s="22" customFormat="1" ht="12" customHeight="1" thickBot="1" x14ac:dyDescent="0.25"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O17" s="374"/>
      <c r="P17" s="374"/>
      <c r="Q17" s="380" t="s">
        <v>288</v>
      </c>
      <c r="R17" s="379" t="s">
        <v>225</v>
      </c>
      <c r="S17" s="378"/>
      <c r="T17" s="374"/>
      <c r="U17" s="374"/>
      <c r="V17" s="374"/>
      <c r="W17" s="374"/>
      <c r="X17" s="381"/>
      <c r="Y17" s="374"/>
      <c r="Z17" s="374"/>
      <c r="AA17" s="374"/>
      <c r="AB17" s="374"/>
      <c r="AC17" s="374"/>
      <c r="AD17" s="374"/>
      <c r="AE17" s="374"/>
    </row>
    <row r="18" spans="2:31" s="22" customFormat="1" x14ac:dyDescent="0.2">
      <c r="G18" s="1"/>
      <c r="H18" s="1"/>
      <c r="I18" s="1"/>
      <c r="J18" s="1"/>
      <c r="K18" s="1"/>
      <c r="L18" s="1"/>
      <c r="M18" s="1"/>
      <c r="O18" s="374"/>
      <c r="P18" s="374"/>
      <c r="Q18" s="380" t="s">
        <v>287</v>
      </c>
      <c r="R18" s="379" t="s">
        <v>225</v>
      </c>
      <c r="S18" s="378" t="s">
        <v>27</v>
      </c>
      <c r="T18" s="374"/>
      <c r="U18" s="374"/>
      <c r="V18" s="374"/>
      <c r="W18" s="374"/>
      <c r="X18" s="381"/>
      <c r="Y18" s="374"/>
      <c r="Z18" s="374"/>
      <c r="AA18" s="374"/>
      <c r="AB18" s="374"/>
      <c r="AC18" s="374"/>
      <c r="AD18" s="374"/>
      <c r="AE18" s="374"/>
    </row>
    <row r="19" spans="2:31" s="22" customFormat="1" x14ac:dyDescent="0.2">
      <c r="G19" s="1"/>
      <c r="H19" s="1"/>
      <c r="I19" s="1"/>
      <c r="J19" s="1"/>
      <c r="K19" s="1"/>
      <c r="L19" s="1"/>
      <c r="M19" s="1"/>
      <c r="O19" s="374"/>
      <c r="P19" s="374"/>
      <c r="Q19" s="380" t="s">
        <v>106</v>
      </c>
      <c r="R19" s="379" t="s">
        <v>225</v>
      </c>
      <c r="S19" s="378" t="s">
        <v>27</v>
      </c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  <c r="AE19" s="374"/>
    </row>
    <row r="20" spans="2:31" s="22" customFormat="1" x14ac:dyDescent="0.2">
      <c r="G20" s="1"/>
      <c r="H20" s="1"/>
      <c r="I20" s="1"/>
      <c r="J20" s="1"/>
      <c r="K20" s="1"/>
      <c r="L20" s="1"/>
      <c r="M20" s="1"/>
      <c r="O20" s="374"/>
      <c r="P20" s="374"/>
      <c r="Q20" s="380" t="s">
        <v>105</v>
      </c>
      <c r="R20" s="379" t="s">
        <v>225</v>
      </c>
      <c r="S20" s="378" t="s">
        <v>27</v>
      </c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</row>
    <row r="21" spans="2:31" s="22" customFormat="1" ht="13.5" thickBot="1" x14ac:dyDescent="0.25">
      <c r="G21" s="1"/>
      <c r="H21" s="1"/>
      <c r="I21" s="1"/>
      <c r="J21" s="1"/>
      <c r="K21" s="1"/>
      <c r="L21" s="1"/>
      <c r="M21" s="1"/>
      <c r="O21" s="374"/>
      <c r="P21" s="374"/>
      <c r="Q21" s="377" t="s">
        <v>100</v>
      </c>
      <c r="R21" s="376" t="s">
        <v>225</v>
      </c>
      <c r="S21" s="375" t="s">
        <v>27</v>
      </c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</row>
    <row r="22" spans="2:31" s="22" customFormat="1" x14ac:dyDescent="0.2">
      <c r="G22" s="1"/>
      <c r="H22" s="1"/>
      <c r="I22" s="1"/>
      <c r="J22" s="1"/>
      <c r="K22" s="1"/>
      <c r="L22" s="1"/>
      <c r="M22" s="1"/>
      <c r="O22" s="374"/>
      <c r="P22" s="490"/>
      <c r="Q22" s="492"/>
      <c r="R22" s="492"/>
      <c r="S22" s="492"/>
      <c r="T22" s="490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</row>
    <row r="23" spans="2:31" s="22" customForma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s="22" customForma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</sheetData>
  <conditionalFormatting sqref="AA6:AA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E17" sqref="E17"/>
    </sheetView>
  </sheetViews>
  <sheetFormatPr defaultRowHeight="11.25" x14ac:dyDescent="0.2"/>
  <cols>
    <col min="1" max="2" width="2.7109375" style="20" customWidth="1"/>
    <col min="3" max="3" width="3.85546875" style="20" bestFit="1" customWidth="1"/>
    <col min="4" max="4" width="8.42578125" style="20" bestFit="1" customWidth="1"/>
    <col min="5" max="5" width="22.7109375" style="20" bestFit="1" customWidth="1"/>
    <col min="6" max="6" width="26.140625" style="20" bestFit="1" customWidth="1"/>
    <col min="7" max="7" width="55" style="20" customWidth="1"/>
    <col min="8" max="11" width="2.7109375" style="20" customWidth="1"/>
    <col min="12" max="13" width="9.140625" style="20"/>
    <col min="14" max="14" width="22.28515625" style="20" bestFit="1" customWidth="1"/>
    <col min="15" max="17" width="9.140625" style="20"/>
    <col min="18" max="18" width="2.7109375" style="20" customWidth="1"/>
    <col min="19" max="19" width="28.5703125" style="20" bestFit="1" customWidth="1"/>
    <col min="20" max="24" width="9.140625" style="20"/>
    <col min="25" max="25" width="2.7109375" style="20" customWidth="1"/>
    <col min="26" max="16384" width="9.140625" style="20"/>
  </cols>
  <sheetData>
    <row r="1" spans="1:25" s="38" customFormat="1" ht="12" thickBot="1" x14ac:dyDescent="0.25">
      <c r="A1" s="38" t="s">
        <v>101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s="38" customFormat="1" x14ac:dyDescent="0.2">
      <c r="B2" s="58"/>
      <c r="C2" s="56"/>
      <c r="D2" s="56"/>
      <c r="E2" s="57"/>
      <c r="F2" s="56"/>
      <c r="G2" s="56"/>
      <c r="H2" s="55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s="38" customFormat="1" x14ac:dyDescent="0.2">
      <c r="B3" s="48"/>
      <c r="C3" s="53"/>
      <c r="D3" s="53"/>
      <c r="E3" s="54" t="s">
        <v>28</v>
      </c>
      <c r="F3" s="50" t="s">
        <v>91</v>
      </c>
      <c r="G3" s="53"/>
      <c r="H3" s="4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s="38" customFormat="1" ht="12" thickBot="1" x14ac:dyDescent="0.25">
      <c r="B4" s="48"/>
      <c r="C4" s="53"/>
      <c r="D4" s="53"/>
      <c r="E4" s="54" t="s">
        <v>90</v>
      </c>
      <c r="F4" s="50" t="s">
        <v>89</v>
      </c>
      <c r="G4" s="53"/>
      <c r="H4" s="49"/>
      <c r="J4" s="448" t="s">
        <v>313</v>
      </c>
      <c r="K4" s="374"/>
      <c r="L4" s="374"/>
      <c r="M4" s="379"/>
      <c r="N4" s="387"/>
      <c r="O4" s="433"/>
      <c r="P4" s="433"/>
      <c r="Q4" s="374"/>
      <c r="R4" s="379"/>
      <c r="S4" s="374"/>
      <c r="T4" s="374"/>
      <c r="U4" s="374"/>
      <c r="V4" s="374"/>
      <c r="W4" s="374"/>
      <c r="X4" s="374"/>
      <c r="Y4" s="374"/>
    </row>
    <row r="5" spans="1:25" s="38" customFormat="1" ht="19.5" x14ac:dyDescent="0.4">
      <c r="B5" s="48"/>
      <c r="C5" s="53"/>
      <c r="D5" s="53"/>
      <c r="E5" s="53"/>
      <c r="F5" s="53"/>
      <c r="G5" s="53"/>
      <c r="H5" s="49"/>
      <c r="J5" s="374"/>
      <c r="K5" s="432"/>
      <c r="L5" s="426"/>
      <c r="M5" s="431" t="str">
        <f>VLOOKUP(Currency,Traits,2,FALSE)</f>
        <v>SFIX</v>
      </c>
      <c r="N5" s="430"/>
      <c r="O5" s="429"/>
      <c r="P5" s="429"/>
      <c r="Q5" s="426"/>
      <c r="R5" s="426"/>
      <c r="S5" s="428" t="str">
        <f>VLOOKUP(Currency,Traits,3,FALSE)</f>
        <v>LiborSwapIsdaFixAm</v>
      </c>
      <c r="T5" s="426"/>
      <c r="U5" s="426"/>
      <c r="V5" s="427">
        <f>MAX(X7:X22)</f>
        <v>0</v>
      </c>
      <c r="W5" s="426"/>
      <c r="X5" s="426"/>
      <c r="Y5" s="425"/>
    </row>
    <row r="6" spans="1:25" s="38" customFormat="1" ht="33.75" x14ac:dyDescent="0.2">
      <c r="B6" s="48"/>
      <c r="C6" s="53"/>
      <c r="D6" s="52" t="s">
        <v>88</v>
      </c>
      <c r="E6" s="51" t="str">
        <f>PROPER(Currency)&amp;FamilyName&amp;FixingType&amp;".xml"</f>
        <v>UsdLiborSwapIsdaFixAm.xml</v>
      </c>
      <c r="F6" s="50" t="str">
        <f>IF(Serialize,_xll.ohObjectSave(F7:F66,SerializationPath&amp;FileName,FileOverwrite,,Serialize),"---")</f>
        <v>---</v>
      </c>
      <c r="G6" s="43" t="str">
        <f>_xll.ohRangeRetrieveError(F6)</f>
        <v/>
      </c>
      <c r="H6" s="49"/>
      <c r="J6" s="374"/>
      <c r="K6" s="403"/>
      <c r="L6" s="423" t="s">
        <v>26</v>
      </c>
      <c r="M6" s="422" t="str">
        <f>_xll.RData(M7:M21,N6:O6,"RTFEED:IDN",,,N7)</f>
        <v>Paused at 15:28:02</v>
      </c>
      <c r="N6" s="422" t="s">
        <v>295</v>
      </c>
      <c r="O6" s="422" t="s">
        <v>301</v>
      </c>
      <c r="P6" s="422" t="s">
        <v>294</v>
      </c>
      <c r="Q6" s="421" t="s">
        <v>293</v>
      </c>
      <c r="R6" s="424"/>
      <c r="S6" s="423" t="s">
        <v>236</v>
      </c>
      <c r="T6" s="422" t="s">
        <v>292</v>
      </c>
      <c r="U6" s="422" t="s">
        <v>291</v>
      </c>
      <c r="V6" s="422" t="s">
        <v>290</v>
      </c>
      <c r="W6" s="421" t="s">
        <v>289</v>
      </c>
      <c r="X6" s="420"/>
      <c r="Y6" s="393"/>
    </row>
    <row r="7" spans="1:25" s="38" customFormat="1" x14ac:dyDescent="0.2">
      <c r="B7" s="48"/>
      <c r="C7" s="47" t="s">
        <v>9</v>
      </c>
      <c r="D7" s="46" t="s">
        <v>18</v>
      </c>
      <c r="E7" s="45" t="str">
        <f t="shared" ref="E7:E38" si="0">PROPER(Currency)&amp;FamilyName&amp;FixingType&amp;$C7</f>
        <v>UsdLiborSwapIsdaFixAm1Y</v>
      </c>
      <c r="F7" s="44" t="str">
        <f>_xll.qlLiborSwap($E7,Currency,FixingType,$C7,Currency&amp;$D7,Discounting,Permanent,Trigger,ObjectOverwrite)</f>
        <v>UsdLiborSwapIsdaFixAm1Y#0000</v>
      </c>
      <c r="G7" s="43" t="str">
        <f>_xll.ohRangeRetrieveError(F7)</f>
        <v/>
      </c>
      <c r="H7" s="42"/>
      <c r="J7" s="374"/>
      <c r="K7" s="403"/>
      <c r="L7" s="419" t="s">
        <v>9</v>
      </c>
      <c r="M7" s="414" t="str">
        <f t="shared" ref="M7:M21" si="1">Currency&amp;$M$5&amp;$L7&amp;"="</f>
        <v>USDSFIX1Y=</v>
      </c>
      <c r="N7" s="418">
        <v>41752</v>
      </c>
      <c r="O7" s="417">
        <v>0.26300000000000001</v>
      </c>
      <c r="P7" s="417" t="b">
        <f t="shared" ref="P7:P21" si="2">IF(AND(ISNUMBER($O7),$O7&lt;&gt;0%),TRUE,FALSE)</f>
        <v>1</v>
      </c>
      <c r="Q7" s="416" t="e">
        <f>IF($P7,_xll.qlIndexAddFixings($S7,$N7,$O7/100,TRUE,ISERROR($T7)),NA())</f>
        <v>#NUM!</v>
      </c>
      <c r="R7" s="398"/>
      <c r="S7" s="415" t="str">
        <f t="shared" ref="S7:S21" si="3">PROPER(Currency)&amp;$S$5&amp;$L7</f>
        <v>UsdLiborSwapIsdaFixAm1Y</v>
      </c>
      <c r="T7" s="414" t="e">
        <f>_xll.qlIndexFixing($S7,$N7,TRUE,$P7)</f>
        <v>#NUM!</v>
      </c>
      <c r="U7" s="414" t="e">
        <f>IF($Q7,_xll.qlIndexFixing($S7,$N7,FALSE,$P7),"-")</f>
        <v>#NUM!</v>
      </c>
      <c r="V7" s="414" t="e">
        <f t="shared" ref="V7:V21" si="4">T7-U7</f>
        <v>#NUM!</v>
      </c>
      <c r="W7" s="413" t="e">
        <f>_xll.qlIndexFixing($S7,$N7,TRUE,$U7)</f>
        <v>#NUM!</v>
      </c>
      <c r="X7" s="437">
        <f t="shared" ref="X7:X21" si="5">IF(ISERROR(V7),0,ABS(V7))</f>
        <v>0</v>
      </c>
      <c r="Y7" s="393"/>
    </row>
    <row r="8" spans="1:25" s="38" customFormat="1" x14ac:dyDescent="0.2">
      <c r="B8" s="48"/>
      <c r="C8" s="47" t="s">
        <v>87</v>
      </c>
      <c r="D8" s="46" t="s">
        <v>18</v>
      </c>
      <c r="E8" s="45" t="str">
        <f t="shared" si="0"/>
        <v>UsdLiborSwapIsdaFixAm2Y</v>
      </c>
      <c r="F8" s="44" t="str">
        <f>_xll.qlLiborSwap($E8,Currency,FixingType,$C8,Currency&amp;$D8,Discounting,Permanent,Trigger,ObjectOverwrite)</f>
        <v>UsdLiborSwapIsdaFixAm2Y#0001</v>
      </c>
      <c r="G8" s="43" t="str">
        <f>_xll.ohRangeRetrieveError(F8)</f>
        <v/>
      </c>
      <c r="H8" s="42"/>
      <c r="J8" s="374"/>
      <c r="K8" s="403"/>
      <c r="L8" s="411" t="s">
        <v>87</v>
      </c>
      <c r="M8" s="406" t="str">
        <f t="shared" si="1"/>
        <v>USDSFIX2Y=</v>
      </c>
      <c r="N8" s="410">
        <v>41752</v>
      </c>
      <c r="O8" s="409">
        <v>0.53600000000000003</v>
      </c>
      <c r="P8" s="409" t="b">
        <f t="shared" si="2"/>
        <v>1</v>
      </c>
      <c r="Q8" s="408" t="e">
        <f>IF($P8,_xll.qlIndexAddFixings($S8,$N8,$O8/100,TRUE,ISERROR($T8)),NA())</f>
        <v>#NUM!</v>
      </c>
      <c r="R8" s="398"/>
      <c r="S8" s="407" t="str">
        <f t="shared" si="3"/>
        <v>UsdLiborSwapIsdaFixAm2Y</v>
      </c>
      <c r="T8" s="406" t="e">
        <f>_xll.qlIndexFixing($S8,$N8,TRUE,$P8)</f>
        <v>#NUM!</v>
      </c>
      <c r="U8" s="406" t="e">
        <f>IF($Q8,_xll.qlIndexFixing($S8,$N8,FALSE,$P8),"-")</f>
        <v>#NUM!</v>
      </c>
      <c r="V8" s="406" t="e">
        <f t="shared" si="4"/>
        <v>#NUM!</v>
      </c>
      <c r="W8" s="405" t="e">
        <f>_xll.qlIndexFixing($S8,$N8,TRUE,$U8)</f>
        <v>#NUM!</v>
      </c>
      <c r="X8" s="437">
        <f t="shared" si="5"/>
        <v>0</v>
      </c>
      <c r="Y8" s="393"/>
    </row>
    <row r="9" spans="1:25" s="38" customFormat="1" x14ac:dyDescent="0.2">
      <c r="B9" s="48"/>
      <c r="C9" s="47" t="s">
        <v>86</v>
      </c>
      <c r="D9" s="46" t="s">
        <v>18</v>
      </c>
      <c r="E9" s="45" t="str">
        <f t="shared" si="0"/>
        <v>UsdLiborSwapIsdaFixAm3Y</v>
      </c>
      <c r="F9" s="44" t="str">
        <f>_xll.qlLiborSwap($E9,Currency,FixingType,$C9,Currency&amp;$D9,Discounting,Permanent,Trigger,ObjectOverwrite)</f>
        <v>UsdLiborSwapIsdaFixAm3Y#0001</v>
      </c>
      <c r="G9" s="43" t="str">
        <f>_xll.ohRangeRetrieveError(F9)</f>
        <v/>
      </c>
      <c r="H9" s="42"/>
      <c r="J9" s="374"/>
      <c r="K9" s="403"/>
      <c r="L9" s="411" t="s">
        <v>86</v>
      </c>
      <c r="M9" s="406" t="str">
        <f t="shared" si="1"/>
        <v>USDSFIX3Y=</v>
      </c>
      <c r="N9" s="410">
        <v>41752</v>
      </c>
      <c r="O9" s="409">
        <v>0.995</v>
      </c>
      <c r="P9" s="409" t="b">
        <f t="shared" si="2"/>
        <v>1</v>
      </c>
      <c r="Q9" s="408" t="e">
        <f>IF($P9,_xll.qlIndexAddFixings($S9,$N9,$O9/100,TRUE,ISERROR($T9)),NA())</f>
        <v>#NUM!</v>
      </c>
      <c r="R9" s="398"/>
      <c r="S9" s="407" t="str">
        <f t="shared" si="3"/>
        <v>UsdLiborSwapIsdaFixAm3Y</v>
      </c>
      <c r="T9" s="406" t="e">
        <f>_xll.qlIndexFixing($S9,$N9,TRUE,$P9)</f>
        <v>#NUM!</v>
      </c>
      <c r="U9" s="406" t="e">
        <f>IF($Q9,_xll.qlIndexFixing($S9,$N9,FALSE,$P9),"-")</f>
        <v>#NUM!</v>
      </c>
      <c r="V9" s="406" t="e">
        <f t="shared" si="4"/>
        <v>#NUM!</v>
      </c>
      <c r="W9" s="405" t="e">
        <f>_xll.qlIndexFixing($S9,$N9,TRUE,$U9)</f>
        <v>#NUM!</v>
      </c>
      <c r="X9" s="437">
        <f t="shared" si="5"/>
        <v>0</v>
      </c>
      <c r="Y9" s="393"/>
    </row>
    <row r="10" spans="1:25" s="38" customFormat="1" x14ac:dyDescent="0.2">
      <c r="B10" s="48"/>
      <c r="C10" s="47" t="s">
        <v>85</v>
      </c>
      <c r="D10" s="46" t="s">
        <v>18</v>
      </c>
      <c r="E10" s="45" t="str">
        <f t="shared" si="0"/>
        <v>UsdLiborSwapIsdaFixAm4Y</v>
      </c>
      <c r="F10" s="44" t="str">
        <f>_xll.qlLiborSwap($E10,Currency,FixingType,$C10,Currency&amp;$D10,Discounting,Permanent,Trigger,ObjectOverwrite)</f>
        <v>UsdLiborSwapIsdaFixAm4Y#0001</v>
      </c>
      <c r="G10" s="43" t="str">
        <f>_xll.ohRangeRetrieveError(F10)</f>
        <v/>
      </c>
      <c r="H10" s="42"/>
      <c r="J10" s="374"/>
      <c r="K10" s="403"/>
      <c r="L10" s="411" t="s">
        <v>85</v>
      </c>
      <c r="M10" s="406" t="str">
        <f t="shared" si="1"/>
        <v>USDSFIX4Y=</v>
      </c>
      <c r="N10" s="410">
        <v>41752</v>
      </c>
      <c r="O10" s="409">
        <v>1.4330000000000001</v>
      </c>
      <c r="P10" s="409" t="b">
        <f t="shared" si="2"/>
        <v>1</v>
      </c>
      <c r="Q10" s="408" t="e">
        <f>IF($P10,_xll.qlIndexAddFixings($S10,$N10,$O10/100,TRUE,ISERROR($T10)),NA())</f>
        <v>#NUM!</v>
      </c>
      <c r="R10" s="398"/>
      <c r="S10" s="407" t="str">
        <f t="shared" si="3"/>
        <v>UsdLiborSwapIsdaFixAm4Y</v>
      </c>
      <c r="T10" s="406" t="e">
        <f>_xll.qlIndexFixing($S10,$N10,TRUE,$P10)</f>
        <v>#NUM!</v>
      </c>
      <c r="U10" s="406" t="e">
        <f>IF($Q10,_xll.qlIndexFixing($S10,$N10,FALSE,$P10),"-")</f>
        <v>#NUM!</v>
      </c>
      <c r="V10" s="406" t="e">
        <f t="shared" si="4"/>
        <v>#NUM!</v>
      </c>
      <c r="W10" s="405" t="e">
        <f>_xll.qlIndexFixing($S10,$N10,TRUE,$U10)</f>
        <v>#NUM!</v>
      </c>
      <c r="X10" s="437">
        <f t="shared" si="5"/>
        <v>0</v>
      </c>
      <c r="Y10" s="393"/>
    </row>
    <row r="11" spans="1:25" s="38" customFormat="1" x14ac:dyDescent="0.2">
      <c r="B11" s="48"/>
      <c r="C11" s="47" t="s">
        <v>84</v>
      </c>
      <c r="D11" s="46" t="s">
        <v>18</v>
      </c>
      <c r="E11" s="45" t="str">
        <f t="shared" si="0"/>
        <v>UsdLiborSwapIsdaFixAm5Y</v>
      </c>
      <c r="F11" s="44" t="str">
        <f>_xll.qlLiborSwap($E11,Currency,FixingType,$C11,Currency&amp;$D11,Discounting,Permanent,Trigger,ObjectOverwrite)</f>
        <v>UsdLiborSwapIsdaFixAm5Y#0001</v>
      </c>
      <c r="G11" s="43" t="str">
        <f>_xll.ohRangeRetrieveError(F11)</f>
        <v/>
      </c>
      <c r="H11" s="42"/>
      <c r="J11" s="374"/>
      <c r="K11" s="403"/>
      <c r="L11" s="411" t="s">
        <v>84</v>
      </c>
      <c r="M11" s="406" t="str">
        <f t="shared" si="1"/>
        <v>USDSFIX5Y=</v>
      </c>
      <c r="N11" s="410">
        <v>41752</v>
      </c>
      <c r="O11" s="409">
        <v>1.7989999999999999</v>
      </c>
      <c r="P11" s="409" t="b">
        <f t="shared" si="2"/>
        <v>1</v>
      </c>
      <c r="Q11" s="408" t="e">
        <f>IF($P11,_xll.qlIndexAddFixings($S11,$N11,$O11/100,TRUE,ISERROR($T11)),NA())</f>
        <v>#NUM!</v>
      </c>
      <c r="R11" s="398"/>
      <c r="S11" s="407" t="str">
        <f t="shared" si="3"/>
        <v>UsdLiborSwapIsdaFixAm5Y</v>
      </c>
      <c r="T11" s="406" t="e">
        <f>_xll.qlIndexFixing($S11,$N11,TRUE,$P11)</f>
        <v>#NUM!</v>
      </c>
      <c r="U11" s="406" t="e">
        <f>IF($Q11,_xll.qlIndexFixing($S11,$N11,FALSE,$P11),"-")</f>
        <v>#NUM!</v>
      </c>
      <c r="V11" s="406" t="e">
        <f t="shared" si="4"/>
        <v>#NUM!</v>
      </c>
      <c r="W11" s="405" t="e">
        <f>_xll.qlIndexFixing($S11,$N11,TRUE,$U11)</f>
        <v>#NUM!</v>
      </c>
      <c r="X11" s="437">
        <f t="shared" si="5"/>
        <v>0</v>
      </c>
      <c r="Y11" s="393"/>
    </row>
    <row r="12" spans="1:25" s="38" customFormat="1" x14ac:dyDescent="0.2">
      <c r="B12" s="48"/>
      <c r="C12" s="47" t="s">
        <v>83</v>
      </c>
      <c r="D12" s="46" t="s">
        <v>18</v>
      </c>
      <c r="E12" s="45" t="str">
        <f t="shared" si="0"/>
        <v>UsdLiborSwapIsdaFixAm6Y</v>
      </c>
      <c r="F12" s="44" t="str">
        <f>_xll.qlLiborSwap($E12,Currency,FixingType,$C12,Currency&amp;$D12,Discounting,Permanent,Trigger,ObjectOverwrite)</f>
        <v>UsdLiborSwapIsdaFixAm6Y#0001</v>
      </c>
      <c r="G12" s="43" t="str">
        <f>_xll.ohRangeRetrieveError(F12)</f>
        <v/>
      </c>
      <c r="H12" s="42"/>
      <c r="J12" s="374"/>
      <c r="K12" s="403"/>
      <c r="L12" s="411" t="s">
        <v>83</v>
      </c>
      <c r="M12" s="406" t="str">
        <f t="shared" si="1"/>
        <v>USDSFIX6Y=</v>
      </c>
      <c r="N12" s="410">
        <v>41752</v>
      </c>
      <c r="O12" s="409">
        <v>2.0960000000000001</v>
      </c>
      <c r="P12" s="409" t="b">
        <f t="shared" si="2"/>
        <v>1</v>
      </c>
      <c r="Q12" s="408" t="e">
        <f>IF($P12,_xll.qlIndexAddFixings($S12,$N12,$O12/100,TRUE,ISERROR($T12)),NA())</f>
        <v>#NUM!</v>
      </c>
      <c r="R12" s="398"/>
      <c r="S12" s="407" t="str">
        <f t="shared" si="3"/>
        <v>UsdLiborSwapIsdaFixAm6Y</v>
      </c>
      <c r="T12" s="406" t="e">
        <f>_xll.qlIndexFixing($S12,$N12,TRUE,$P12)</f>
        <v>#NUM!</v>
      </c>
      <c r="U12" s="406" t="e">
        <f>IF($Q12,_xll.qlIndexFixing($S12,$N12,FALSE,$P12),"-")</f>
        <v>#NUM!</v>
      </c>
      <c r="V12" s="406" t="e">
        <f t="shared" si="4"/>
        <v>#NUM!</v>
      </c>
      <c r="W12" s="405" t="e">
        <f>_xll.qlIndexFixing($S12,$N12,TRUE,$U12)</f>
        <v>#NUM!</v>
      </c>
      <c r="X12" s="437">
        <f t="shared" si="5"/>
        <v>0</v>
      </c>
      <c r="Y12" s="393"/>
    </row>
    <row r="13" spans="1:25" s="38" customFormat="1" x14ac:dyDescent="0.2">
      <c r="B13" s="48"/>
      <c r="C13" s="47" t="s">
        <v>82</v>
      </c>
      <c r="D13" s="46" t="s">
        <v>18</v>
      </c>
      <c r="E13" s="45" t="str">
        <f t="shared" si="0"/>
        <v>UsdLiborSwapIsdaFixAm7Y</v>
      </c>
      <c r="F13" s="44" t="str">
        <f>_xll.qlLiborSwap($E13,Currency,FixingType,$C13,Currency&amp;$D13,Discounting,Permanent,Trigger,ObjectOverwrite)</f>
        <v>UsdLiborSwapIsdaFixAm7Y#0001</v>
      </c>
      <c r="G13" s="43" t="str">
        <f>_xll.ohRangeRetrieveError(F13)</f>
        <v/>
      </c>
      <c r="H13" s="42"/>
      <c r="J13" s="374"/>
      <c r="K13" s="403"/>
      <c r="L13" s="411" t="s">
        <v>82</v>
      </c>
      <c r="M13" s="406" t="str">
        <f t="shared" si="1"/>
        <v>USDSFIX7Y=</v>
      </c>
      <c r="N13" s="410">
        <v>41752</v>
      </c>
      <c r="O13" s="409">
        <v>2.3290000000000002</v>
      </c>
      <c r="P13" s="409" t="b">
        <f t="shared" si="2"/>
        <v>1</v>
      </c>
      <c r="Q13" s="408" t="e">
        <f>IF($P13,_xll.qlIndexAddFixings($S13,$N13,$O13/100,TRUE,ISERROR($T13)),NA())</f>
        <v>#NUM!</v>
      </c>
      <c r="R13" s="398"/>
      <c r="S13" s="407" t="str">
        <f t="shared" si="3"/>
        <v>UsdLiborSwapIsdaFixAm7Y</v>
      </c>
      <c r="T13" s="406" t="e">
        <f>_xll.qlIndexFixing($S13,$N13,TRUE,$P13)</f>
        <v>#NUM!</v>
      </c>
      <c r="U13" s="406" t="e">
        <f>IF($Q13,_xll.qlIndexFixing($S13,$N13,FALSE,$P13),"-")</f>
        <v>#NUM!</v>
      </c>
      <c r="V13" s="406" t="e">
        <f t="shared" si="4"/>
        <v>#NUM!</v>
      </c>
      <c r="W13" s="405" t="e">
        <f>_xll.qlIndexFixing($S13,$N13,TRUE,$U13)</f>
        <v>#NUM!</v>
      </c>
      <c r="X13" s="437">
        <f t="shared" si="5"/>
        <v>0</v>
      </c>
      <c r="Y13" s="393"/>
    </row>
    <row r="14" spans="1:25" s="38" customFormat="1" x14ac:dyDescent="0.2">
      <c r="B14" s="48"/>
      <c r="C14" s="47" t="s">
        <v>81</v>
      </c>
      <c r="D14" s="46" t="s">
        <v>18</v>
      </c>
      <c r="E14" s="45" t="str">
        <f t="shared" si="0"/>
        <v>UsdLiborSwapIsdaFixAm8Y</v>
      </c>
      <c r="F14" s="44" t="str">
        <f>_xll.qlLiborSwap($E14,Currency,FixingType,$C14,Currency&amp;$D14,Discounting,Permanent,Trigger,ObjectOverwrite)</f>
        <v>UsdLiborSwapIsdaFixAm8Y#0001</v>
      </c>
      <c r="G14" s="43" t="str">
        <f>_xll.ohRangeRetrieveError(F14)</f>
        <v/>
      </c>
      <c r="H14" s="42"/>
      <c r="J14" s="374"/>
      <c r="K14" s="403"/>
      <c r="L14" s="411" t="s">
        <v>81</v>
      </c>
      <c r="M14" s="406" t="str">
        <f t="shared" si="1"/>
        <v>USDSFIX8Y=</v>
      </c>
      <c r="N14" s="410">
        <v>41752</v>
      </c>
      <c r="O14" s="409">
        <v>2.5150000000000001</v>
      </c>
      <c r="P14" s="409" t="b">
        <f t="shared" si="2"/>
        <v>1</v>
      </c>
      <c r="Q14" s="408" t="e">
        <f>IF($P14,_xll.qlIndexAddFixings($S14,$N14,$O14/100,TRUE,ISERROR($T14)),NA())</f>
        <v>#NUM!</v>
      </c>
      <c r="R14" s="398"/>
      <c r="S14" s="407" t="str">
        <f t="shared" si="3"/>
        <v>UsdLiborSwapIsdaFixAm8Y</v>
      </c>
      <c r="T14" s="406" t="e">
        <f>_xll.qlIndexFixing($S14,$N14,TRUE,$P14)</f>
        <v>#NUM!</v>
      </c>
      <c r="U14" s="406" t="e">
        <f>IF($Q14,_xll.qlIndexFixing($S14,$N14,FALSE,$P14),"-")</f>
        <v>#NUM!</v>
      </c>
      <c r="V14" s="406" t="e">
        <f t="shared" si="4"/>
        <v>#NUM!</v>
      </c>
      <c r="W14" s="405" t="e">
        <f>_xll.qlIndexFixing($S14,$N14,TRUE,$U14)</f>
        <v>#NUM!</v>
      </c>
      <c r="X14" s="437">
        <f t="shared" si="5"/>
        <v>0</v>
      </c>
      <c r="Y14" s="393"/>
    </row>
    <row r="15" spans="1:25" s="38" customFormat="1" x14ac:dyDescent="0.2">
      <c r="B15" s="48"/>
      <c r="C15" s="47" t="s">
        <v>80</v>
      </c>
      <c r="D15" s="46" t="s">
        <v>18</v>
      </c>
      <c r="E15" s="45" t="str">
        <f t="shared" si="0"/>
        <v>UsdLiborSwapIsdaFixAm9Y</v>
      </c>
      <c r="F15" s="44" t="str">
        <f>_xll.qlLiborSwap($E15,Currency,FixingType,$C15,Currency&amp;$D15,Discounting,Permanent,Trigger,ObjectOverwrite)</f>
        <v>UsdLiborSwapIsdaFixAm9Y#0001</v>
      </c>
      <c r="G15" s="43" t="str">
        <f>_xll.ohRangeRetrieveError(F15)</f>
        <v/>
      </c>
      <c r="H15" s="42"/>
      <c r="J15" s="374"/>
      <c r="K15" s="403"/>
      <c r="L15" s="411" t="s">
        <v>80</v>
      </c>
      <c r="M15" s="406" t="str">
        <f t="shared" si="1"/>
        <v>USDSFIX9Y=</v>
      </c>
      <c r="N15" s="410">
        <v>41752</v>
      </c>
      <c r="O15" s="409">
        <v>2.6680000000000001</v>
      </c>
      <c r="P15" s="409" t="b">
        <f t="shared" si="2"/>
        <v>1</v>
      </c>
      <c r="Q15" s="408" t="e">
        <f>IF($P15,_xll.qlIndexAddFixings($S15,$N15,$O15/100,TRUE,ISERROR($T15)),NA())</f>
        <v>#NUM!</v>
      </c>
      <c r="R15" s="398"/>
      <c r="S15" s="407" t="str">
        <f t="shared" si="3"/>
        <v>UsdLiborSwapIsdaFixAm9Y</v>
      </c>
      <c r="T15" s="406" t="e">
        <f>_xll.qlIndexFixing($S15,$N15,TRUE,$P15)</f>
        <v>#NUM!</v>
      </c>
      <c r="U15" s="406" t="e">
        <f>IF($Q15,_xll.qlIndexFixing($S15,$N15,FALSE,$P15),"-")</f>
        <v>#NUM!</v>
      </c>
      <c r="V15" s="406" t="e">
        <f t="shared" si="4"/>
        <v>#NUM!</v>
      </c>
      <c r="W15" s="405" t="e">
        <f>_xll.qlIndexFixing($S15,$N15,TRUE,$U15)</f>
        <v>#NUM!</v>
      </c>
      <c r="X15" s="437">
        <f t="shared" si="5"/>
        <v>0</v>
      </c>
      <c r="Y15" s="393"/>
    </row>
    <row r="16" spans="1:25" s="38" customFormat="1" x14ac:dyDescent="0.2">
      <c r="B16" s="48"/>
      <c r="C16" s="47" t="s">
        <v>79</v>
      </c>
      <c r="D16" s="46" t="s">
        <v>18</v>
      </c>
      <c r="E16" s="45" t="str">
        <f t="shared" si="0"/>
        <v>UsdLiborSwapIsdaFixAm10Y</v>
      </c>
      <c r="F16" s="44" t="str">
        <f>_xll.qlLiborSwap($E16,Currency,FixingType,$C16,Currency&amp;$D16,Discounting,Permanent,Trigger,ObjectOverwrite)</f>
        <v>UsdLiborSwapIsdaFixAm10Y#0001</v>
      </c>
      <c r="G16" s="43" t="str">
        <f>_xll.ohRangeRetrieveError(F16)</f>
        <v/>
      </c>
      <c r="H16" s="42"/>
      <c r="J16" s="374"/>
      <c r="K16" s="403"/>
      <c r="L16" s="411" t="s">
        <v>79</v>
      </c>
      <c r="M16" s="406" t="str">
        <f t="shared" si="1"/>
        <v>USDSFIX10Y=</v>
      </c>
      <c r="N16" s="410">
        <v>41752</v>
      </c>
      <c r="O16" s="409">
        <v>2.7959999999999998</v>
      </c>
      <c r="P16" s="409" t="b">
        <f t="shared" si="2"/>
        <v>1</v>
      </c>
      <c r="Q16" s="408" t="e">
        <f>IF($P16,_xll.qlIndexAddFixings($S16,$N16,$O16/100,TRUE,ISERROR($T16)),NA())</f>
        <v>#NUM!</v>
      </c>
      <c r="R16" s="398"/>
      <c r="S16" s="407" t="str">
        <f t="shared" si="3"/>
        <v>UsdLiborSwapIsdaFixAm10Y</v>
      </c>
      <c r="T16" s="406" t="e">
        <f>_xll.qlIndexFixing($S16,$N16,TRUE,$P16)</f>
        <v>#NUM!</v>
      </c>
      <c r="U16" s="406" t="e">
        <f>IF($Q16,_xll.qlIndexFixing($S16,$N16,FALSE,$P16),"-")</f>
        <v>#NUM!</v>
      </c>
      <c r="V16" s="406" t="e">
        <f t="shared" si="4"/>
        <v>#NUM!</v>
      </c>
      <c r="W16" s="405" t="e">
        <f>_xll.qlIndexFixing($S16,$N16,TRUE,$U16)</f>
        <v>#NUM!</v>
      </c>
      <c r="X16" s="437">
        <f t="shared" si="5"/>
        <v>0</v>
      </c>
      <c r="Y16" s="393"/>
    </row>
    <row r="17" spans="2:25" s="38" customFormat="1" x14ac:dyDescent="0.2">
      <c r="B17" s="48"/>
      <c r="C17" s="47" t="s">
        <v>78</v>
      </c>
      <c r="D17" s="46" t="s">
        <v>18</v>
      </c>
      <c r="E17" s="45" t="str">
        <f t="shared" si="0"/>
        <v>UsdLiborSwapIsdaFixAm11Y</v>
      </c>
      <c r="F17" s="44" t="str">
        <f>_xll.qlLiborSwap($E17,Currency,FixingType,$C17,Currency&amp;$D17,Discounting,Permanent,Trigger,ObjectOverwrite)</f>
        <v>UsdLiborSwapIsdaFixAm11Y#0001</v>
      </c>
      <c r="G17" s="43" t="str">
        <f>_xll.ohRangeRetrieveError(F17)</f>
        <v/>
      </c>
      <c r="H17" s="42"/>
      <c r="J17" s="374"/>
      <c r="K17" s="403"/>
      <c r="L17" s="411" t="s">
        <v>77</v>
      </c>
      <c r="M17" s="406" t="str">
        <f t="shared" si="1"/>
        <v>USDSFIX12Y=</v>
      </c>
      <c r="N17" s="410" t="s">
        <v>219</v>
      </c>
      <c r="O17" s="409" t="s">
        <v>219</v>
      </c>
      <c r="P17" s="409" t="b">
        <f t="shared" si="2"/>
        <v>0</v>
      </c>
      <c r="Q17" s="408" t="e">
        <f>IF($P17,_xll.qlIndexAddFixings($S17,$N17,$O17/100,TRUE,ISERROR($T17)),NA())</f>
        <v>#N/A</v>
      </c>
      <c r="R17" s="398"/>
      <c r="S17" s="407" t="str">
        <f t="shared" si="3"/>
        <v>UsdLiborSwapIsdaFixAm12Y</v>
      </c>
      <c r="T17" s="406" t="e">
        <f>_xll.qlIndexFixing($S17,$N17,TRUE,$P17)</f>
        <v>#NUM!</v>
      </c>
      <c r="U17" s="406" t="e">
        <f>IF($Q17,_xll.qlIndexFixing($S17,$N17,FALSE,$P17),"-")</f>
        <v>#N/A</v>
      </c>
      <c r="V17" s="406" t="e">
        <f t="shared" si="4"/>
        <v>#NUM!</v>
      </c>
      <c r="W17" s="405" t="e">
        <f>_xll.qlIndexFixing($S17,$N17,TRUE,$U17)</f>
        <v>#NUM!</v>
      </c>
      <c r="X17" s="437">
        <f t="shared" si="5"/>
        <v>0</v>
      </c>
      <c r="Y17" s="393"/>
    </row>
    <row r="18" spans="2:25" s="38" customFormat="1" x14ac:dyDescent="0.2">
      <c r="B18" s="48"/>
      <c r="C18" s="47" t="s">
        <v>77</v>
      </c>
      <c r="D18" s="46" t="s">
        <v>18</v>
      </c>
      <c r="E18" s="45" t="str">
        <f t="shared" si="0"/>
        <v>UsdLiborSwapIsdaFixAm12Y</v>
      </c>
      <c r="F18" s="44" t="str">
        <f>_xll.qlLiborSwap($E18,Currency,FixingType,$C18,Currency&amp;$D18,Discounting,Permanent,Trigger,ObjectOverwrite)</f>
        <v>UsdLiborSwapIsdaFixAm12Y#0001</v>
      </c>
      <c r="G18" s="43" t="str">
        <f>_xll.ohRangeRetrieveError(F18)</f>
        <v/>
      </c>
      <c r="H18" s="42"/>
      <c r="J18" s="374"/>
      <c r="K18" s="403"/>
      <c r="L18" s="411" t="s">
        <v>74</v>
      </c>
      <c r="M18" s="406" t="str">
        <f t="shared" si="1"/>
        <v>USDSFIX15Y=</v>
      </c>
      <c r="N18" s="410">
        <v>41752</v>
      </c>
      <c r="O18" s="409">
        <v>3.1960000000000002</v>
      </c>
      <c r="P18" s="409" t="b">
        <f t="shared" si="2"/>
        <v>1</v>
      </c>
      <c r="Q18" s="408" t="e">
        <f>IF($P18,_xll.qlIndexAddFixings($S18,$N18,$O18/100,TRUE,ISERROR($T18)),NA())</f>
        <v>#NUM!</v>
      </c>
      <c r="R18" s="398"/>
      <c r="S18" s="407" t="str">
        <f t="shared" si="3"/>
        <v>UsdLiborSwapIsdaFixAm15Y</v>
      </c>
      <c r="T18" s="406" t="e">
        <f>_xll.qlIndexFixing($S18,$N18,TRUE,$P18)</f>
        <v>#NUM!</v>
      </c>
      <c r="U18" s="406" t="e">
        <f>IF($Q18,_xll.qlIndexFixing($S18,$N18,FALSE,$P18),"-")</f>
        <v>#NUM!</v>
      </c>
      <c r="V18" s="406" t="e">
        <f t="shared" si="4"/>
        <v>#NUM!</v>
      </c>
      <c r="W18" s="405" t="e">
        <f>_xll.qlIndexFixing($S18,$N18,TRUE,$U18)</f>
        <v>#NUM!</v>
      </c>
      <c r="X18" s="437">
        <f t="shared" si="5"/>
        <v>0</v>
      </c>
      <c r="Y18" s="393"/>
    </row>
    <row r="19" spans="2:25" s="38" customFormat="1" x14ac:dyDescent="0.2">
      <c r="B19" s="48"/>
      <c r="C19" s="47" t="s">
        <v>76</v>
      </c>
      <c r="D19" s="46" t="s">
        <v>18</v>
      </c>
      <c r="E19" s="45" t="str">
        <f t="shared" si="0"/>
        <v>UsdLiborSwapIsdaFixAm13Y</v>
      </c>
      <c r="F19" s="44" t="str">
        <f>_xll.qlLiborSwap($E19,Currency,FixingType,$C19,Currency&amp;$D19,Discounting,Permanent,Trigger,ObjectOverwrite)</f>
        <v>UsdLiborSwapIsdaFixAm13Y#0001</v>
      </c>
      <c r="G19" s="43" t="str">
        <f>_xll.ohRangeRetrieveError(F19)</f>
        <v/>
      </c>
      <c r="H19" s="42"/>
      <c r="J19" s="374"/>
      <c r="K19" s="403"/>
      <c r="L19" s="411" t="s">
        <v>69</v>
      </c>
      <c r="M19" s="406" t="str">
        <f t="shared" si="1"/>
        <v>USDSFIX20Y=</v>
      </c>
      <c r="N19" s="410">
        <v>41752</v>
      </c>
      <c r="O19" s="409">
        <v>3.3660000000000001</v>
      </c>
      <c r="P19" s="409" t="b">
        <f t="shared" si="2"/>
        <v>1</v>
      </c>
      <c r="Q19" s="408" t="e">
        <f>IF($P19,_xll.qlIndexAddFixings($S19,$N19,$O19/100,TRUE,ISERROR($T19)),NA())</f>
        <v>#NUM!</v>
      </c>
      <c r="R19" s="398"/>
      <c r="S19" s="407" t="str">
        <f t="shared" si="3"/>
        <v>UsdLiborSwapIsdaFixAm20Y</v>
      </c>
      <c r="T19" s="406" t="e">
        <f>_xll.qlIndexFixing($S19,$N19,TRUE,$P19)</f>
        <v>#NUM!</v>
      </c>
      <c r="U19" s="406" t="e">
        <f>IF($Q19,_xll.qlIndexFixing($S19,$N19,FALSE,$P19),"-")</f>
        <v>#NUM!</v>
      </c>
      <c r="V19" s="406" t="e">
        <f t="shared" si="4"/>
        <v>#NUM!</v>
      </c>
      <c r="W19" s="405" t="e">
        <f>_xll.qlIndexFixing($S19,$N19,TRUE,$U19)</f>
        <v>#NUM!</v>
      </c>
      <c r="X19" s="437">
        <f t="shared" si="5"/>
        <v>0</v>
      </c>
      <c r="Y19" s="393"/>
    </row>
    <row r="20" spans="2:25" s="38" customFormat="1" x14ac:dyDescent="0.2">
      <c r="B20" s="48"/>
      <c r="C20" s="47" t="s">
        <v>75</v>
      </c>
      <c r="D20" s="46" t="s">
        <v>18</v>
      </c>
      <c r="E20" s="45" t="str">
        <f t="shared" si="0"/>
        <v>UsdLiborSwapIsdaFixAm14Y</v>
      </c>
      <c r="F20" s="44" t="str">
        <f>_xll.qlLiborSwap($E20,Currency,FixingType,$C20,Currency&amp;$D20,Discounting,Permanent,Trigger,ObjectOverwrite)</f>
        <v>UsdLiborSwapIsdaFixAm14Y#0001</v>
      </c>
      <c r="G20" s="43" t="str">
        <f>_xll.ohRangeRetrieveError(F20)</f>
        <v/>
      </c>
      <c r="H20" s="42"/>
      <c r="J20" s="374"/>
      <c r="K20" s="403"/>
      <c r="L20" s="411" t="s">
        <v>64</v>
      </c>
      <c r="M20" s="406" t="str">
        <f t="shared" si="1"/>
        <v>USDSFIX25Y=</v>
      </c>
      <c r="N20" s="410">
        <v>40340</v>
      </c>
      <c r="O20" s="409">
        <v>0</v>
      </c>
      <c r="P20" s="409" t="b">
        <f t="shared" si="2"/>
        <v>0</v>
      </c>
      <c r="Q20" s="408" t="e">
        <f>IF($P20,_xll.qlIndexAddFixings($S20,$N20,$O20/100,TRUE,ISERROR($T20)),NA())</f>
        <v>#N/A</v>
      </c>
      <c r="R20" s="398"/>
      <c r="S20" s="407" t="str">
        <f t="shared" si="3"/>
        <v>UsdLiborSwapIsdaFixAm25Y</v>
      </c>
      <c r="T20" s="406" t="e">
        <f>_xll.qlIndexFixing($S20,$N20,TRUE,$P20)</f>
        <v>#NUM!</v>
      </c>
      <c r="U20" s="406" t="e">
        <f>IF($Q20,_xll.qlIndexFixing($S20,$N20,FALSE,$P20),"-")</f>
        <v>#N/A</v>
      </c>
      <c r="V20" s="406" t="e">
        <f t="shared" si="4"/>
        <v>#NUM!</v>
      </c>
      <c r="W20" s="405" t="e">
        <f>_xll.qlIndexFixing($S20,$N20,TRUE,$U20)</f>
        <v>#NUM!</v>
      </c>
      <c r="X20" s="437">
        <f t="shared" si="5"/>
        <v>0</v>
      </c>
      <c r="Y20" s="393"/>
    </row>
    <row r="21" spans="2:25" s="38" customFormat="1" x14ac:dyDescent="0.2">
      <c r="B21" s="48"/>
      <c r="C21" s="47" t="s">
        <v>74</v>
      </c>
      <c r="D21" s="46" t="s">
        <v>18</v>
      </c>
      <c r="E21" s="45" t="str">
        <f t="shared" si="0"/>
        <v>UsdLiborSwapIsdaFixAm15Y</v>
      </c>
      <c r="F21" s="44" t="str">
        <f>_xll.qlLiborSwap($E21,Currency,FixingType,$C21,Currency&amp;$D21,Discounting,Permanent,Trigger,ObjectOverwrite)</f>
        <v>UsdLiborSwapIsdaFixAm15Y#0001</v>
      </c>
      <c r="G21" s="43" t="str">
        <f>_xll.ohRangeRetrieveError(F21)</f>
        <v/>
      </c>
      <c r="H21" s="42"/>
      <c r="J21" s="374"/>
      <c r="K21" s="403"/>
      <c r="L21" s="402" t="s">
        <v>59</v>
      </c>
      <c r="M21" s="396" t="str">
        <f t="shared" si="1"/>
        <v>USDSFIX30Y=</v>
      </c>
      <c r="N21" s="401">
        <v>41752</v>
      </c>
      <c r="O21" s="400">
        <v>3.472</v>
      </c>
      <c r="P21" s="400" t="b">
        <f t="shared" si="2"/>
        <v>1</v>
      </c>
      <c r="Q21" s="399" t="e">
        <f>IF($P21,_xll.qlIndexAddFixings($S21,$N21,$O21/100,TRUE,ISERROR($T21)),NA())</f>
        <v>#NUM!</v>
      </c>
      <c r="R21" s="398"/>
      <c r="S21" s="397" t="str">
        <f t="shared" si="3"/>
        <v>UsdLiborSwapIsdaFixAm30Y</v>
      </c>
      <c r="T21" s="396" t="e">
        <f>_xll.qlIndexFixing($S21,$N21,TRUE,$P21)</f>
        <v>#NUM!</v>
      </c>
      <c r="U21" s="396" t="e">
        <f>IF($Q21,_xll.qlIndexFixing($S21,$N21,FALSE,$P21),"-")</f>
        <v>#NUM!</v>
      </c>
      <c r="V21" s="396" t="e">
        <f t="shared" si="4"/>
        <v>#NUM!</v>
      </c>
      <c r="W21" s="395" t="e">
        <f>_xll.qlIndexFixing($S21,$N21,TRUE,$U21)</f>
        <v>#NUM!</v>
      </c>
      <c r="X21" s="436">
        <f t="shared" si="5"/>
        <v>0</v>
      </c>
      <c r="Y21" s="393"/>
    </row>
    <row r="22" spans="2:25" s="38" customFormat="1" ht="12" thickBot="1" x14ac:dyDescent="0.25">
      <c r="B22" s="48"/>
      <c r="C22" s="47" t="s">
        <v>73</v>
      </c>
      <c r="D22" s="46" t="s">
        <v>18</v>
      </c>
      <c r="E22" s="45" t="str">
        <f t="shared" si="0"/>
        <v>UsdLiborSwapIsdaFixAm16Y</v>
      </c>
      <c r="F22" s="44" t="str">
        <f>_xll.qlLiborSwap($E22,Currency,FixingType,$C22,Currency&amp;$D22,Discounting,Permanent,Trigger,ObjectOverwrite)</f>
        <v>UsdLiborSwapIsdaFixAm16Y#0001</v>
      </c>
      <c r="G22" s="43" t="str">
        <f>_xll.ohRangeRetrieveError(F22)</f>
        <v/>
      </c>
      <c r="H22" s="42"/>
      <c r="J22" s="374"/>
      <c r="K22" s="392"/>
      <c r="L22" s="390"/>
      <c r="M22" s="390"/>
      <c r="N22" s="390"/>
      <c r="O22" s="390"/>
      <c r="P22" s="390"/>
      <c r="Q22" s="390"/>
      <c r="R22" s="389"/>
      <c r="S22" s="389"/>
      <c r="T22" s="389"/>
      <c r="U22" s="389"/>
      <c r="V22" s="389"/>
      <c r="W22" s="389"/>
      <c r="X22" s="389"/>
      <c r="Y22" s="388"/>
    </row>
    <row r="23" spans="2:25" s="38" customFormat="1" ht="12" thickBot="1" x14ac:dyDescent="0.25">
      <c r="B23" s="48"/>
      <c r="C23" s="47" t="s">
        <v>72</v>
      </c>
      <c r="D23" s="46" t="s">
        <v>18</v>
      </c>
      <c r="E23" s="45" t="str">
        <f t="shared" si="0"/>
        <v>UsdLiborSwapIsdaFixAm17Y</v>
      </c>
      <c r="F23" s="44" t="str">
        <f>_xll.qlLiborSwap($E23,Currency,FixingType,$C23,Currency&amp;$D23,Discounting,Permanent,Trigger,ObjectOverwrite)</f>
        <v>UsdLiborSwapIsdaFixAm17Y#0001</v>
      </c>
      <c r="G23" s="43" t="str">
        <f>_xll.ohRangeRetrieveError(F23)</f>
        <v/>
      </c>
      <c r="H23" s="42"/>
      <c r="J23" s="374"/>
      <c r="K23" s="374"/>
      <c r="L23" s="374"/>
      <c r="M23" s="374"/>
      <c r="N23" s="387"/>
      <c r="O23" s="386"/>
      <c r="P23" s="386"/>
      <c r="Q23" s="374"/>
      <c r="R23" s="374"/>
      <c r="S23" s="374"/>
      <c r="T23" s="374"/>
      <c r="U23" s="374"/>
      <c r="V23" s="374"/>
      <c r="W23" s="374"/>
      <c r="X23" s="374"/>
      <c r="Y23" s="374"/>
    </row>
    <row r="24" spans="2:25" s="38" customFormat="1" x14ac:dyDescent="0.2">
      <c r="B24" s="48"/>
      <c r="C24" s="47" t="s">
        <v>71</v>
      </c>
      <c r="D24" s="46" t="s">
        <v>18</v>
      </c>
      <c r="E24" s="45" t="str">
        <f t="shared" si="0"/>
        <v>UsdLiborSwapIsdaFixAm18Y</v>
      </c>
      <c r="F24" s="44" t="str">
        <f>_xll.qlLiborSwap($E24,Currency,FixingType,$C24,Currency&amp;$D24,Discounting,Permanent,Trigger,ObjectOverwrite)</f>
        <v>UsdLiborSwapIsdaFixAm18Y#0001</v>
      </c>
      <c r="G24" s="43" t="str">
        <f>_xll.ohRangeRetrieveError(F24)</f>
        <v/>
      </c>
      <c r="H24" s="42"/>
      <c r="J24" s="374"/>
      <c r="K24" s="374"/>
      <c r="L24" s="385" t="s">
        <v>110</v>
      </c>
      <c r="M24" s="384" t="s">
        <v>297</v>
      </c>
      <c r="N24" s="383" t="s">
        <v>298</v>
      </c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</row>
    <row r="25" spans="2:25" s="38" customFormat="1" x14ac:dyDescent="0.2">
      <c r="B25" s="48"/>
      <c r="C25" s="47" t="s">
        <v>70</v>
      </c>
      <c r="D25" s="46" t="s">
        <v>18</v>
      </c>
      <c r="E25" s="45" t="str">
        <f t="shared" si="0"/>
        <v>UsdLiborSwapIsdaFixAm19Y</v>
      </c>
      <c r="F25" s="44" t="str">
        <f>_xll.qlLiborSwap($E25,Currency,FixingType,$C25,Currency&amp;$D25,Discounting,Permanent,Trigger,ObjectOverwrite)</f>
        <v>UsdLiborSwapIsdaFixAm19Y#0001</v>
      </c>
      <c r="G25" s="43" t="str">
        <f>_xll.ohRangeRetrieveError(F25)</f>
        <v/>
      </c>
      <c r="H25" s="42"/>
      <c r="J25" s="374"/>
      <c r="K25" s="374"/>
      <c r="L25" s="380" t="s">
        <v>109</v>
      </c>
      <c r="M25" s="379" t="s">
        <v>300</v>
      </c>
      <c r="N25" s="378" t="s">
        <v>299</v>
      </c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</row>
    <row r="26" spans="2:25" s="38" customFormat="1" x14ac:dyDescent="0.2">
      <c r="B26" s="48"/>
      <c r="C26" s="47" t="s">
        <v>69</v>
      </c>
      <c r="D26" s="46" t="s">
        <v>18</v>
      </c>
      <c r="E26" s="45" t="str">
        <f t="shared" si="0"/>
        <v>UsdLiborSwapIsdaFixAm20Y</v>
      </c>
      <c r="F26" s="44" t="str">
        <f>_xll.qlLiborSwap($E26,Currency,FixingType,$C26,Currency&amp;$D26,Discounting,Permanent,Trigger,ObjectOverwrite)</f>
        <v>UsdLiborSwapIsdaFixAm20Y#0001</v>
      </c>
      <c r="G26" s="43" t="str">
        <f>_xll.ohRangeRetrieveError(F26)</f>
        <v/>
      </c>
      <c r="H26" s="42"/>
      <c r="J26" s="374"/>
      <c r="K26" s="374"/>
      <c r="L26" s="380" t="s">
        <v>288</v>
      </c>
      <c r="M26" s="379" t="s">
        <v>297</v>
      </c>
      <c r="N26" s="378" t="s">
        <v>296</v>
      </c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</row>
    <row r="27" spans="2:25" s="38" customFormat="1" x14ac:dyDescent="0.2">
      <c r="B27" s="48"/>
      <c r="C27" s="47" t="s">
        <v>68</v>
      </c>
      <c r="D27" s="46" t="s">
        <v>18</v>
      </c>
      <c r="E27" s="45" t="str">
        <f t="shared" si="0"/>
        <v>UsdLiborSwapIsdaFixAm21Y</v>
      </c>
      <c r="F27" s="44" t="str">
        <f>_xll.qlLiborSwap($E27,Currency,FixingType,$C27,Currency&amp;$D27,Discounting,Permanent,Trigger,ObjectOverwrite)</f>
        <v>UsdLiborSwapIsdaFixAm21Y#0001</v>
      </c>
      <c r="G27" s="43" t="str">
        <f>_xll.ohRangeRetrieveError(F27)</f>
        <v/>
      </c>
      <c r="H27" s="42"/>
      <c r="J27" s="374"/>
      <c r="K27" s="374"/>
      <c r="L27" s="380" t="s">
        <v>287</v>
      </c>
      <c r="M27" s="379" t="s">
        <v>297</v>
      </c>
      <c r="N27" s="378" t="s">
        <v>298</v>
      </c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</row>
    <row r="28" spans="2:25" s="38" customFormat="1" x14ac:dyDescent="0.2">
      <c r="B28" s="48"/>
      <c r="C28" s="47" t="s">
        <v>67</v>
      </c>
      <c r="D28" s="46" t="s">
        <v>18</v>
      </c>
      <c r="E28" s="45" t="str">
        <f t="shared" si="0"/>
        <v>UsdLiborSwapIsdaFixAm22Y</v>
      </c>
      <c r="F28" s="44" t="str">
        <f>_xll.qlLiborSwap($E28,Currency,FixingType,$C28,Currency&amp;$D28,Discounting,Permanent,Trigger,ObjectOverwrite)</f>
        <v>UsdLiborSwapIsdaFixAm22Y#0001</v>
      </c>
      <c r="G28" s="43" t="str">
        <f>_xll.ohRangeRetrieveError(F28)</f>
        <v/>
      </c>
      <c r="H28" s="42"/>
      <c r="J28" s="374"/>
      <c r="K28" s="374"/>
      <c r="L28" s="380" t="s">
        <v>106</v>
      </c>
      <c r="M28" s="379" t="s">
        <v>297</v>
      </c>
      <c r="N28" s="378" t="s">
        <v>298</v>
      </c>
      <c r="O28" s="374"/>
      <c r="P28" s="374"/>
      <c r="Q28" s="374"/>
      <c r="R28" s="374"/>
      <c r="S28" s="374"/>
      <c r="T28" s="374"/>
      <c r="U28" s="374"/>
      <c r="V28" s="374"/>
      <c r="W28" s="374"/>
      <c r="X28" s="374"/>
      <c r="Y28" s="374"/>
    </row>
    <row r="29" spans="2:25" s="38" customFormat="1" x14ac:dyDescent="0.2">
      <c r="B29" s="48"/>
      <c r="C29" s="47" t="s">
        <v>66</v>
      </c>
      <c r="D29" s="46" t="s">
        <v>18</v>
      </c>
      <c r="E29" s="45" t="str">
        <f t="shared" si="0"/>
        <v>UsdLiborSwapIsdaFixAm23Y</v>
      </c>
      <c r="F29" s="44" t="str">
        <f>_xll.qlLiborSwap($E29,Currency,FixingType,$C29,Currency&amp;$D29,Discounting,Permanent,Trigger,ObjectOverwrite)</f>
        <v>UsdLiborSwapIsdaFixAm23Y#0001</v>
      </c>
      <c r="G29" s="43" t="str">
        <f>_xll.ohRangeRetrieveError(F29)</f>
        <v/>
      </c>
      <c r="H29" s="42"/>
      <c r="J29" s="374"/>
      <c r="K29" s="374"/>
      <c r="L29" s="380" t="s">
        <v>105</v>
      </c>
      <c r="M29" s="379" t="s">
        <v>297</v>
      </c>
      <c r="N29" s="378" t="s">
        <v>296</v>
      </c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</row>
    <row r="30" spans="2:25" s="38" customFormat="1" ht="12" thickBot="1" x14ac:dyDescent="0.25">
      <c r="B30" s="48"/>
      <c r="C30" s="47" t="s">
        <v>65</v>
      </c>
      <c r="D30" s="46" t="s">
        <v>18</v>
      </c>
      <c r="E30" s="45" t="str">
        <f t="shared" si="0"/>
        <v>UsdLiborSwapIsdaFixAm24Y</v>
      </c>
      <c r="F30" s="44" t="str">
        <f>_xll.qlLiborSwap($E30,Currency,FixingType,$C30,Currency&amp;$D30,Discounting,Permanent,Trigger,ObjectOverwrite)</f>
        <v>UsdLiborSwapIsdaFixAm24Y#0001</v>
      </c>
      <c r="G30" s="43" t="str">
        <f>_xll.ohRangeRetrieveError(F30)</f>
        <v/>
      </c>
      <c r="H30" s="42"/>
      <c r="J30" s="374"/>
      <c r="K30" s="374"/>
      <c r="L30" s="377" t="s">
        <v>100</v>
      </c>
      <c r="M30" s="435" t="s">
        <v>297</v>
      </c>
      <c r="N30" s="434" t="s">
        <v>296</v>
      </c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</row>
    <row r="31" spans="2:25" s="38" customFormat="1" x14ac:dyDescent="0.2">
      <c r="B31" s="48"/>
      <c r="C31" s="47" t="s">
        <v>64</v>
      </c>
      <c r="D31" s="46" t="s">
        <v>18</v>
      </c>
      <c r="E31" s="45" t="str">
        <f t="shared" si="0"/>
        <v>UsdLiborSwapIsdaFixAm25Y</v>
      </c>
      <c r="F31" s="44" t="str">
        <f>_xll.qlLiborSwap($E31,Currency,FixingType,$C31,Currency&amp;$D31,Discounting,Permanent,Trigger,ObjectOverwrite)</f>
        <v>UsdLiborSwapIsdaFixAm25Y#0001</v>
      </c>
      <c r="G31" s="43" t="str">
        <f>_xll.ohRangeRetrieveError(F31)</f>
        <v/>
      </c>
      <c r="H31" s="42"/>
    </row>
    <row r="32" spans="2:25" s="38" customFormat="1" x14ac:dyDescent="0.2">
      <c r="B32" s="48"/>
      <c r="C32" s="47" t="s">
        <v>63</v>
      </c>
      <c r="D32" s="46" t="s">
        <v>18</v>
      </c>
      <c r="E32" s="45" t="str">
        <f t="shared" si="0"/>
        <v>UsdLiborSwapIsdaFixAm26Y</v>
      </c>
      <c r="F32" s="44" t="str">
        <f>_xll.qlLiborSwap($E32,Currency,FixingType,$C32,Currency&amp;$D32,Discounting,Permanent,Trigger,ObjectOverwrite)</f>
        <v>UsdLiborSwapIsdaFixAm26Y#0001</v>
      </c>
      <c r="G32" s="43" t="str">
        <f>_xll.ohRangeRetrieveError(F32)</f>
        <v/>
      </c>
      <c r="H32" s="42"/>
    </row>
    <row r="33" spans="2:8" s="38" customFormat="1" x14ac:dyDescent="0.2">
      <c r="B33" s="48"/>
      <c r="C33" s="47" t="s">
        <v>62</v>
      </c>
      <c r="D33" s="46" t="s">
        <v>18</v>
      </c>
      <c r="E33" s="45" t="str">
        <f t="shared" si="0"/>
        <v>UsdLiborSwapIsdaFixAm27Y</v>
      </c>
      <c r="F33" s="44" t="str">
        <f>_xll.qlLiborSwap($E33,Currency,FixingType,$C33,Currency&amp;$D33,Discounting,Permanent,Trigger,ObjectOverwrite)</f>
        <v>UsdLiborSwapIsdaFixAm27Y#0001</v>
      </c>
      <c r="G33" s="43" t="str">
        <f>_xll.ohRangeRetrieveError(F33)</f>
        <v/>
      </c>
      <c r="H33" s="42"/>
    </row>
    <row r="34" spans="2:8" s="38" customFormat="1" x14ac:dyDescent="0.2">
      <c r="B34" s="48"/>
      <c r="C34" s="47" t="s">
        <v>61</v>
      </c>
      <c r="D34" s="46" t="s">
        <v>18</v>
      </c>
      <c r="E34" s="45" t="str">
        <f t="shared" si="0"/>
        <v>UsdLiborSwapIsdaFixAm28Y</v>
      </c>
      <c r="F34" s="44" t="str">
        <f>_xll.qlLiborSwap($E34,Currency,FixingType,$C34,Currency&amp;$D34,Discounting,Permanent,Trigger,ObjectOverwrite)</f>
        <v>UsdLiborSwapIsdaFixAm28Y#0001</v>
      </c>
      <c r="G34" s="43" t="str">
        <f>_xll.ohRangeRetrieveError(F34)</f>
        <v/>
      </c>
      <c r="H34" s="42"/>
    </row>
    <row r="35" spans="2:8" s="38" customFormat="1" x14ac:dyDescent="0.2">
      <c r="B35" s="48"/>
      <c r="C35" s="47" t="s">
        <v>60</v>
      </c>
      <c r="D35" s="46" t="s">
        <v>18</v>
      </c>
      <c r="E35" s="45" t="str">
        <f t="shared" si="0"/>
        <v>UsdLiborSwapIsdaFixAm29Y</v>
      </c>
      <c r="F35" s="44" t="str">
        <f>_xll.qlLiborSwap($E35,Currency,FixingType,$C35,Currency&amp;$D35,Discounting,Permanent,Trigger,ObjectOverwrite)</f>
        <v>UsdLiborSwapIsdaFixAm29Y#0001</v>
      </c>
      <c r="G35" s="43" t="str">
        <f>_xll.ohRangeRetrieveError(F35)</f>
        <v/>
      </c>
      <c r="H35" s="42"/>
    </row>
    <row r="36" spans="2:8" s="38" customFormat="1" x14ac:dyDescent="0.2">
      <c r="B36" s="48"/>
      <c r="C36" s="47" t="s">
        <v>59</v>
      </c>
      <c r="D36" s="46" t="s">
        <v>18</v>
      </c>
      <c r="E36" s="45" t="str">
        <f t="shared" si="0"/>
        <v>UsdLiborSwapIsdaFixAm30Y</v>
      </c>
      <c r="F36" s="44" t="str">
        <f>_xll.qlLiborSwap($E36,Currency,FixingType,$C36,Currency&amp;$D36,Discounting,Permanent,Trigger,ObjectOverwrite)</f>
        <v>UsdLiborSwapIsdaFixAm30Y#0001</v>
      </c>
      <c r="G36" s="43" t="str">
        <f>_xll.ohRangeRetrieveError(F36)</f>
        <v/>
      </c>
      <c r="H36" s="42"/>
    </row>
    <row r="37" spans="2:8" s="38" customFormat="1" x14ac:dyDescent="0.2">
      <c r="B37" s="48"/>
      <c r="C37" s="47" t="s">
        <v>58</v>
      </c>
      <c r="D37" s="46" t="s">
        <v>18</v>
      </c>
      <c r="E37" s="45" t="str">
        <f t="shared" si="0"/>
        <v>UsdLiborSwapIsdaFixAm31Y</v>
      </c>
      <c r="F37" s="44" t="str">
        <f>_xll.qlLiborSwap($E37,Currency,FixingType,$C37,Currency&amp;$D37,Discounting,Permanent,Trigger,ObjectOverwrite)</f>
        <v>UsdLiborSwapIsdaFixAm31Y#0001</v>
      </c>
      <c r="G37" s="43" t="str">
        <f>_xll.ohRangeRetrieveError(F37)</f>
        <v/>
      </c>
      <c r="H37" s="42"/>
    </row>
    <row r="38" spans="2:8" s="38" customFormat="1" x14ac:dyDescent="0.2">
      <c r="B38" s="48"/>
      <c r="C38" s="47" t="s">
        <v>57</v>
      </c>
      <c r="D38" s="46" t="s">
        <v>18</v>
      </c>
      <c r="E38" s="45" t="str">
        <f t="shared" si="0"/>
        <v>UsdLiborSwapIsdaFixAm32Y</v>
      </c>
      <c r="F38" s="44" t="str">
        <f>_xll.qlLiborSwap($E38,Currency,FixingType,$C38,Currency&amp;$D38,Discounting,Permanent,Trigger,ObjectOverwrite)</f>
        <v>UsdLiborSwapIsdaFixAm32Y#0001</v>
      </c>
      <c r="G38" s="43" t="str">
        <f>_xll.ohRangeRetrieveError(F38)</f>
        <v/>
      </c>
      <c r="H38" s="42"/>
    </row>
    <row r="39" spans="2:8" s="38" customFormat="1" x14ac:dyDescent="0.2">
      <c r="B39" s="48"/>
      <c r="C39" s="47" t="s">
        <v>56</v>
      </c>
      <c r="D39" s="46" t="s">
        <v>18</v>
      </c>
      <c r="E39" s="45" t="str">
        <f t="shared" ref="E39:E66" si="6">PROPER(Currency)&amp;FamilyName&amp;FixingType&amp;$C39</f>
        <v>UsdLiborSwapIsdaFixAm33Y</v>
      </c>
      <c r="F39" s="44" t="str">
        <f>_xll.qlLiborSwap($E39,Currency,FixingType,$C39,Currency&amp;$D39,Discounting,Permanent,Trigger,ObjectOverwrite)</f>
        <v>UsdLiborSwapIsdaFixAm33Y#0001</v>
      </c>
      <c r="G39" s="43" t="str">
        <f>_xll.ohRangeRetrieveError(F39)</f>
        <v/>
      </c>
      <c r="H39" s="42"/>
    </row>
    <row r="40" spans="2:8" s="38" customFormat="1" x14ac:dyDescent="0.2">
      <c r="B40" s="48"/>
      <c r="C40" s="47" t="s">
        <v>55</v>
      </c>
      <c r="D40" s="46" t="s">
        <v>18</v>
      </c>
      <c r="E40" s="45" t="str">
        <f t="shared" si="6"/>
        <v>UsdLiborSwapIsdaFixAm34Y</v>
      </c>
      <c r="F40" s="44" t="str">
        <f>_xll.qlLiborSwap($E40,Currency,FixingType,$C40,Currency&amp;$D40,Discounting,Permanent,Trigger,ObjectOverwrite)</f>
        <v>UsdLiborSwapIsdaFixAm34Y#0001</v>
      </c>
      <c r="G40" s="43" t="str">
        <f>_xll.ohRangeRetrieveError(F40)</f>
        <v/>
      </c>
      <c r="H40" s="42"/>
    </row>
    <row r="41" spans="2:8" s="38" customFormat="1" x14ac:dyDescent="0.2">
      <c r="B41" s="48"/>
      <c r="C41" s="47" t="s">
        <v>54</v>
      </c>
      <c r="D41" s="46" t="s">
        <v>18</v>
      </c>
      <c r="E41" s="45" t="str">
        <f t="shared" si="6"/>
        <v>UsdLiborSwapIsdaFixAm35Y</v>
      </c>
      <c r="F41" s="44" t="str">
        <f>_xll.qlLiborSwap($E41,Currency,FixingType,$C41,Currency&amp;$D41,Discounting,Permanent,Trigger,ObjectOverwrite)</f>
        <v>UsdLiborSwapIsdaFixAm35Y#0001</v>
      </c>
      <c r="G41" s="43" t="str">
        <f>_xll.ohRangeRetrieveError(F41)</f>
        <v/>
      </c>
      <c r="H41" s="42"/>
    </row>
    <row r="42" spans="2:8" s="38" customFormat="1" x14ac:dyDescent="0.2">
      <c r="B42" s="48"/>
      <c r="C42" s="47" t="s">
        <v>53</v>
      </c>
      <c r="D42" s="46" t="s">
        <v>18</v>
      </c>
      <c r="E42" s="45" t="str">
        <f t="shared" si="6"/>
        <v>UsdLiborSwapIsdaFixAm36Y</v>
      </c>
      <c r="F42" s="44" t="str">
        <f>_xll.qlLiborSwap($E42,Currency,FixingType,$C42,Currency&amp;$D42,Discounting,Permanent,Trigger,ObjectOverwrite)</f>
        <v>UsdLiborSwapIsdaFixAm36Y#0001</v>
      </c>
      <c r="G42" s="43" t="str">
        <f>_xll.ohRangeRetrieveError(F42)</f>
        <v/>
      </c>
      <c r="H42" s="42"/>
    </row>
    <row r="43" spans="2:8" s="38" customFormat="1" x14ac:dyDescent="0.2">
      <c r="B43" s="48"/>
      <c r="C43" s="47" t="s">
        <v>52</v>
      </c>
      <c r="D43" s="46" t="s">
        <v>18</v>
      </c>
      <c r="E43" s="45" t="str">
        <f t="shared" si="6"/>
        <v>UsdLiborSwapIsdaFixAm37Y</v>
      </c>
      <c r="F43" s="44" t="str">
        <f>_xll.qlLiborSwap($E43,Currency,FixingType,$C43,Currency&amp;$D43,Discounting,Permanent,Trigger,ObjectOverwrite)</f>
        <v>UsdLiborSwapIsdaFixAm37Y#0001</v>
      </c>
      <c r="G43" s="43" t="str">
        <f>_xll.ohRangeRetrieveError(F43)</f>
        <v/>
      </c>
      <c r="H43" s="42"/>
    </row>
    <row r="44" spans="2:8" s="38" customFormat="1" x14ac:dyDescent="0.2">
      <c r="B44" s="48"/>
      <c r="C44" s="47" t="s">
        <v>51</v>
      </c>
      <c r="D44" s="46" t="s">
        <v>18</v>
      </c>
      <c r="E44" s="45" t="str">
        <f t="shared" si="6"/>
        <v>UsdLiborSwapIsdaFixAm38Y</v>
      </c>
      <c r="F44" s="44" t="str">
        <f>_xll.qlLiborSwap($E44,Currency,FixingType,$C44,Currency&amp;$D44,Discounting,Permanent,Trigger,ObjectOverwrite)</f>
        <v>UsdLiborSwapIsdaFixAm38Y#0001</v>
      </c>
      <c r="G44" s="43" t="str">
        <f>_xll.ohRangeRetrieveError(F44)</f>
        <v/>
      </c>
      <c r="H44" s="42"/>
    </row>
    <row r="45" spans="2:8" s="38" customFormat="1" x14ac:dyDescent="0.2">
      <c r="B45" s="48"/>
      <c r="C45" s="47" t="s">
        <v>50</v>
      </c>
      <c r="D45" s="46" t="s">
        <v>18</v>
      </c>
      <c r="E45" s="45" t="str">
        <f t="shared" si="6"/>
        <v>UsdLiborSwapIsdaFixAm39Y</v>
      </c>
      <c r="F45" s="44" t="str">
        <f>_xll.qlLiborSwap($E45,Currency,FixingType,$C45,Currency&amp;$D45,Discounting,Permanent,Trigger,ObjectOverwrite)</f>
        <v>UsdLiborSwapIsdaFixAm39Y#0001</v>
      </c>
      <c r="G45" s="43" t="str">
        <f>_xll.ohRangeRetrieveError(F45)</f>
        <v/>
      </c>
      <c r="H45" s="42"/>
    </row>
    <row r="46" spans="2:8" s="38" customFormat="1" x14ac:dyDescent="0.2">
      <c r="B46" s="48"/>
      <c r="C46" s="47" t="s">
        <v>49</v>
      </c>
      <c r="D46" s="46" t="s">
        <v>18</v>
      </c>
      <c r="E46" s="45" t="str">
        <f t="shared" si="6"/>
        <v>UsdLiborSwapIsdaFixAm40Y</v>
      </c>
      <c r="F46" s="44" t="str">
        <f>_xll.qlLiborSwap($E46,Currency,FixingType,$C46,Currency&amp;$D46,Discounting,Permanent,Trigger,ObjectOverwrite)</f>
        <v>UsdLiborSwapIsdaFixAm40Y#0001</v>
      </c>
      <c r="G46" s="43" t="str">
        <f>_xll.ohRangeRetrieveError(F46)</f>
        <v/>
      </c>
      <c r="H46" s="42"/>
    </row>
    <row r="47" spans="2:8" s="38" customFormat="1" x14ac:dyDescent="0.2">
      <c r="B47" s="48"/>
      <c r="C47" s="47" t="s">
        <v>48</v>
      </c>
      <c r="D47" s="46" t="s">
        <v>18</v>
      </c>
      <c r="E47" s="45" t="str">
        <f t="shared" si="6"/>
        <v>UsdLiborSwapIsdaFixAm41Y</v>
      </c>
      <c r="F47" s="44" t="str">
        <f>_xll.qlLiborSwap($E47,Currency,FixingType,$C47,Currency&amp;$D47,Discounting,Permanent,Trigger,ObjectOverwrite)</f>
        <v>UsdLiborSwapIsdaFixAm41Y#0001</v>
      </c>
      <c r="G47" s="43" t="str">
        <f>_xll.ohRangeRetrieveError(F47)</f>
        <v/>
      </c>
      <c r="H47" s="42"/>
    </row>
    <row r="48" spans="2:8" s="38" customFormat="1" x14ac:dyDescent="0.2">
      <c r="B48" s="48"/>
      <c r="C48" s="47" t="s">
        <v>47</v>
      </c>
      <c r="D48" s="46" t="s">
        <v>18</v>
      </c>
      <c r="E48" s="45" t="str">
        <f t="shared" si="6"/>
        <v>UsdLiborSwapIsdaFixAm42Y</v>
      </c>
      <c r="F48" s="44" t="str">
        <f>_xll.qlLiborSwap($E48,Currency,FixingType,$C48,Currency&amp;$D48,Discounting,Permanent,Trigger,ObjectOverwrite)</f>
        <v>UsdLiborSwapIsdaFixAm42Y#0001</v>
      </c>
      <c r="G48" s="43" t="str">
        <f>_xll.ohRangeRetrieveError(F48)</f>
        <v/>
      </c>
      <c r="H48" s="42"/>
    </row>
    <row r="49" spans="2:8" s="38" customFormat="1" x14ac:dyDescent="0.2">
      <c r="B49" s="48"/>
      <c r="C49" s="47" t="s">
        <v>46</v>
      </c>
      <c r="D49" s="46" t="s">
        <v>18</v>
      </c>
      <c r="E49" s="45" t="str">
        <f t="shared" si="6"/>
        <v>UsdLiborSwapIsdaFixAm43Y</v>
      </c>
      <c r="F49" s="44" t="str">
        <f>_xll.qlLiborSwap($E49,Currency,FixingType,$C49,Currency&amp;$D49,Discounting,Permanent,Trigger,ObjectOverwrite)</f>
        <v>UsdLiborSwapIsdaFixAm43Y#0001</v>
      </c>
      <c r="G49" s="43" t="str">
        <f>_xll.ohRangeRetrieveError(F49)</f>
        <v/>
      </c>
      <c r="H49" s="42"/>
    </row>
    <row r="50" spans="2:8" s="38" customFormat="1" x14ac:dyDescent="0.2">
      <c r="B50" s="48"/>
      <c r="C50" s="47" t="s">
        <v>45</v>
      </c>
      <c r="D50" s="46" t="s">
        <v>18</v>
      </c>
      <c r="E50" s="45" t="str">
        <f t="shared" si="6"/>
        <v>UsdLiborSwapIsdaFixAm44Y</v>
      </c>
      <c r="F50" s="44" t="str">
        <f>_xll.qlLiborSwap($E50,Currency,FixingType,$C50,Currency&amp;$D50,Discounting,Permanent,Trigger,ObjectOverwrite)</f>
        <v>UsdLiborSwapIsdaFixAm44Y#0001</v>
      </c>
      <c r="G50" s="43" t="str">
        <f>_xll.ohRangeRetrieveError(F50)</f>
        <v/>
      </c>
      <c r="H50" s="42"/>
    </row>
    <row r="51" spans="2:8" s="38" customFormat="1" x14ac:dyDescent="0.2">
      <c r="B51" s="48"/>
      <c r="C51" s="47" t="s">
        <v>44</v>
      </c>
      <c r="D51" s="46" t="s">
        <v>18</v>
      </c>
      <c r="E51" s="45" t="str">
        <f t="shared" si="6"/>
        <v>UsdLiborSwapIsdaFixAm45Y</v>
      </c>
      <c r="F51" s="44" t="str">
        <f>_xll.qlLiborSwap($E51,Currency,FixingType,$C51,Currency&amp;$D51,Discounting,Permanent,Trigger,ObjectOverwrite)</f>
        <v>UsdLiborSwapIsdaFixAm45Y#0001</v>
      </c>
      <c r="G51" s="43" t="str">
        <f>_xll.ohRangeRetrieveError(F51)</f>
        <v/>
      </c>
      <c r="H51" s="42"/>
    </row>
    <row r="52" spans="2:8" s="38" customFormat="1" x14ac:dyDescent="0.2">
      <c r="B52" s="48"/>
      <c r="C52" s="47" t="s">
        <v>43</v>
      </c>
      <c r="D52" s="46" t="s">
        <v>18</v>
      </c>
      <c r="E52" s="45" t="str">
        <f t="shared" si="6"/>
        <v>UsdLiborSwapIsdaFixAm46Y</v>
      </c>
      <c r="F52" s="44" t="str">
        <f>_xll.qlLiborSwap($E52,Currency,FixingType,$C52,Currency&amp;$D52,Discounting,Permanent,Trigger,ObjectOverwrite)</f>
        <v>UsdLiborSwapIsdaFixAm46Y#0001</v>
      </c>
      <c r="G52" s="43" t="str">
        <f>_xll.ohRangeRetrieveError(F52)</f>
        <v/>
      </c>
      <c r="H52" s="42"/>
    </row>
    <row r="53" spans="2:8" s="38" customFormat="1" x14ac:dyDescent="0.2">
      <c r="B53" s="48"/>
      <c r="C53" s="47" t="s">
        <v>42</v>
      </c>
      <c r="D53" s="46" t="s">
        <v>18</v>
      </c>
      <c r="E53" s="45" t="str">
        <f t="shared" si="6"/>
        <v>UsdLiborSwapIsdaFixAm47Y</v>
      </c>
      <c r="F53" s="44" t="str">
        <f>_xll.qlLiborSwap($E53,Currency,FixingType,$C53,Currency&amp;$D53,Discounting,Permanent,Trigger,ObjectOverwrite)</f>
        <v>UsdLiborSwapIsdaFixAm47Y#0001</v>
      </c>
      <c r="G53" s="43" t="str">
        <f>_xll.ohRangeRetrieveError(F53)</f>
        <v/>
      </c>
      <c r="H53" s="42"/>
    </row>
    <row r="54" spans="2:8" s="38" customFormat="1" x14ac:dyDescent="0.2">
      <c r="B54" s="48"/>
      <c r="C54" s="47" t="s">
        <v>41</v>
      </c>
      <c r="D54" s="46" t="s">
        <v>18</v>
      </c>
      <c r="E54" s="45" t="str">
        <f t="shared" si="6"/>
        <v>UsdLiborSwapIsdaFixAm48Y</v>
      </c>
      <c r="F54" s="44" t="str">
        <f>_xll.qlLiborSwap($E54,Currency,FixingType,$C54,Currency&amp;$D54,Discounting,Permanent,Trigger,ObjectOverwrite)</f>
        <v>UsdLiborSwapIsdaFixAm48Y#0001</v>
      </c>
      <c r="G54" s="43" t="str">
        <f>_xll.ohRangeRetrieveError(F54)</f>
        <v/>
      </c>
      <c r="H54" s="42"/>
    </row>
    <row r="55" spans="2:8" s="38" customFormat="1" x14ac:dyDescent="0.2">
      <c r="B55" s="48"/>
      <c r="C55" s="47" t="s">
        <v>40</v>
      </c>
      <c r="D55" s="46" t="s">
        <v>18</v>
      </c>
      <c r="E55" s="45" t="str">
        <f t="shared" si="6"/>
        <v>UsdLiborSwapIsdaFixAm49Y</v>
      </c>
      <c r="F55" s="44" t="str">
        <f>_xll.qlLiborSwap($E55,Currency,FixingType,$C55,Currency&amp;$D55,Discounting,Permanent,Trigger,ObjectOverwrite)</f>
        <v>UsdLiborSwapIsdaFixAm49Y#0001</v>
      </c>
      <c r="G55" s="43" t="str">
        <f>_xll.ohRangeRetrieveError(F55)</f>
        <v/>
      </c>
      <c r="H55" s="42"/>
    </row>
    <row r="56" spans="2:8" s="38" customFormat="1" x14ac:dyDescent="0.2">
      <c r="B56" s="48"/>
      <c r="C56" s="47" t="s">
        <v>39</v>
      </c>
      <c r="D56" s="46" t="s">
        <v>18</v>
      </c>
      <c r="E56" s="45" t="str">
        <f t="shared" si="6"/>
        <v>UsdLiborSwapIsdaFixAm50Y</v>
      </c>
      <c r="F56" s="44" t="str">
        <f>_xll.qlLiborSwap($E56,Currency,FixingType,$C56,Currency&amp;$D56,Discounting,Permanent,Trigger,ObjectOverwrite)</f>
        <v>UsdLiborSwapIsdaFixAm50Y#0001</v>
      </c>
      <c r="G56" s="43" t="str">
        <f>_xll.ohRangeRetrieveError(F56)</f>
        <v/>
      </c>
      <c r="H56" s="42"/>
    </row>
    <row r="57" spans="2:8" s="38" customFormat="1" x14ac:dyDescent="0.2">
      <c r="B57" s="48"/>
      <c r="C57" s="47" t="s">
        <v>38</v>
      </c>
      <c r="D57" s="46" t="s">
        <v>18</v>
      </c>
      <c r="E57" s="45" t="str">
        <f t="shared" si="6"/>
        <v>UsdLiborSwapIsdaFixAm51Y</v>
      </c>
      <c r="F57" s="44" t="str">
        <f>_xll.qlLiborSwap($E57,Currency,FixingType,$C57,Currency&amp;$D57,Discounting,Permanent,Trigger,ObjectOverwrite)</f>
        <v>UsdLiborSwapIsdaFixAm51Y#0001</v>
      </c>
      <c r="G57" s="43" t="str">
        <f>_xll.ohRangeRetrieveError(F57)</f>
        <v/>
      </c>
      <c r="H57" s="42"/>
    </row>
    <row r="58" spans="2:8" s="38" customFormat="1" x14ac:dyDescent="0.2">
      <c r="B58" s="48"/>
      <c r="C58" s="47" t="s">
        <v>37</v>
      </c>
      <c r="D58" s="46" t="s">
        <v>18</v>
      </c>
      <c r="E58" s="45" t="str">
        <f t="shared" si="6"/>
        <v>UsdLiborSwapIsdaFixAm52Y</v>
      </c>
      <c r="F58" s="44" t="str">
        <f>_xll.qlLiborSwap($E58,Currency,FixingType,$C58,Currency&amp;$D58,Discounting,Permanent,Trigger,ObjectOverwrite)</f>
        <v>UsdLiborSwapIsdaFixAm52Y#0001</v>
      </c>
      <c r="G58" s="43" t="str">
        <f>_xll.ohRangeRetrieveError(F58)</f>
        <v/>
      </c>
      <c r="H58" s="42"/>
    </row>
    <row r="59" spans="2:8" s="38" customFormat="1" x14ac:dyDescent="0.2">
      <c r="B59" s="48"/>
      <c r="C59" s="47" t="s">
        <v>36</v>
      </c>
      <c r="D59" s="46" t="s">
        <v>18</v>
      </c>
      <c r="E59" s="45" t="str">
        <f t="shared" si="6"/>
        <v>UsdLiborSwapIsdaFixAm53Y</v>
      </c>
      <c r="F59" s="44" t="str">
        <f>_xll.qlLiborSwap($E59,Currency,FixingType,$C59,Currency&amp;$D59,Discounting,Permanent,Trigger,ObjectOverwrite)</f>
        <v>UsdLiborSwapIsdaFixAm53Y#0001</v>
      </c>
      <c r="G59" s="43" t="str">
        <f>_xll.ohRangeRetrieveError(F59)</f>
        <v/>
      </c>
      <c r="H59" s="42"/>
    </row>
    <row r="60" spans="2:8" s="38" customFormat="1" x14ac:dyDescent="0.2">
      <c r="B60" s="48"/>
      <c r="C60" s="47" t="s">
        <v>35</v>
      </c>
      <c r="D60" s="46" t="s">
        <v>18</v>
      </c>
      <c r="E60" s="45" t="str">
        <f t="shared" si="6"/>
        <v>UsdLiborSwapIsdaFixAm54Y</v>
      </c>
      <c r="F60" s="44" t="str">
        <f>_xll.qlLiborSwap($E60,Currency,FixingType,$C60,Currency&amp;$D60,Discounting,Permanent,Trigger,ObjectOverwrite)</f>
        <v>UsdLiborSwapIsdaFixAm54Y#0001</v>
      </c>
      <c r="G60" s="43" t="str">
        <f>_xll.ohRangeRetrieveError(F60)</f>
        <v/>
      </c>
      <c r="H60" s="42"/>
    </row>
    <row r="61" spans="2:8" s="38" customFormat="1" x14ac:dyDescent="0.2">
      <c r="B61" s="48"/>
      <c r="C61" s="47" t="s">
        <v>34</v>
      </c>
      <c r="D61" s="46" t="s">
        <v>18</v>
      </c>
      <c r="E61" s="45" t="str">
        <f t="shared" si="6"/>
        <v>UsdLiborSwapIsdaFixAm55Y</v>
      </c>
      <c r="F61" s="44" t="str">
        <f>_xll.qlLiborSwap($E61,Currency,FixingType,$C61,Currency&amp;$D61,Discounting,Permanent,Trigger,ObjectOverwrite)</f>
        <v>UsdLiborSwapIsdaFixAm55Y#0001</v>
      </c>
      <c r="G61" s="43" t="str">
        <f>_xll.ohRangeRetrieveError(F61)</f>
        <v/>
      </c>
      <c r="H61" s="42"/>
    </row>
    <row r="62" spans="2:8" s="38" customFormat="1" x14ac:dyDescent="0.2">
      <c r="B62" s="48"/>
      <c r="C62" s="47" t="s">
        <v>33</v>
      </c>
      <c r="D62" s="46" t="s">
        <v>18</v>
      </c>
      <c r="E62" s="45" t="str">
        <f t="shared" si="6"/>
        <v>UsdLiborSwapIsdaFixAm56Y</v>
      </c>
      <c r="F62" s="44" t="str">
        <f>_xll.qlLiborSwap($E62,Currency,FixingType,$C62,Currency&amp;$D62,Discounting,Permanent,Trigger,ObjectOverwrite)</f>
        <v>UsdLiborSwapIsdaFixAm56Y#0001</v>
      </c>
      <c r="G62" s="43" t="str">
        <f>_xll.ohRangeRetrieveError(F62)</f>
        <v/>
      </c>
      <c r="H62" s="42"/>
    </row>
    <row r="63" spans="2:8" s="38" customFormat="1" x14ac:dyDescent="0.2">
      <c r="B63" s="48"/>
      <c r="C63" s="47" t="s">
        <v>32</v>
      </c>
      <c r="D63" s="46" t="s">
        <v>18</v>
      </c>
      <c r="E63" s="45" t="str">
        <f t="shared" si="6"/>
        <v>UsdLiborSwapIsdaFixAm57Y</v>
      </c>
      <c r="F63" s="44" t="str">
        <f>_xll.qlLiborSwap($E63,Currency,FixingType,$C63,Currency&amp;$D63,Discounting,Permanent,Trigger,ObjectOverwrite)</f>
        <v>UsdLiborSwapIsdaFixAm57Y#0001</v>
      </c>
      <c r="G63" s="43" t="str">
        <f>_xll.ohRangeRetrieveError(F63)</f>
        <v/>
      </c>
      <c r="H63" s="42"/>
    </row>
    <row r="64" spans="2:8" s="38" customFormat="1" x14ac:dyDescent="0.2">
      <c r="B64" s="48"/>
      <c r="C64" s="47" t="s">
        <v>31</v>
      </c>
      <c r="D64" s="46" t="s">
        <v>18</v>
      </c>
      <c r="E64" s="45" t="str">
        <f t="shared" si="6"/>
        <v>UsdLiborSwapIsdaFixAm58Y</v>
      </c>
      <c r="F64" s="44" t="str">
        <f>_xll.qlLiborSwap($E64,Currency,FixingType,$C64,Currency&amp;$D64,Discounting,Permanent,Trigger,ObjectOverwrite)</f>
        <v>UsdLiborSwapIsdaFixAm58Y#0001</v>
      </c>
      <c r="G64" s="43" t="str">
        <f>_xll.ohRangeRetrieveError(F64)</f>
        <v/>
      </c>
      <c r="H64" s="42"/>
    </row>
    <row r="65" spans="2:25" s="38" customFormat="1" x14ac:dyDescent="0.2">
      <c r="B65" s="48"/>
      <c r="C65" s="47" t="s">
        <v>30</v>
      </c>
      <c r="D65" s="46" t="s">
        <v>18</v>
      </c>
      <c r="E65" s="45" t="str">
        <f t="shared" si="6"/>
        <v>UsdLiborSwapIsdaFixAm59Y</v>
      </c>
      <c r="F65" s="44" t="str">
        <f>_xll.qlLiborSwap($E65,Currency,FixingType,$C65,Currency&amp;$D65,Discounting,Permanent,Trigger,ObjectOverwrite)</f>
        <v>UsdLiborSwapIsdaFixAm59Y#0001</v>
      </c>
      <c r="G65" s="43" t="str">
        <f>_xll.ohRangeRetrieveError(F65)</f>
        <v/>
      </c>
      <c r="H65" s="42"/>
    </row>
    <row r="66" spans="2:25" s="38" customFormat="1" x14ac:dyDescent="0.2">
      <c r="B66" s="48"/>
      <c r="C66" s="47" t="s">
        <v>29</v>
      </c>
      <c r="D66" s="46" t="s">
        <v>18</v>
      </c>
      <c r="E66" s="45" t="str">
        <f t="shared" si="6"/>
        <v>UsdLiborSwapIsdaFixAm60Y</v>
      </c>
      <c r="F66" s="44" t="str">
        <f>_xll.qlLiborSwap($E66,Currency,FixingType,$C66,Currency&amp;$D66,Discounting,Permanent,Trigger,ObjectOverwrite)</f>
        <v>UsdLiborSwapIsdaFixAm60Y#0001</v>
      </c>
      <c r="G66" s="43" t="str">
        <f>_xll.ohRangeRetrieveError(F66)</f>
        <v/>
      </c>
      <c r="H66" s="42"/>
    </row>
    <row r="67" spans="2:25" s="38" customFormat="1" ht="12" thickBot="1" x14ac:dyDescent="0.25">
      <c r="B67" s="41"/>
      <c r="C67" s="40"/>
      <c r="D67" s="40"/>
      <c r="E67" s="40"/>
      <c r="F67" s="40"/>
      <c r="G67" s="40"/>
      <c r="H67" s="39"/>
    </row>
    <row r="68" spans="2:25" s="38" customFormat="1" x14ac:dyDescent="0.2"/>
    <row r="69" spans="2:25" x14ac:dyDescent="0.2"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2:25" x14ac:dyDescent="0.2"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2:25" x14ac:dyDescent="0.2"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workbookViewId="0">
      <selection activeCell="D7" sqref="D7:D66"/>
    </sheetView>
  </sheetViews>
  <sheetFormatPr defaultRowHeight="11.25" x14ac:dyDescent="0.2"/>
  <cols>
    <col min="1" max="2" width="2.7109375" style="20" customWidth="1"/>
    <col min="3" max="3" width="3.85546875" style="20" bestFit="1" customWidth="1"/>
    <col min="4" max="4" width="8.42578125" style="20" bestFit="1" customWidth="1"/>
    <col min="5" max="5" width="22.7109375" style="20" bestFit="1" customWidth="1"/>
    <col min="6" max="6" width="25.85546875" style="20" bestFit="1" customWidth="1"/>
    <col min="7" max="7" width="55" style="20" customWidth="1"/>
    <col min="8" max="11" width="2.7109375" style="20" customWidth="1"/>
    <col min="12" max="13" width="9.140625" style="20"/>
    <col min="14" max="14" width="12.42578125" style="20" customWidth="1"/>
    <col min="15" max="17" width="9.140625" style="20"/>
    <col min="18" max="18" width="2.7109375" style="20" customWidth="1"/>
    <col min="19" max="19" width="28.5703125" style="20" bestFit="1" customWidth="1"/>
    <col min="20" max="24" width="9.140625" style="20"/>
    <col min="25" max="25" width="2.7109375" style="20" customWidth="1"/>
    <col min="26" max="16384" width="9.140625" style="20"/>
  </cols>
  <sheetData>
    <row r="1" spans="1:25" s="38" customFormat="1" ht="12" thickBot="1" x14ac:dyDescent="0.25">
      <c r="A1" s="38" t="s">
        <v>101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s="38" customFormat="1" x14ac:dyDescent="0.2">
      <c r="B2" s="58"/>
      <c r="C2" s="56"/>
      <c r="D2" s="56"/>
      <c r="E2" s="57"/>
      <c r="F2" s="56"/>
      <c r="G2" s="56"/>
      <c r="H2" s="55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s="38" customFormat="1" x14ac:dyDescent="0.2">
      <c r="B3" s="48"/>
      <c r="C3" s="53"/>
      <c r="D3" s="53"/>
      <c r="E3" s="54" t="s">
        <v>28</v>
      </c>
      <c r="F3" s="50" t="s">
        <v>91</v>
      </c>
      <c r="G3" s="53"/>
      <c r="H3" s="4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s="38" customFormat="1" ht="12" thickBot="1" x14ac:dyDescent="0.25">
      <c r="B4" s="48"/>
      <c r="C4" s="53"/>
      <c r="D4" s="53"/>
      <c r="E4" s="54" t="s">
        <v>90</v>
      </c>
      <c r="F4" s="50" t="s">
        <v>92</v>
      </c>
      <c r="G4" s="53"/>
      <c r="H4" s="49"/>
      <c r="J4" s="448" t="s">
        <v>313</v>
      </c>
      <c r="K4" s="374"/>
      <c r="L4" s="374"/>
      <c r="M4" s="379"/>
      <c r="N4" s="387"/>
      <c r="O4" s="433"/>
      <c r="P4" s="433"/>
      <c r="Q4" s="374"/>
      <c r="R4" s="379"/>
      <c r="S4" s="374"/>
      <c r="T4" s="374"/>
      <c r="U4" s="374"/>
      <c r="V4" s="374"/>
      <c r="W4" s="374"/>
      <c r="X4" s="374"/>
      <c r="Y4" s="374"/>
    </row>
    <row r="5" spans="1:25" s="38" customFormat="1" ht="19.5" x14ac:dyDescent="0.4">
      <c r="B5" s="48"/>
      <c r="C5" s="53"/>
      <c r="D5" s="53"/>
      <c r="E5" s="53"/>
      <c r="F5" s="53"/>
      <c r="G5" s="53"/>
      <c r="H5" s="49"/>
      <c r="J5" s="374"/>
      <c r="K5" s="432"/>
      <c r="L5" s="426"/>
      <c r="M5" s="431" t="str">
        <f>VLOOKUP(Currency,Traits,2,FALSE)</f>
        <v>SFIXP</v>
      </c>
      <c r="N5" s="430"/>
      <c r="O5" s="429"/>
      <c r="P5" s="429"/>
      <c r="Q5" s="426"/>
      <c r="R5" s="426"/>
      <c r="S5" s="428" t="str">
        <f>VLOOKUP(Currency,Traits,3,FALSE)</f>
        <v>LiborSwapIsdaFixPm</v>
      </c>
      <c r="T5" s="426"/>
      <c r="U5" s="426"/>
      <c r="V5" s="427">
        <f>MAX(X7:X22)</f>
        <v>0</v>
      </c>
      <c r="W5" s="426"/>
      <c r="X5" s="426"/>
      <c r="Y5" s="425"/>
    </row>
    <row r="6" spans="1:25" s="38" customFormat="1" ht="33.75" x14ac:dyDescent="0.2">
      <c r="B6" s="48"/>
      <c r="C6" s="53"/>
      <c r="D6" s="52" t="s">
        <v>88</v>
      </c>
      <c r="E6" s="51" t="str">
        <f>PROPER(Currency)&amp;FamilyName&amp;FixingType&amp;".xml"</f>
        <v>UsdLiborSwapIsdaFixPm.xml</v>
      </c>
      <c r="F6" s="50" t="str">
        <f>IF(Serialize,_xll.ohObjectSave(F7:F66,SerializationPath&amp;FileName,FileOverwrite,,Serialize),"---")</f>
        <v>---</v>
      </c>
      <c r="G6" s="43" t="str">
        <f>_xll.ohRangeRetrieveError(F6)</f>
        <v/>
      </c>
      <c r="H6" s="49"/>
      <c r="J6" s="374"/>
      <c r="K6" s="403"/>
      <c r="L6" s="423" t="s">
        <v>26</v>
      </c>
      <c r="M6" s="422" t="str">
        <f>_xll.RData(M7:M21,N6:O6,"RTFEED:IDN",,,N7)</f>
        <v>Paused at 15:28:02</v>
      </c>
      <c r="N6" s="422" t="s">
        <v>295</v>
      </c>
      <c r="O6" s="422" t="s">
        <v>301</v>
      </c>
      <c r="P6" s="422" t="s">
        <v>294</v>
      </c>
      <c r="Q6" s="421" t="s">
        <v>293</v>
      </c>
      <c r="R6" s="424"/>
      <c r="S6" s="423" t="s">
        <v>236</v>
      </c>
      <c r="T6" s="422" t="s">
        <v>292</v>
      </c>
      <c r="U6" s="422" t="s">
        <v>291</v>
      </c>
      <c r="V6" s="422" t="s">
        <v>290</v>
      </c>
      <c r="W6" s="421" t="s">
        <v>289</v>
      </c>
      <c r="X6" s="420"/>
      <c r="Y6" s="393"/>
    </row>
    <row r="7" spans="1:25" s="38" customFormat="1" x14ac:dyDescent="0.2">
      <c r="B7" s="48"/>
      <c r="C7" s="60" t="s">
        <v>9</v>
      </c>
      <c r="D7" s="46" t="s">
        <v>18</v>
      </c>
      <c r="E7" s="59" t="str">
        <f t="shared" ref="E7:E38" si="0">PROPER(Currency)&amp;FamilyName&amp;FixingType&amp;$C7</f>
        <v>UsdLiborSwapIsdaFixPm1Y</v>
      </c>
      <c r="F7" s="44" t="str">
        <f>_xll.qlLiborSwap($E7,Currency,FixingType,$C7,Currency&amp;$D7,Discounting,Permanent,Trigger,ObjectOverwrite)</f>
        <v>UsdLiborSwapIsdaFixPm1Y#0000</v>
      </c>
      <c r="G7" s="43" t="str">
        <f>_xll.ohRangeRetrieveError(F7)</f>
        <v/>
      </c>
      <c r="H7" s="42"/>
      <c r="J7" s="374"/>
      <c r="K7" s="403"/>
      <c r="L7" s="419" t="s">
        <v>9</v>
      </c>
      <c r="M7" s="414" t="str">
        <f t="shared" ref="M7:M21" si="1">Currency&amp;$M$5&amp;$L7&amp;"="</f>
        <v>USDSFIXP1Y=</v>
      </c>
      <c r="N7" s="418">
        <v>41752</v>
      </c>
      <c r="O7" s="417">
        <v>0</v>
      </c>
      <c r="P7" s="417" t="b">
        <f t="shared" ref="P7:P21" si="2">IF(AND(ISNUMBER($O7),$O7&lt;&gt;0%),TRUE,FALSE)</f>
        <v>0</v>
      </c>
      <c r="Q7" s="416" t="e">
        <f>IF($P7,_xll.qlIndexAddFixings($S7,$N7,$O7/100,TRUE,ISERROR($T7)),NA())</f>
        <v>#N/A</v>
      </c>
      <c r="R7" s="398"/>
      <c r="S7" s="415" t="str">
        <f t="shared" ref="S7:S21" si="3">PROPER(Currency)&amp;$S$5&amp;$L7</f>
        <v>UsdLiborSwapIsdaFixPm1Y</v>
      </c>
      <c r="T7" s="414" t="e">
        <f>_xll.qlIndexFixing($S7,$N7,TRUE,$P7)</f>
        <v>#NUM!</v>
      </c>
      <c r="U7" s="414" t="e">
        <f>IF($Q7,_xll.qlIndexFixing($S7,$N7,FALSE,$P7),"-")</f>
        <v>#N/A</v>
      </c>
      <c r="V7" s="414" t="e">
        <f t="shared" ref="V7:V21" si="4">T7-U7</f>
        <v>#NUM!</v>
      </c>
      <c r="W7" s="413" t="e">
        <f>_xll.qlIndexFixing($S7,$N7,TRUE,$U7)</f>
        <v>#NUM!</v>
      </c>
      <c r="X7" s="437">
        <f t="shared" ref="X7:X21" si="5">IF(ISERROR(V7),0,ABS(V7))</f>
        <v>0</v>
      </c>
      <c r="Y7" s="393"/>
    </row>
    <row r="8" spans="1:25" s="38" customFormat="1" x14ac:dyDescent="0.2">
      <c r="B8" s="48"/>
      <c r="C8" s="60" t="s">
        <v>87</v>
      </c>
      <c r="D8" s="46" t="s">
        <v>18</v>
      </c>
      <c r="E8" s="59" t="str">
        <f t="shared" si="0"/>
        <v>UsdLiborSwapIsdaFixPm2Y</v>
      </c>
      <c r="F8" s="44" t="str">
        <f>_xll.qlLiborSwap($E8,Currency,FixingType,$C8,Currency&amp;$D8,Discounting,Permanent,Trigger,ObjectOverwrite)</f>
        <v>UsdLiborSwapIsdaFixPm2Y#0000</v>
      </c>
      <c r="G8" s="43" t="str">
        <f>_xll.ohRangeRetrieveError(F8)</f>
        <v/>
      </c>
      <c r="H8" s="42"/>
      <c r="J8" s="374"/>
      <c r="K8" s="403"/>
      <c r="L8" s="411" t="s">
        <v>87</v>
      </c>
      <c r="M8" s="406" t="str">
        <f t="shared" si="1"/>
        <v>USDSFIXP2Y=</v>
      </c>
      <c r="N8" s="410" t="s">
        <v>219</v>
      </c>
      <c r="O8" s="409" t="s">
        <v>219</v>
      </c>
      <c r="P8" s="409" t="b">
        <f t="shared" si="2"/>
        <v>0</v>
      </c>
      <c r="Q8" s="408" t="e">
        <f>IF($P8,_xll.qlIndexAddFixings($S8,$N8,$O8/100,TRUE,ISERROR($T8)),NA())</f>
        <v>#N/A</v>
      </c>
      <c r="R8" s="398"/>
      <c r="S8" s="407" t="str">
        <f t="shared" si="3"/>
        <v>UsdLiborSwapIsdaFixPm2Y</v>
      </c>
      <c r="T8" s="406" t="e">
        <f>_xll.qlIndexFixing($S8,$N8,TRUE,$P8)</f>
        <v>#NUM!</v>
      </c>
      <c r="U8" s="406" t="e">
        <f>IF($Q8,_xll.qlIndexFixing($S8,$N8,FALSE,$P8),"-")</f>
        <v>#N/A</v>
      </c>
      <c r="V8" s="406" t="e">
        <f t="shared" si="4"/>
        <v>#NUM!</v>
      </c>
      <c r="W8" s="405" t="e">
        <f>_xll.qlIndexFixing($S8,$N8,TRUE,$U8)</f>
        <v>#NUM!</v>
      </c>
      <c r="X8" s="437">
        <f t="shared" si="5"/>
        <v>0</v>
      </c>
      <c r="Y8" s="393"/>
    </row>
    <row r="9" spans="1:25" s="38" customFormat="1" x14ac:dyDescent="0.2">
      <c r="B9" s="48"/>
      <c r="C9" s="60" t="s">
        <v>86</v>
      </c>
      <c r="D9" s="46" t="s">
        <v>18</v>
      </c>
      <c r="E9" s="59" t="str">
        <f t="shared" si="0"/>
        <v>UsdLiborSwapIsdaFixPm3Y</v>
      </c>
      <c r="F9" s="44" t="str">
        <f>_xll.qlLiborSwap($E9,Currency,FixingType,$C9,Currency&amp;$D9,Discounting,Permanent,Trigger,ObjectOverwrite)</f>
        <v>UsdLiborSwapIsdaFixPm3Y#0000</v>
      </c>
      <c r="G9" s="43" t="str">
        <f>_xll.ohRangeRetrieveError(F9)</f>
        <v/>
      </c>
      <c r="H9" s="42"/>
      <c r="J9" s="374"/>
      <c r="K9" s="403"/>
      <c r="L9" s="411" t="s">
        <v>86</v>
      </c>
      <c r="M9" s="406" t="str">
        <f t="shared" si="1"/>
        <v>USDSFIXP3Y=</v>
      </c>
      <c r="N9" s="410" t="s">
        <v>219</v>
      </c>
      <c r="O9" s="409" t="s">
        <v>219</v>
      </c>
      <c r="P9" s="409" t="b">
        <f t="shared" si="2"/>
        <v>0</v>
      </c>
      <c r="Q9" s="408" t="e">
        <f>IF($P9,_xll.qlIndexAddFixings($S9,$N9,$O9/100,TRUE,ISERROR($T9)),NA())</f>
        <v>#N/A</v>
      </c>
      <c r="R9" s="398"/>
      <c r="S9" s="407" t="str">
        <f t="shared" si="3"/>
        <v>UsdLiborSwapIsdaFixPm3Y</v>
      </c>
      <c r="T9" s="406" t="e">
        <f>_xll.qlIndexFixing($S9,$N9,TRUE,$P9)</f>
        <v>#NUM!</v>
      </c>
      <c r="U9" s="406" t="e">
        <f>IF($Q9,_xll.qlIndexFixing($S9,$N9,FALSE,$P9),"-")</f>
        <v>#N/A</v>
      </c>
      <c r="V9" s="406" t="e">
        <f t="shared" si="4"/>
        <v>#NUM!</v>
      </c>
      <c r="W9" s="405" t="e">
        <f>_xll.qlIndexFixing($S9,$N9,TRUE,$U9)</f>
        <v>#NUM!</v>
      </c>
      <c r="X9" s="437">
        <f t="shared" si="5"/>
        <v>0</v>
      </c>
      <c r="Y9" s="393"/>
    </row>
    <row r="10" spans="1:25" s="38" customFormat="1" x14ac:dyDescent="0.2">
      <c r="B10" s="48"/>
      <c r="C10" s="60" t="s">
        <v>85</v>
      </c>
      <c r="D10" s="46" t="s">
        <v>18</v>
      </c>
      <c r="E10" s="59" t="str">
        <f t="shared" si="0"/>
        <v>UsdLiborSwapIsdaFixPm4Y</v>
      </c>
      <c r="F10" s="44" t="str">
        <f>_xll.qlLiborSwap($E10,Currency,FixingType,$C10,Currency&amp;$D10,Discounting,Permanent,Trigger,ObjectOverwrite)</f>
        <v>UsdLiborSwapIsdaFixPm4Y#0000</v>
      </c>
      <c r="G10" s="43" t="str">
        <f>_xll.ohRangeRetrieveError(F10)</f>
        <v/>
      </c>
      <c r="H10" s="42"/>
      <c r="J10" s="374"/>
      <c r="K10" s="403"/>
      <c r="L10" s="411" t="s">
        <v>85</v>
      </c>
      <c r="M10" s="406" t="str">
        <f t="shared" si="1"/>
        <v>USDSFIXP4Y=</v>
      </c>
      <c r="N10" s="410" t="s">
        <v>219</v>
      </c>
      <c r="O10" s="409" t="s">
        <v>219</v>
      </c>
      <c r="P10" s="409" t="b">
        <f t="shared" si="2"/>
        <v>0</v>
      </c>
      <c r="Q10" s="408" t="e">
        <f>IF($P10,_xll.qlIndexAddFixings($S10,$N10,$O10/100,TRUE,ISERROR($T10)),NA())</f>
        <v>#N/A</v>
      </c>
      <c r="R10" s="398"/>
      <c r="S10" s="407" t="str">
        <f t="shared" si="3"/>
        <v>UsdLiborSwapIsdaFixPm4Y</v>
      </c>
      <c r="T10" s="406" t="e">
        <f>_xll.qlIndexFixing($S10,$N10,TRUE,$P10)</f>
        <v>#NUM!</v>
      </c>
      <c r="U10" s="406" t="e">
        <f>IF($Q10,_xll.qlIndexFixing($S10,$N10,FALSE,$P10),"-")</f>
        <v>#N/A</v>
      </c>
      <c r="V10" s="406" t="e">
        <f t="shared" si="4"/>
        <v>#NUM!</v>
      </c>
      <c r="W10" s="405" t="e">
        <f>_xll.qlIndexFixing($S10,$N10,TRUE,$U10)</f>
        <v>#NUM!</v>
      </c>
      <c r="X10" s="437">
        <f t="shared" si="5"/>
        <v>0</v>
      </c>
      <c r="Y10" s="393"/>
    </row>
    <row r="11" spans="1:25" s="38" customFormat="1" x14ac:dyDescent="0.2">
      <c r="B11" s="48"/>
      <c r="C11" s="60" t="s">
        <v>84</v>
      </c>
      <c r="D11" s="46" t="s">
        <v>18</v>
      </c>
      <c r="E11" s="59" t="str">
        <f t="shared" si="0"/>
        <v>UsdLiborSwapIsdaFixPm5Y</v>
      </c>
      <c r="F11" s="44" t="str">
        <f>_xll.qlLiborSwap($E11,Currency,FixingType,$C11,Currency&amp;$D11,Discounting,Permanent,Trigger,ObjectOverwrite)</f>
        <v>UsdLiborSwapIsdaFixPm5Y#0000</v>
      </c>
      <c r="G11" s="43" t="str">
        <f>_xll.ohRangeRetrieveError(F11)</f>
        <v/>
      </c>
      <c r="H11" s="42"/>
      <c r="J11" s="374"/>
      <c r="K11" s="403"/>
      <c r="L11" s="411" t="s">
        <v>84</v>
      </c>
      <c r="M11" s="406" t="str">
        <f t="shared" si="1"/>
        <v>USDSFIXP5Y=</v>
      </c>
      <c r="N11" s="410" t="s">
        <v>219</v>
      </c>
      <c r="O11" s="409" t="s">
        <v>219</v>
      </c>
      <c r="P11" s="409" t="b">
        <f t="shared" si="2"/>
        <v>0</v>
      </c>
      <c r="Q11" s="408" t="e">
        <f>IF($P11,_xll.qlIndexAddFixings($S11,$N11,$O11/100,TRUE,ISERROR($T11)),NA())</f>
        <v>#N/A</v>
      </c>
      <c r="R11" s="398"/>
      <c r="S11" s="407" t="str">
        <f t="shared" si="3"/>
        <v>UsdLiborSwapIsdaFixPm5Y</v>
      </c>
      <c r="T11" s="406" t="e">
        <f>_xll.qlIndexFixing($S11,$N11,TRUE,$P11)</f>
        <v>#NUM!</v>
      </c>
      <c r="U11" s="406" t="e">
        <f>IF($Q11,_xll.qlIndexFixing($S11,$N11,FALSE,$P11),"-")</f>
        <v>#N/A</v>
      </c>
      <c r="V11" s="406" t="e">
        <f t="shared" si="4"/>
        <v>#NUM!</v>
      </c>
      <c r="W11" s="405" t="e">
        <f>_xll.qlIndexFixing($S11,$N11,TRUE,$U11)</f>
        <v>#NUM!</v>
      </c>
      <c r="X11" s="437">
        <f t="shared" si="5"/>
        <v>0</v>
      </c>
      <c r="Y11" s="393"/>
    </row>
    <row r="12" spans="1:25" s="38" customFormat="1" x14ac:dyDescent="0.2">
      <c r="B12" s="48"/>
      <c r="C12" s="60" t="s">
        <v>83</v>
      </c>
      <c r="D12" s="46" t="s">
        <v>18</v>
      </c>
      <c r="E12" s="59" t="str">
        <f t="shared" si="0"/>
        <v>UsdLiborSwapIsdaFixPm6Y</v>
      </c>
      <c r="F12" s="44" t="str">
        <f>_xll.qlLiborSwap($E12,Currency,FixingType,$C12,Currency&amp;$D12,Discounting,Permanent,Trigger,ObjectOverwrite)</f>
        <v>UsdLiborSwapIsdaFixPm6Y#0000</v>
      </c>
      <c r="G12" s="43" t="str">
        <f>_xll.ohRangeRetrieveError(F12)</f>
        <v/>
      </c>
      <c r="H12" s="42"/>
      <c r="J12" s="374"/>
      <c r="K12" s="403"/>
      <c r="L12" s="411" t="s">
        <v>83</v>
      </c>
      <c r="M12" s="406" t="str">
        <f t="shared" si="1"/>
        <v>USDSFIXP6Y=</v>
      </c>
      <c r="N12" s="410" t="s">
        <v>219</v>
      </c>
      <c r="O12" s="409" t="s">
        <v>219</v>
      </c>
      <c r="P12" s="409" t="b">
        <f t="shared" si="2"/>
        <v>0</v>
      </c>
      <c r="Q12" s="408" t="e">
        <f>IF($P12,_xll.qlIndexAddFixings($S12,$N12,$O12/100,TRUE,ISERROR($T12)),NA())</f>
        <v>#N/A</v>
      </c>
      <c r="R12" s="398"/>
      <c r="S12" s="407" t="str">
        <f t="shared" si="3"/>
        <v>UsdLiborSwapIsdaFixPm6Y</v>
      </c>
      <c r="T12" s="406" t="e">
        <f>_xll.qlIndexFixing($S12,$N12,TRUE,$P12)</f>
        <v>#NUM!</v>
      </c>
      <c r="U12" s="406" t="e">
        <f>IF($Q12,_xll.qlIndexFixing($S12,$N12,FALSE,$P12),"-")</f>
        <v>#N/A</v>
      </c>
      <c r="V12" s="406" t="e">
        <f t="shared" si="4"/>
        <v>#NUM!</v>
      </c>
      <c r="W12" s="405" t="e">
        <f>_xll.qlIndexFixing($S12,$N12,TRUE,$U12)</f>
        <v>#NUM!</v>
      </c>
      <c r="X12" s="437">
        <f t="shared" si="5"/>
        <v>0</v>
      </c>
      <c r="Y12" s="393"/>
    </row>
    <row r="13" spans="1:25" s="38" customFormat="1" x14ac:dyDescent="0.2">
      <c r="B13" s="48"/>
      <c r="C13" s="60" t="s">
        <v>82</v>
      </c>
      <c r="D13" s="46" t="s">
        <v>18</v>
      </c>
      <c r="E13" s="59" t="str">
        <f t="shared" si="0"/>
        <v>UsdLiborSwapIsdaFixPm7Y</v>
      </c>
      <c r="F13" s="44" t="str">
        <f>_xll.qlLiborSwap($E13,Currency,FixingType,$C13,Currency&amp;$D13,Discounting,Permanent,Trigger,ObjectOverwrite)</f>
        <v>UsdLiborSwapIsdaFixPm7Y#0000</v>
      </c>
      <c r="G13" s="43" t="str">
        <f>_xll.ohRangeRetrieveError(F13)</f>
        <v/>
      </c>
      <c r="H13" s="42"/>
      <c r="J13" s="374"/>
      <c r="K13" s="403"/>
      <c r="L13" s="411" t="s">
        <v>82</v>
      </c>
      <c r="M13" s="406" t="str">
        <f t="shared" si="1"/>
        <v>USDSFIXP7Y=</v>
      </c>
      <c r="N13" s="410" t="s">
        <v>219</v>
      </c>
      <c r="O13" s="409" t="s">
        <v>219</v>
      </c>
      <c r="P13" s="409" t="b">
        <f t="shared" si="2"/>
        <v>0</v>
      </c>
      <c r="Q13" s="408" t="e">
        <f>IF($P13,_xll.qlIndexAddFixings($S13,$N13,$O13/100,TRUE,ISERROR($T13)),NA())</f>
        <v>#N/A</v>
      </c>
      <c r="R13" s="398"/>
      <c r="S13" s="407" t="str">
        <f t="shared" si="3"/>
        <v>UsdLiborSwapIsdaFixPm7Y</v>
      </c>
      <c r="T13" s="406" t="e">
        <f>_xll.qlIndexFixing($S13,$N13,TRUE,$P13)</f>
        <v>#NUM!</v>
      </c>
      <c r="U13" s="406" t="e">
        <f>IF($Q13,_xll.qlIndexFixing($S13,$N13,FALSE,$P13),"-")</f>
        <v>#N/A</v>
      </c>
      <c r="V13" s="406" t="e">
        <f t="shared" si="4"/>
        <v>#NUM!</v>
      </c>
      <c r="W13" s="405" t="e">
        <f>_xll.qlIndexFixing($S13,$N13,TRUE,$U13)</f>
        <v>#NUM!</v>
      </c>
      <c r="X13" s="437">
        <f t="shared" si="5"/>
        <v>0</v>
      </c>
      <c r="Y13" s="393"/>
    </row>
    <row r="14" spans="1:25" s="38" customFormat="1" x14ac:dyDescent="0.2">
      <c r="B14" s="48"/>
      <c r="C14" s="60" t="s">
        <v>81</v>
      </c>
      <c r="D14" s="46" t="s">
        <v>18</v>
      </c>
      <c r="E14" s="59" t="str">
        <f t="shared" si="0"/>
        <v>UsdLiborSwapIsdaFixPm8Y</v>
      </c>
      <c r="F14" s="44" t="str">
        <f>_xll.qlLiborSwap($E14,Currency,FixingType,$C14,Currency&amp;$D14,Discounting,Permanent,Trigger,ObjectOverwrite)</f>
        <v>UsdLiborSwapIsdaFixPm8Y#0000</v>
      </c>
      <c r="G14" s="43" t="str">
        <f>_xll.ohRangeRetrieveError(F14)</f>
        <v/>
      </c>
      <c r="H14" s="42"/>
      <c r="J14" s="374"/>
      <c r="K14" s="403"/>
      <c r="L14" s="411" t="s">
        <v>81</v>
      </c>
      <c r="M14" s="406" t="str">
        <f t="shared" si="1"/>
        <v>USDSFIXP8Y=</v>
      </c>
      <c r="N14" s="410" t="s">
        <v>219</v>
      </c>
      <c r="O14" s="409" t="s">
        <v>219</v>
      </c>
      <c r="P14" s="409" t="b">
        <f t="shared" si="2"/>
        <v>0</v>
      </c>
      <c r="Q14" s="408" t="e">
        <f>IF($P14,_xll.qlIndexAddFixings($S14,$N14,$O14/100,TRUE,ISERROR($T14)),NA())</f>
        <v>#N/A</v>
      </c>
      <c r="R14" s="398"/>
      <c r="S14" s="407" t="str">
        <f t="shared" si="3"/>
        <v>UsdLiborSwapIsdaFixPm8Y</v>
      </c>
      <c r="T14" s="406" t="e">
        <f>_xll.qlIndexFixing($S14,$N14,TRUE,$P14)</f>
        <v>#NUM!</v>
      </c>
      <c r="U14" s="406" t="e">
        <f>IF($Q14,_xll.qlIndexFixing($S14,$N14,FALSE,$P14),"-")</f>
        <v>#N/A</v>
      </c>
      <c r="V14" s="406" t="e">
        <f t="shared" si="4"/>
        <v>#NUM!</v>
      </c>
      <c r="W14" s="405" t="e">
        <f>_xll.qlIndexFixing($S14,$N14,TRUE,$U14)</f>
        <v>#NUM!</v>
      </c>
      <c r="X14" s="437">
        <f t="shared" si="5"/>
        <v>0</v>
      </c>
      <c r="Y14" s="393"/>
    </row>
    <row r="15" spans="1:25" s="38" customFormat="1" x14ac:dyDescent="0.2">
      <c r="B15" s="48"/>
      <c r="C15" s="60" t="s">
        <v>80</v>
      </c>
      <c r="D15" s="46" t="s">
        <v>18</v>
      </c>
      <c r="E15" s="59" t="str">
        <f t="shared" si="0"/>
        <v>UsdLiborSwapIsdaFixPm9Y</v>
      </c>
      <c r="F15" s="44" t="str">
        <f>_xll.qlLiborSwap($E15,Currency,FixingType,$C15,Currency&amp;$D15,Discounting,Permanent,Trigger,ObjectOverwrite)</f>
        <v>UsdLiborSwapIsdaFixPm9Y#0000</v>
      </c>
      <c r="G15" s="43" t="str">
        <f>_xll.ohRangeRetrieveError(F15)</f>
        <v/>
      </c>
      <c r="H15" s="42"/>
      <c r="J15" s="374"/>
      <c r="K15" s="403"/>
      <c r="L15" s="411" t="s">
        <v>80</v>
      </c>
      <c r="M15" s="406" t="str">
        <f t="shared" si="1"/>
        <v>USDSFIXP9Y=</v>
      </c>
      <c r="N15" s="410" t="s">
        <v>219</v>
      </c>
      <c r="O15" s="409" t="s">
        <v>219</v>
      </c>
      <c r="P15" s="409" t="b">
        <f t="shared" si="2"/>
        <v>0</v>
      </c>
      <c r="Q15" s="408" t="e">
        <f>IF($P15,_xll.qlIndexAddFixings($S15,$N15,$O15/100,TRUE,ISERROR($T15)),NA())</f>
        <v>#N/A</v>
      </c>
      <c r="R15" s="398"/>
      <c r="S15" s="407" t="str">
        <f t="shared" si="3"/>
        <v>UsdLiborSwapIsdaFixPm9Y</v>
      </c>
      <c r="T15" s="406" t="e">
        <f>_xll.qlIndexFixing($S15,$N15,TRUE,$P15)</f>
        <v>#NUM!</v>
      </c>
      <c r="U15" s="406" t="e">
        <f>IF($Q15,_xll.qlIndexFixing($S15,$N15,FALSE,$P15),"-")</f>
        <v>#N/A</v>
      </c>
      <c r="V15" s="406" t="e">
        <f t="shared" si="4"/>
        <v>#NUM!</v>
      </c>
      <c r="W15" s="405" t="e">
        <f>_xll.qlIndexFixing($S15,$N15,TRUE,$U15)</f>
        <v>#NUM!</v>
      </c>
      <c r="X15" s="437">
        <f t="shared" si="5"/>
        <v>0</v>
      </c>
      <c r="Y15" s="393"/>
    </row>
    <row r="16" spans="1:25" s="38" customFormat="1" x14ac:dyDescent="0.2">
      <c r="B16" s="48"/>
      <c r="C16" s="60" t="s">
        <v>79</v>
      </c>
      <c r="D16" s="46" t="s">
        <v>18</v>
      </c>
      <c r="E16" s="59" t="str">
        <f t="shared" si="0"/>
        <v>UsdLiborSwapIsdaFixPm10Y</v>
      </c>
      <c r="F16" s="44" t="str">
        <f>_xll.qlLiborSwap($E16,Currency,FixingType,$C16,Currency&amp;$D16,Discounting,Permanent,Trigger,ObjectOverwrite)</f>
        <v>UsdLiborSwapIsdaFixPm10Y#0000</v>
      </c>
      <c r="G16" s="43" t="str">
        <f>_xll.ohRangeRetrieveError(F16)</f>
        <v/>
      </c>
      <c r="H16" s="42"/>
      <c r="J16" s="374"/>
      <c r="K16" s="403"/>
      <c r="L16" s="411" t="s">
        <v>79</v>
      </c>
      <c r="M16" s="406" t="str">
        <f t="shared" si="1"/>
        <v>USDSFIXP10Y=</v>
      </c>
      <c r="N16" s="410" t="s">
        <v>219</v>
      </c>
      <c r="O16" s="409" t="s">
        <v>219</v>
      </c>
      <c r="P16" s="409" t="b">
        <f t="shared" si="2"/>
        <v>0</v>
      </c>
      <c r="Q16" s="408" t="e">
        <f>IF($P16,_xll.qlIndexAddFixings($S16,$N16,$O16/100,TRUE,ISERROR($T16)),NA())</f>
        <v>#N/A</v>
      </c>
      <c r="R16" s="398"/>
      <c r="S16" s="407" t="str">
        <f t="shared" si="3"/>
        <v>UsdLiborSwapIsdaFixPm10Y</v>
      </c>
      <c r="T16" s="406" t="e">
        <f>_xll.qlIndexFixing($S16,$N16,TRUE,$P16)</f>
        <v>#NUM!</v>
      </c>
      <c r="U16" s="406" t="e">
        <f>IF($Q16,_xll.qlIndexFixing($S16,$N16,FALSE,$P16),"-")</f>
        <v>#N/A</v>
      </c>
      <c r="V16" s="406" t="e">
        <f t="shared" si="4"/>
        <v>#NUM!</v>
      </c>
      <c r="W16" s="405" t="e">
        <f>_xll.qlIndexFixing($S16,$N16,TRUE,$U16)</f>
        <v>#NUM!</v>
      </c>
      <c r="X16" s="437">
        <f t="shared" si="5"/>
        <v>0</v>
      </c>
      <c r="Y16" s="393"/>
    </row>
    <row r="17" spans="2:25" s="38" customFormat="1" x14ac:dyDescent="0.2">
      <c r="B17" s="48"/>
      <c r="C17" s="60" t="s">
        <v>78</v>
      </c>
      <c r="D17" s="46" t="s">
        <v>18</v>
      </c>
      <c r="E17" s="59" t="str">
        <f t="shared" si="0"/>
        <v>UsdLiborSwapIsdaFixPm11Y</v>
      </c>
      <c r="F17" s="44" t="str">
        <f>_xll.qlLiborSwap($E17,Currency,FixingType,$C17,Currency&amp;$D17,Discounting,Permanent,Trigger,ObjectOverwrite)</f>
        <v>UsdLiborSwapIsdaFixPm11Y#0000</v>
      </c>
      <c r="G17" s="43" t="str">
        <f>_xll.ohRangeRetrieveError(F17)</f>
        <v/>
      </c>
      <c r="H17" s="42"/>
      <c r="J17" s="374"/>
      <c r="K17" s="403"/>
      <c r="L17" s="411" t="s">
        <v>77</v>
      </c>
      <c r="M17" s="406" t="str">
        <f t="shared" si="1"/>
        <v>USDSFIXP12Y=</v>
      </c>
      <c r="N17" s="410" t="s">
        <v>219</v>
      </c>
      <c r="O17" s="409" t="s">
        <v>219</v>
      </c>
      <c r="P17" s="409" t="b">
        <f t="shared" si="2"/>
        <v>0</v>
      </c>
      <c r="Q17" s="408" t="e">
        <f>IF($P17,_xll.qlIndexAddFixings($S17,$N17,$O17/100,TRUE,ISERROR($T17)),NA())</f>
        <v>#N/A</v>
      </c>
      <c r="R17" s="398"/>
      <c r="S17" s="407" t="str">
        <f t="shared" si="3"/>
        <v>UsdLiborSwapIsdaFixPm12Y</v>
      </c>
      <c r="T17" s="406" t="e">
        <f>_xll.qlIndexFixing($S17,$N17,TRUE,$P17)</f>
        <v>#NUM!</v>
      </c>
      <c r="U17" s="406" t="e">
        <f>IF($Q17,_xll.qlIndexFixing($S17,$N17,FALSE,$P17),"-")</f>
        <v>#N/A</v>
      </c>
      <c r="V17" s="406" t="e">
        <f t="shared" si="4"/>
        <v>#NUM!</v>
      </c>
      <c r="W17" s="405" t="e">
        <f>_xll.qlIndexFixing($S17,$N17,TRUE,$U17)</f>
        <v>#NUM!</v>
      </c>
      <c r="X17" s="437">
        <f t="shared" si="5"/>
        <v>0</v>
      </c>
      <c r="Y17" s="393"/>
    </row>
    <row r="18" spans="2:25" s="38" customFormat="1" x14ac:dyDescent="0.2">
      <c r="B18" s="48"/>
      <c r="C18" s="60" t="s">
        <v>77</v>
      </c>
      <c r="D18" s="46" t="s">
        <v>18</v>
      </c>
      <c r="E18" s="59" t="str">
        <f t="shared" si="0"/>
        <v>UsdLiborSwapIsdaFixPm12Y</v>
      </c>
      <c r="F18" s="44" t="str">
        <f>_xll.qlLiborSwap($E18,Currency,FixingType,$C18,Currency&amp;$D18,Discounting,Permanent,Trigger,ObjectOverwrite)</f>
        <v>UsdLiborSwapIsdaFixPm12Y#0000</v>
      </c>
      <c r="G18" s="43" t="str">
        <f>_xll.ohRangeRetrieveError(F18)</f>
        <v/>
      </c>
      <c r="H18" s="42"/>
      <c r="J18" s="374"/>
      <c r="K18" s="403"/>
      <c r="L18" s="411" t="s">
        <v>74</v>
      </c>
      <c r="M18" s="406" t="str">
        <f t="shared" si="1"/>
        <v>USDSFIXP15Y=</v>
      </c>
      <c r="N18" s="410" t="s">
        <v>219</v>
      </c>
      <c r="O18" s="409" t="s">
        <v>219</v>
      </c>
      <c r="P18" s="409" t="b">
        <f t="shared" si="2"/>
        <v>0</v>
      </c>
      <c r="Q18" s="408" t="e">
        <f>IF($P18,_xll.qlIndexAddFixings($S18,$N18,$O18/100,TRUE,ISERROR($T18)),NA())</f>
        <v>#N/A</v>
      </c>
      <c r="R18" s="398"/>
      <c r="S18" s="407" t="str">
        <f t="shared" si="3"/>
        <v>UsdLiborSwapIsdaFixPm15Y</v>
      </c>
      <c r="T18" s="406" t="e">
        <f>_xll.qlIndexFixing($S18,$N18,TRUE,$P18)</f>
        <v>#NUM!</v>
      </c>
      <c r="U18" s="406" t="e">
        <f>IF($Q18,_xll.qlIndexFixing($S18,$N18,FALSE,$P18),"-")</f>
        <v>#N/A</v>
      </c>
      <c r="V18" s="406" t="e">
        <f t="shared" si="4"/>
        <v>#NUM!</v>
      </c>
      <c r="W18" s="405" t="e">
        <f>_xll.qlIndexFixing($S18,$N18,TRUE,$U18)</f>
        <v>#NUM!</v>
      </c>
      <c r="X18" s="437">
        <f t="shared" si="5"/>
        <v>0</v>
      </c>
      <c r="Y18" s="393"/>
    </row>
    <row r="19" spans="2:25" s="38" customFormat="1" x14ac:dyDescent="0.2">
      <c r="B19" s="48"/>
      <c r="C19" s="60" t="s">
        <v>76</v>
      </c>
      <c r="D19" s="46" t="s">
        <v>18</v>
      </c>
      <c r="E19" s="59" t="str">
        <f t="shared" si="0"/>
        <v>UsdLiborSwapIsdaFixPm13Y</v>
      </c>
      <c r="F19" s="44" t="str">
        <f>_xll.qlLiborSwap($E19,Currency,FixingType,$C19,Currency&amp;$D19,Discounting,Permanent,Trigger,ObjectOverwrite)</f>
        <v>UsdLiborSwapIsdaFixPm13Y#0000</v>
      </c>
      <c r="G19" s="43" t="str">
        <f>_xll.ohRangeRetrieveError(F19)</f>
        <v/>
      </c>
      <c r="H19" s="42"/>
      <c r="J19" s="374"/>
      <c r="K19" s="403"/>
      <c r="L19" s="411" t="s">
        <v>69</v>
      </c>
      <c r="M19" s="406" t="str">
        <f t="shared" si="1"/>
        <v>USDSFIXP20Y=</v>
      </c>
      <c r="N19" s="410" t="s">
        <v>219</v>
      </c>
      <c r="O19" s="409" t="s">
        <v>219</v>
      </c>
      <c r="P19" s="409" t="b">
        <f t="shared" si="2"/>
        <v>0</v>
      </c>
      <c r="Q19" s="408" t="e">
        <f>IF($P19,_xll.qlIndexAddFixings($S19,$N19,$O19/100,TRUE,ISERROR($T19)),NA())</f>
        <v>#N/A</v>
      </c>
      <c r="R19" s="398"/>
      <c r="S19" s="407" t="str">
        <f t="shared" si="3"/>
        <v>UsdLiborSwapIsdaFixPm20Y</v>
      </c>
      <c r="T19" s="406" t="e">
        <f>_xll.qlIndexFixing($S19,$N19,TRUE,$P19)</f>
        <v>#NUM!</v>
      </c>
      <c r="U19" s="406" t="e">
        <f>IF($Q19,_xll.qlIndexFixing($S19,$N19,FALSE,$P19),"-")</f>
        <v>#N/A</v>
      </c>
      <c r="V19" s="406" t="e">
        <f t="shared" si="4"/>
        <v>#NUM!</v>
      </c>
      <c r="W19" s="405" t="e">
        <f>_xll.qlIndexFixing($S19,$N19,TRUE,$U19)</f>
        <v>#NUM!</v>
      </c>
      <c r="X19" s="437">
        <f t="shared" si="5"/>
        <v>0</v>
      </c>
      <c r="Y19" s="393"/>
    </row>
    <row r="20" spans="2:25" s="38" customFormat="1" x14ac:dyDescent="0.2">
      <c r="B20" s="48"/>
      <c r="C20" s="60" t="s">
        <v>75</v>
      </c>
      <c r="D20" s="46" t="s">
        <v>18</v>
      </c>
      <c r="E20" s="59" t="str">
        <f t="shared" si="0"/>
        <v>UsdLiborSwapIsdaFixPm14Y</v>
      </c>
      <c r="F20" s="44" t="str">
        <f>_xll.qlLiborSwap($E20,Currency,FixingType,$C20,Currency&amp;$D20,Discounting,Permanent,Trigger,ObjectOverwrite)</f>
        <v>UsdLiborSwapIsdaFixPm14Y#0000</v>
      </c>
      <c r="G20" s="43" t="str">
        <f>_xll.ohRangeRetrieveError(F20)</f>
        <v/>
      </c>
      <c r="H20" s="42"/>
      <c r="J20" s="374"/>
      <c r="K20" s="403"/>
      <c r="L20" s="411" t="s">
        <v>64</v>
      </c>
      <c r="M20" s="406" t="str">
        <f t="shared" si="1"/>
        <v>USDSFIXP25Y=</v>
      </c>
      <c r="N20" s="410" t="s">
        <v>219</v>
      </c>
      <c r="O20" s="409" t="s">
        <v>219</v>
      </c>
      <c r="P20" s="409" t="b">
        <f t="shared" si="2"/>
        <v>0</v>
      </c>
      <c r="Q20" s="408" t="e">
        <f>IF($P20,_xll.qlIndexAddFixings($S20,$N20,$O20/100,TRUE,ISERROR($T20)),NA())</f>
        <v>#N/A</v>
      </c>
      <c r="R20" s="398"/>
      <c r="S20" s="407" t="str">
        <f t="shared" si="3"/>
        <v>UsdLiborSwapIsdaFixPm25Y</v>
      </c>
      <c r="T20" s="406" t="e">
        <f>_xll.qlIndexFixing($S20,$N20,TRUE,$P20)</f>
        <v>#NUM!</v>
      </c>
      <c r="U20" s="406" t="e">
        <f>IF($Q20,_xll.qlIndexFixing($S20,$N20,FALSE,$P20),"-")</f>
        <v>#N/A</v>
      </c>
      <c r="V20" s="406" t="e">
        <f t="shared" si="4"/>
        <v>#NUM!</v>
      </c>
      <c r="W20" s="405" t="e">
        <f>_xll.qlIndexFixing($S20,$N20,TRUE,$U20)</f>
        <v>#NUM!</v>
      </c>
      <c r="X20" s="437">
        <f t="shared" si="5"/>
        <v>0</v>
      </c>
      <c r="Y20" s="393"/>
    </row>
    <row r="21" spans="2:25" s="38" customFormat="1" x14ac:dyDescent="0.2">
      <c r="B21" s="48"/>
      <c r="C21" s="60" t="s">
        <v>74</v>
      </c>
      <c r="D21" s="46" t="s">
        <v>18</v>
      </c>
      <c r="E21" s="59" t="str">
        <f t="shared" si="0"/>
        <v>UsdLiborSwapIsdaFixPm15Y</v>
      </c>
      <c r="F21" s="44" t="str">
        <f>_xll.qlLiborSwap($E21,Currency,FixingType,$C21,Currency&amp;$D21,Discounting,Permanent,Trigger,ObjectOverwrite)</f>
        <v>UsdLiborSwapIsdaFixPm15Y#0000</v>
      </c>
      <c r="G21" s="43" t="str">
        <f>_xll.ohRangeRetrieveError(F21)</f>
        <v/>
      </c>
      <c r="H21" s="42"/>
      <c r="J21" s="374"/>
      <c r="K21" s="403"/>
      <c r="L21" s="402" t="s">
        <v>59</v>
      </c>
      <c r="M21" s="396" t="str">
        <f t="shared" si="1"/>
        <v>USDSFIXP30Y=</v>
      </c>
      <c r="N21" s="401" t="s">
        <v>219</v>
      </c>
      <c r="O21" s="400" t="s">
        <v>219</v>
      </c>
      <c r="P21" s="400" t="b">
        <f t="shared" si="2"/>
        <v>0</v>
      </c>
      <c r="Q21" s="399" t="e">
        <f>IF($P21,_xll.qlIndexAddFixings($S21,$N21,$O21/100,TRUE,ISERROR($T21)),NA())</f>
        <v>#N/A</v>
      </c>
      <c r="R21" s="398"/>
      <c r="S21" s="397" t="str">
        <f t="shared" si="3"/>
        <v>UsdLiborSwapIsdaFixPm30Y</v>
      </c>
      <c r="T21" s="396" t="e">
        <f>_xll.qlIndexFixing($S21,$N21,TRUE,$P21)</f>
        <v>#NUM!</v>
      </c>
      <c r="U21" s="396" t="e">
        <f>IF($Q21,_xll.qlIndexFixing($S21,$N21,FALSE,$P21),"-")</f>
        <v>#N/A</v>
      </c>
      <c r="V21" s="396" t="e">
        <f t="shared" si="4"/>
        <v>#NUM!</v>
      </c>
      <c r="W21" s="395" t="e">
        <f>_xll.qlIndexFixing($S21,$N21,TRUE,$U21)</f>
        <v>#NUM!</v>
      </c>
      <c r="X21" s="436">
        <f t="shared" si="5"/>
        <v>0</v>
      </c>
      <c r="Y21" s="393"/>
    </row>
    <row r="22" spans="2:25" s="38" customFormat="1" ht="12" thickBot="1" x14ac:dyDescent="0.25">
      <c r="B22" s="48"/>
      <c r="C22" s="60" t="s">
        <v>73</v>
      </c>
      <c r="D22" s="46" t="s">
        <v>18</v>
      </c>
      <c r="E22" s="59" t="str">
        <f t="shared" si="0"/>
        <v>UsdLiborSwapIsdaFixPm16Y</v>
      </c>
      <c r="F22" s="44" t="str">
        <f>_xll.qlLiborSwap($E22,Currency,FixingType,$C22,Currency&amp;$D22,Discounting,Permanent,Trigger,ObjectOverwrite)</f>
        <v>UsdLiborSwapIsdaFixPm16Y#0000</v>
      </c>
      <c r="G22" s="43" t="str">
        <f>_xll.ohRangeRetrieveError(F22)</f>
        <v/>
      </c>
      <c r="H22" s="42"/>
      <c r="J22" s="374"/>
      <c r="K22" s="392"/>
      <c r="L22" s="390"/>
      <c r="M22" s="390"/>
      <c r="N22" s="390"/>
      <c r="O22" s="390"/>
      <c r="P22" s="390"/>
      <c r="Q22" s="390"/>
      <c r="R22" s="389"/>
      <c r="S22" s="389"/>
      <c r="T22" s="389"/>
      <c r="U22" s="389"/>
      <c r="V22" s="389"/>
      <c r="W22" s="389"/>
      <c r="X22" s="389"/>
      <c r="Y22" s="388"/>
    </row>
    <row r="23" spans="2:25" s="38" customFormat="1" ht="12" thickBot="1" x14ac:dyDescent="0.25">
      <c r="B23" s="48"/>
      <c r="C23" s="60" t="s">
        <v>72</v>
      </c>
      <c r="D23" s="46" t="s">
        <v>18</v>
      </c>
      <c r="E23" s="59" t="str">
        <f t="shared" si="0"/>
        <v>UsdLiborSwapIsdaFixPm17Y</v>
      </c>
      <c r="F23" s="44" t="str">
        <f>_xll.qlLiborSwap($E23,Currency,FixingType,$C23,Currency&amp;$D23,Discounting,Permanent,Trigger,ObjectOverwrite)</f>
        <v>UsdLiborSwapIsdaFixPm17Y#0000</v>
      </c>
      <c r="G23" s="43" t="str">
        <f>_xll.ohRangeRetrieveError(F23)</f>
        <v/>
      </c>
      <c r="H23" s="42"/>
      <c r="J23" s="374"/>
      <c r="K23" s="374"/>
      <c r="L23" s="374"/>
      <c r="M23" s="374"/>
      <c r="N23" s="387"/>
      <c r="O23" s="386"/>
      <c r="P23" s="386"/>
      <c r="Q23" s="374"/>
      <c r="R23" s="374"/>
      <c r="S23" s="374"/>
      <c r="T23" s="374"/>
      <c r="U23" s="374"/>
      <c r="V23" s="374"/>
      <c r="W23" s="374"/>
      <c r="X23" s="374"/>
      <c r="Y23" s="374"/>
    </row>
    <row r="24" spans="2:25" s="38" customFormat="1" x14ac:dyDescent="0.2">
      <c r="B24" s="48"/>
      <c r="C24" s="60" t="s">
        <v>71</v>
      </c>
      <c r="D24" s="46" t="s">
        <v>18</v>
      </c>
      <c r="E24" s="59" t="str">
        <f t="shared" si="0"/>
        <v>UsdLiborSwapIsdaFixPm18Y</v>
      </c>
      <c r="F24" s="44" t="str">
        <f>_xll.qlLiborSwap($E24,Currency,FixingType,$C24,Currency&amp;$D24,Discounting,Permanent,Trigger,ObjectOverwrite)</f>
        <v>UsdLiborSwapIsdaFixPm18Y#0000</v>
      </c>
      <c r="G24" s="43" t="str">
        <f>_xll.ohRangeRetrieveError(F24)</f>
        <v/>
      </c>
      <c r="H24" s="42"/>
      <c r="J24" s="374"/>
      <c r="K24" s="374"/>
      <c r="L24" s="385" t="s">
        <v>110</v>
      </c>
      <c r="M24" s="441" t="s">
        <v>304</v>
      </c>
      <c r="N24" s="440" t="s">
        <v>304</v>
      </c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</row>
    <row r="25" spans="2:25" s="38" customFormat="1" x14ac:dyDescent="0.2">
      <c r="B25" s="48"/>
      <c r="C25" s="60" t="s">
        <v>70</v>
      </c>
      <c r="D25" s="46" t="s">
        <v>18</v>
      </c>
      <c r="E25" s="59" t="str">
        <f t="shared" si="0"/>
        <v>UsdLiborSwapIsdaFixPm19Y</v>
      </c>
      <c r="F25" s="44" t="str">
        <f>_xll.qlLiborSwap($E25,Currency,FixingType,$C25,Currency&amp;$D25,Discounting,Permanent,Trigger,ObjectOverwrite)</f>
        <v>UsdLiborSwapIsdaFixPm19Y#0000</v>
      </c>
      <c r="G25" s="43" t="str">
        <f>_xll.ohRangeRetrieveError(F25)</f>
        <v/>
      </c>
      <c r="H25" s="42"/>
      <c r="J25" s="374"/>
      <c r="K25" s="374"/>
      <c r="L25" s="380" t="s">
        <v>109</v>
      </c>
      <c r="M25" s="379" t="s">
        <v>306</v>
      </c>
      <c r="N25" s="378" t="s">
        <v>305</v>
      </c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</row>
    <row r="26" spans="2:25" s="38" customFormat="1" x14ac:dyDescent="0.2">
      <c r="B26" s="48"/>
      <c r="C26" s="60" t="s">
        <v>69</v>
      </c>
      <c r="D26" s="46" t="s">
        <v>18</v>
      </c>
      <c r="E26" s="59" t="str">
        <f t="shared" si="0"/>
        <v>UsdLiborSwapIsdaFixPm20Y</v>
      </c>
      <c r="F26" s="44" t="str">
        <f>_xll.qlLiborSwap($E26,Currency,FixingType,$C26,Currency&amp;$D26,Discounting,Permanent,Trigger,ObjectOverwrite)</f>
        <v>UsdLiborSwapIsdaFixPm20Y#0000</v>
      </c>
      <c r="G26" s="43" t="str">
        <f>_xll.ohRangeRetrieveError(F26)</f>
        <v/>
      </c>
      <c r="H26" s="42"/>
      <c r="J26" s="374"/>
      <c r="K26" s="374"/>
      <c r="L26" s="380" t="s">
        <v>288</v>
      </c>
      <c r="M26" s="379" t="s">
        <v>303</v>
      </c>
      <c r="N26" s="378" t="s">
        <v>302</v>
      </c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</row>
    <row r="27" spans="2:25" s="38" customFormat="1" x14ac:dyDescent="0.2">
      <c r="B27" s="48"/>
      <c r="C27" s="60" t="s">
        <v>68</v>
      </c>
      <c r="D27" s="46" t="s">
        <v>18</v>
      </c>
      <c r="E27" s="59" t="str">
        <f t="shared" si="0"/>
        <v>UsdLiborSwapIsdaFixPm21Y</v>
      </c>
      <c r="F27" s="44" t="str">
        <f>_xll.qlLiborSwap($E27,Currency,FixingType,$C27,Currency&amp;$D27,Discounting,Permanent,Trigger,ObjectOverwrite)</f>
        <v>UsdLiborSwapIsdaFixPm21Y#0000</v>
      </c>
      <c r="G27" s="43" t="str">
        <f>_xll.ohRangeRetrieveError(F27)</f>
        <v/>
      </c>
      <c r="H27" s="42"/>
      <c r="J27" s="374"/>
      <c r="K27" s="374"/>
      <c r="L27" s="380" t="s">
        <v>287</v>
      </c>
      <c r="M27" s="439" t="s">
        <v>304</v>
      </c>
      <c r="N27" s="438" t="s">
        <v>304</v>
      </c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</row>
    <row r="28" spans="2:25" s="38" customFormat="1" x14ac:dyDescent="0.2">
      <c r="B28" s="48"/>
      <c r="C28" s="60" t="s">
        <v>67</v>
      </c>
      <c r="D28" s="46" t="s">
        <v>18</v>
      </c>
      <c r="E28" s="59" t="str">
        <f t="shared" si="0"/>
        <v>UsdLiborSwapIsdaFixPm22Y</v>
      </c>
      <c r="F28" s="44" t="str">
        <f>_xll.qlLiborSwap($E28,Currency,FixingType,$C28,Currency&amp;$D28,Discounting,Permanent,Trigger,ObjectOverwrite)</f>
        <v>UsdLiborSwapIsdaFixPm22Y#0000</v>
      </c>
      <c r="G28" s="43" t="str">
        <f>_xll.ohRangeRetrieveError(F28)</f>
        <v/>
      </c>
      <c r="H28" s="42"/>
      <c r="J28" s="374"/>
      <c r="K28" s="374"/>
      <c r="L28" s="380" t="s">
        <v>106</v>
      </c>
      <c r="M28" s="439" t="s">
        <v>304</v>
      </c>
      <c r="N28" s="438" t="s">
        <v>304</v>
      </c>
      <c r="O28" s="374"/>
      <c r="P28" s="374"/>
      <c r="Q28" s="374"/>
      <c r="R28" s="374"/>
      <c r="S28" s="374"/>
      <c r="T28" s="374"/>
      <c r="U28" s="374"/>
      <c r="V28" s="374"/>
      <c r="W28" s="374"/>
      <c r="X28" s="374"/>
      <c r="Y28" s="374"/>
    </row>
    <row r="29" spans="2:25" s="38" customFormat="1" x14ac:dyDescent="0.2">
      <c r="B29" s="48"/>
      <c r="C29" s="60" t="s">
        <v>66</v>
      </c>
      <c r="D29" s="46" t="s">
        <v>18</v>
      </c>
      <c r="E29" s="59" t="str">
        <f t="shared" si="0"/>
        <v>UsdLiborSwapIsdaFixPm23Y</v>
      </c>
      <c r="F29" s="44" t="str">
        <f>_xll.qlLiborSwap($E29,Currency,FixingType,$C29,Currency&amp;$D29,Discounting,Permanent,Trigger,ObjectOverwrite)</f>
        <v>UsdLiborSwapIsdaFixPm23Y#0000</v>
      </c>
      <c r="G29" s="43" t="str">
        <f>_xll.ohRangeRetrieveError(F29)</f>
        <v/>
      </c>
      <c r="H29" s="42"/>
      <c r="J29" s="374"/>
      <c r="K29" s="374"/>
      <c r="L29" s="380" t="s">
        <v>105</v>
      </c>
      <c r="M29" s="379" t="s">
        <v>303</v>
      </c>
      <c r="N29" s="378" t="s">
        <v>302</v>
      </c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</row>
    <row r="30" spans="2:25" s="38" customFormat="1" ht="12" thickBot="1" x14ac:dyDescent="0.25">
      <c r="B30" s="48"/>
      <c r="C30" s="60" t="s">
        <v>65</v>
      </c>
      <c r="D30" s="46" t="s">
        <v>18</v>
      </c>
      <c r="E30" s="59" t="str">
        <f t="shared" si="0"/>
        <v>UsdLiborSwapIsdaFixPm24Y</v>
      </c>
      <c r="F30" s="44" t="str">
        <f>_xll.qlLiborSwap($E30,Currency,FixingType,$C30,Currency&amp;$D30,Discounting,Permanent,Trigger,ObjectOverwrite)</f>
        <v>UsdLiborSwapIsdaFixPm24Y#0000</v>
      </c>
      <c r="G30" s="43" t="str">
        <f>_xll.ohRangeRetrieveError(F30)</f>
        <v/>
      </c>
      <c r="H30" s="42"/>
      <c r="J30" s="374"/>
      <c r="K30" s="374"/>
      <c r="L30" s="377" t="s">
        <v>100</v>
      </c>
      <c r="M30" s="435" t="s">
        <v>303</v>
      </c>
      <c r="N30" s="434" t="s">
        <v>302</v>
      </c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</row>
    <row r="31" spans="2:25" s="38" customFormat="1" x14ac:dyDescent="0.2">
      <c r="B31" s="48"/>
      <c r="C31" s="60" t="s">
        <v>64</v>
      </c>
      <c r="D31" s="46" t="s">
        <v>18</v>
      </c>
      <c r="E31" s="59" t="str">
        <f t="shared" si="0"/>
        <v>UsdLiborSwapIsdaFixPm25Y</v>
      </c>
      <c r="F31" s="44" t="str">
        <f>_xll.qlLiborSwap($E31,Currency,FixingType,$C31,Currency&amp;$D31,Discounting,Permanent,Trigger,ObjectOverwrite)</f>
        <v>UsdLiborSwapIsdaFixPm25Y#0000</v>
      </c>
      <c r="G31" s="43" t="str">
        <f>_xll.ohRangeRetrieveError(F31)</f>
        <v/>
      </c>
      <c r="H31" s="42"/>
    </row>
    <row r="32" spans="2:25" s="38" customFormat="1" x14ac:dyDescent="0.2">
      <c r="B32" s="48"/>
      <c r="C32" s="60" t="s">
        <v>63</v>
      </c>
      <c r="D32" s="46" t="s">
        <v>18</v>
      </c>
      <c r="E32" s="59" t="str">
        <f t="shared" si="0"/>
        <v>UsdLiborSwapIsdaFixPm26Y</v>
      </c>
      <c r="F32" s="44" t="str">
        <f>_xll.qlLiborSwap($E32,Currency,FixingType,$C32,Currency&amp;$D32,Discounting,Permanent,Trigger,ObjectOverwrite)</f>
        <v>UsdLiborSwapIsdaFixPm26Y#0000</v>
      </c>
      <c r="G32" s="43" t="str">
        <f>_xll.ohRangeRetrieveError(F32)</f>
        <v/>
      </c>
      <c r="H32" s="42"/>
    </row>
    <row r="33" spans="2:8" s="38" customFormat="1" x14ac:dyDescent="0.2">
      <c r="B33" s="48"/>
      <c r="C33" s="60" t="s">
        <v>62</v>
      </c>
      <c r="D33" s="46" t="s">
        <v>18</v>
      </c>
      <c r="E33" s="59" t="str">
        <f t="shared" si="0"/>
        <v>UsdLiborSwapIsdaFixPm27Y</v>
      </c>
      <c r="F33" s="44" t="str">
        <f>_xll.qlLiborSwap($E33,Currency,FixingType,$C33,Currency&amp;$D33,Discounting,Permanent,Trigger,ObjectOverwrite)</f>
        <v>UsdLiborSwapIsdaFixPm27Y#0000</v>
      </c>
      <c r="G33" s="43" t="str">
        <f>_xll.ohRangeRetrieveError(F33)</f>
        <v/>
      </c>
      <c r="H33" s="42"/>
    </row>
    <row r="34" spans="2:8" s="38" customFormat="1" x14ac:dyDescent="0.2">
      <c r="B34" s="48"/>
      <c r="C34" s="60" t="s">
        <v>61</v>
      </c>
      <c r="D34" s="46" t="s">
        <v>18</v>
      </c>
      <c r="E34" s="59" t="str">
        <f t="shared" si="0"/>
        <v>UsdLiborSwapIsdaFixPm28Y</v>
      </c>
      <c r="F34" s="44" t="str">
        <f>_xll.qlLiborSwap($E34,Currency,FixingType,$C34,Currency&amp;$D34,Discounting,Permanent,Trigger,ObjectOverwrite)</f>
        <v>UsdLiborSwapIsdaFixPm28Y#0000</v>
      </c>
      <c r="G34" s="43" t="str">
        <f>_xll.ohRangeRetrieveError(F34)</f>
        <v/>
      </c>
      <c r="H34" s="42"/>
    </row>
    <row r="35" spans="2:8" s="38" customFormat="1" x14ac:dyDescent="0.2">
      <c r="B35" s="48"/>
      <c r="C35" s="60" t="s">
        <v>60</v>
      </c>
      <c r="D35" s="46" t="s">
        <v>18</v>
      </c>
      <c r="E35" s="59" t="str">
        <f t="shared" si="0"/>
        <v>UsdLiborSwapIsdaFixPm29Y</v>
      </c>
      <c r="F35" s="44" t="str">
        <f>_xll.qlLiborSwap($E35,Currency,FixingType,$C35,Currency&amp;$D35,Discounting,Permanent,Trigger,ObjectOverwrite)</f>
        <v>UsdLiborSwapIsdaFixPm29Y#0000</v>
      </c>
      <c r="G35" s="43" t="str">
        <f>_xll.ohRangeRetrieveError(F35)</f>
        <v/>
      </c>
      <c r="H35" s="42"/>
    </row>
    <row r="36" spans="2:8" s="38" customFormat="1" x14ac:dyDescent="0.2">
      <c r="B36" s="48"/>
      <c r="C36" s="60" t="s">
        <v>59</v>
      </c>
      <c r="D36" s="46" t="s">
        <v>18</v>
      </c>
      <c r="E36" s="59" t="str">
        <f t="shared" si="0"/>
        <v>UsdLiborSwapIsdaFixPm30Y</v>
      </c>
      <c r="F36" s="44" t="str">
        <f>_xll.qlLiborSwap($E36,Currency,FixingType,$C36,Currency&amp;$D36,Discounting,Permanent,Trigger,ObjectOverwrite)</f>
        <v>UsdLiborSwapIsdaFixPm30Y#0000</v>
      </c>
      <c r="G36" s="43" t="str">
        <f>_xll.ohRangeRetrieveError(F36)</f>
        <v/>
      </c>
      <c r="H36" s="42"/>
    </row>
    <row r="37" spans="2:8" s="38" customFormat="1" x14ac:dyDescent="0.2">
      <c r="B37" s="48"/>
      <c r="C37" s="60" t="s">
        <v>58</v>
      </c>
      <c r="D37" s="46" t="s">
        <v>18</v>
      </c>
      <c r="E37" s="59" t="str">
        <f t="shared" si="0"/>
        <v>UsdLiborSwapIsdaFixPm31Y</v>
      </c>
      <c r="F37" s="44" t="str">
        <f>_xll.qlLiborSwap($E37,Currency,FixingType,$C37,Currency&amp;$D37,Discounting,Permanent,Trigger,ObjectOverwrite)</f>
        <v>UsdLiborSwapIsdaFixPm31Y#0000</v>
      </c>
      <c r="G37" s="43" t="str">
        <f>_xll.ohRangeRetrieveError(F37)</f>
        <v/>
      </c>
      <c r="H37" s="42"/>
    </row>
    <row r="38" spans="2:8" s="38" customFormat="1" x14ac:dyDescent="0.2">
      <c r="B38" s="48"/>
      <c r="C38" s="60" t="s">
        <v>57</v>
      </c>
      <c r="D38" s="46" t="s">
        <v>18</v>
      </c>
      <c r="E38" s="59" t="str">
        <f t="shared" si="0"/>
        <v>UsdLiborSwapIsdaFixPm32Y</v>
      </c>
      <c r="F38" s="44" t="str">
        <f>_xll.qlLiborSwap($E38,Currency,FixingType,$C38,Currency&amp;$D38,Discounting,Permanent,Trigger,ObjectOverwrite)</f>
        <v>UsdLiborSwapIsdaFixPm32Y#0000</v>
      </c>
      <c r="G38" s="43" t="str">
        <f>_xll.ohRangeRetrieveError(F38)</f>
        <v/>
      </c>
      <c r="H38" s="42"/>
    </row>
    <row r="39" spans="2:8" s="38" customFormat="1" x14ac:dyDescent="0.2">
      <c r="B39" s="48"/>
      <c r="C39" s="60" t="s">
        <v>56</v>
      </c>
      <c r="D39" s="46" t="s">
        <v>18</v>
      </c>
      <c r="E39" s="59" t="str">
        <f t="shared" ref="E39:E66" si="6">PROPER(Currency)&amp;FamilyName&amp;FixingType&amp;$C39</f>
        <v>UsdLiborSwapIsdaFixPm33Y</v>
      </c>
      <c r="F39" s="44" t="str">
        <f>_xll.qlLiborSwap($E39,Currency,FixingType,$C39,Currency&amp;$D39,Discounting,Permanent,Trigger,ObjectOverwrite)</f>
        <v>UsdLiborSwapIsdaFixPm33Y#0000</v>
      </c>
      <c r="G39" s="43" t="str">
        <f>_xll.ohRangeRetrieveError(F39)</f>
        <v/>
      </c>
      <c r="H39" s="42"/>
    </row>
    <row r="40" spans="2:8" s="38" customFormat="1" x14ac:dyDescent="0.2">
      <c r="B40" s="48"/>
      <c r="C40" s="60" t="s">
        <v>55</v>
      </c>
      <c r="D40" s="46" t="s">
        <v>18</v>
      </c>
      <c r="E40" s="59" t="str">
        <f t="shared" si="6"/>
        <v>UsdLiborSwapIsdaFixPm34Y</v>
      </c>
      <c r="F40" s="44" t="str">
        <f>_xll.qlLiborSwap($E40,Currency,FixingType,$C40,Currency&amp;$D40,Discounting,Permanent,Trigger,ObjectOverwrite)</f>
        <v>UsdLiborSwapIsdaFixPm34Y#0000</v>
      </c>
      <c r="G40" s="43" t="str">
        <f>_xll.ohRangeRetrieveError(F40)</f>
        <v/>
      </c>
      <c r="H40" s="42"/>
    </row>
    <row r="41" spans="2:8" s="38" customFormat="1" x14ac:dyDescent="0.2">
      <c r="B41" s="48"/>
      <c r="C41" s="60" t="s">
        <v>54</v>
      </c>
      <c r="D41" s="46" t="s">
        <v>18</v>
      </c>
      <c r="E41" s="59" t="str">
        <f t="shared" si="6"/>
        <v>UsdLiborSwapIsdaFixPm35Y</v>
      </c>
      <c r="F41" s="44" t="str">
        <f>_xll.qlLiborSwap($E41,Currency,FixingType,$C41,Currency&amp;$D41,Discounting,Permanent,Trigger,ObjectOverwrite)</f>
        <v>UsdLiborSwapIsdaFixPm35Y#0000</v>
      </c>
      <c r="G41" s="43" t="str">
        <f>_xll.ohRangeRetrieveError(F41)</f>
        <v/>
      </c>
      <c r="H41" s="42"/>
    </row>
    <row r="42" spans="2:8" s="38" customFormat="1" x14ac:dyDescent="0.2">
      <c r="B42" s="48"/>
      <c r="C42" s="60" t="s">
        <v>53</v>
      </c>
      <c r="D42" s="46" t="s">
        <v>18</v>
      </c>
      <c r="E42" s="59" t="str">
        <f t="shared" si="6"/>
        <v>UsdLiborSwapIsdaFixPm36Y</v>
      </c>
      <c r="F42" s="44" t="str">
        <f>_xll.qlLiborSwap($E42,Currency,FixingType,$C42,Currency&amp;$D42,Discounting,Permanent,Trigger,ObjectOverwrite)</f>
        <v>UsdLiborSwapIsdaFixPm36Y#0000</v>
      </c>
      <c r="G42" s="43" t="str">
        <f>_xll.ohRangeRetrieveError(F42)</f>
        <v/>
      </c>
      <c r="H42" s="42"/>
    </row>
    <row r="43" spans="2:8" s="38" customFormat="1" x14ac:dyDescent="0.2">
      <c r="B43" s="48"/>
      <c r="C43" s="60" t="s">
        <v>52</v>
      </c>
      <c r="D43" s="46" t="s">
        <v>18</v>
      </c>
      <c r="E43" s="59" t="str">
        <f t="shared" si="6"/>
        <v>UsdLiborSwapIsdaFixPm37Y</v>
      </c>
      <c r="F43" s="44" t="str">
        <f>_xll.qlLiborSwap($E43,Currency,FixingType,$C43,Currency&amp;$D43,Discounting,Permanent,Trigger,ObjectOverwrite)</f>
        <v>UsdLiborSwapIsdaFixPm37Y#0000</v>
      </c>
      <c r="G43" s="43" t="str">
        <f>_xll.ohRangeRetrieveError(F43)</f>
        <v/>
      </c>
      <c r="H43" s="42"/>
    </row>
    <row r="44" spans="2:8" s="38" customFormat="1" x14ac:dyDescent="0.2">
      <c r="B44" s="48"/>
      <c r="C44" s="60" t="s">
        <v>51</v>
      </c>
      <c r="D44" s="46" t="s">
        <v>18</v>
      </c>
      <c r="E44" s="59" t="str">
        <f t="shared" si="6"/>
        <v>UsdLiborSwapIsdaFixPm38Y</v>
      </c>
      <c r="F44" s="44" t="str">
        <f>_xll.qlLiborSwap($E44,Currency,FixingType,$C44,Currency&amp;$D44,Discounting,Permanent,Trigger,ObjectOverwrite)</f>
        <v>UsdLiborSwapIsdaFixPm38Y#0000</v>
      </c>
      <c r="G44" s="43" t="str">
        <f>_xll.ohRangeRetrieveError(F44)</f>
        <v/>
      </c>
      <c r="H44" s="42"/>
    </row>
    <row r="45" spans="2:8" s="38" customFormat="1" x14ac:dyDescent="0.2">
      <c r="B45" s="48"/>
      <c r="C45" s="60" t="s">
        <v>50</v>
      </c>
      <c r="D45" s="46" t="s">
        <v>18</v>
      </c>
      <c r="E45" s="59" t="str">
        <f t="shared" si="6"/>
        <v>UsdLiborSwapIsdaFixPm39Y</v>
      </c>
      <c r="F45" s="44" t="str">
        <f>_xll.qlLiborSwap($E45,Currency,FixingType,$C45,Currency&amp;$D45,Discounting,Permanent,Trigger,ObjectOverwrite)</f>
        <v>UsdLiborSwapIsdaFixPm39Y#0000</v>
      </c>
      <c r="G45" s="43" t="str">
        <f>_xll.ohRangeRetrieveError(F45)</f>
        <v/>
      </c>
      <c r="H45" s="42"/>
    </row>
    <row r="46" spans="2:8" s="38" customFormat="1" x14ac:dyDescent="0.2">
      <c r="B46" s="48"/>
      <c r="C46" s="60" t="s">
        <v>49</v>
      </c>
      <c r="D46" s="46" t="s">
        <v>18</v>
      </c>
      <c r="E46" s="59" t="str">
        <f t="shared" si="6"/>
        <v>UsdLiborSwapIsdaFixPm40Y</v>
      </c>
      <c r="F46" s="44" t="str">
        <f>_xll.qlLiborSwap($E46,Currency,FixingType,$C46,Currency&amp;$D46,Discounting,Permanent,Trigger,ObjectOverwrite)</f>
        <v>UsdLiborSwapIsdaFixPm40Y#0000</v>
      </c>
      <c r="G46" s="43" t="str">
        <f>_xll.ohRangeRetrieveError(F46)</f>
        <v/>
      </c>
      <c r="H46" s="42"/>
    </row>
    <row r="47" spans="2:8" s="38" customFormat="1" x14ac:dyDescent="0.2">
      <c r="B47" s="48"/>
      <c r="C47" s="60" t="s">
        <v>48</v>
      </c>
      <c r="D47" s="46" t="s">
        <v>18</v>
      </c>
      <c r="E47" s="59" t="str">
        <f t="shared" si="6"/>
        <v>UsdLiborSwapIsdaFixPm41Y</v>
      </c>
      <c r="F47" s="44" t="str">
        <f>_xll.qlLiborSwap($E47,Currency,FixingType,$C47,Currency&amp;$D47,Discounting,Permanent,Trigger,ObjectOverwrite)</f>
        <v>UsdLiborSwapIsdaFixPm41Y#0000</v>
      </c>
      <c r="G47" s="43" t="str">
        <f>_xll.ohRangeRetrieveError(F47)</f>
        <v/>
      </c>
      <c r="H47" s="42"/>
    </row>
    <row r="48" spans="2:8" s="38" customFormat="1" x14ac:dyDescent="0.2">
      <c r="B48" s="48"/>
      <c r="C48" s="60" t="s">
        <v>47</v>
      </c>
      <c r="D48" s="46" t="s">
        <v>18</v>
      </c>
      <c r="E48" s="59" t="str">
        <f t="shared" si="6"/>
        <v>UsdLiborSwapIsdaFixPm42Y</v>
      </c>
      <c r="F48" s="44" t="str">
        <f>_xll.qlLiborSwap($E48,Currency,FixingType,$C48,Currency&amp;$D48,Discounting,Permanent,Trigger,ObjectOverwrite)</f>
        <v>UsdLiborSwapIsdaFixPm42Y#0000</v>
      </c>
      <c r="G48" s="43" t="str">
        <f>_xll.ohRangeRetrieveError(F48)</f>
        <v/>
      </c>
      <c r="H48" s="42"/>
    </row>
    <row r="49" spans="2:8" s="38" customFormat="1" x14ac:dyDescent="0.2">
      <c r="B49" s="48"/>
      <c r="C49" s="60" t="s">
        <v>46</v>
      </c>
      <c r="D49" s="46" t="s">
        <v>18</v>
      </c>
      <c r="E49" s="59" t="str">
        <f t="shared" si="6"/>
        <v>UsdLiborSwapIsdaFixPm43Y</v>
      </c>
      <c r="F49" s="44" t="str">
        <f>_xll.qlLiborSwap($E49,Currency,FixingType,$C49,Currency&amp;$D49,Discounting,Permanent,Trigger,ObjectOverwrite)</f>
        <v>UsdLiborSwapIsdaFixPm43Y#0000</v>
      </c>
      <c r="G49" s="43" t="str">
        <f>_xll.ohRangeRetrieveError(F49)</f>
        <v/>
      </c>
      <c r="H49" s="42"/>
    </row>
    <row r="50" spans="2:8" s="38" customFormat="1" x14ac:dyDescent="0.2">
      <c r="B50" s="48"/>
      <c r="C50" s="60" t="s">
        <v>45</v>
      </c>
      <c r="D50" s="46" t="s">
        <v>18</v>
      </c>
      <c r="E50" s="59" t="str">
        <f t="shared" si="6"/>
        <v>UsdLiborSwapIsdaFixPm44Y</v>
      </c>
      <c r="F50" s="44" t="str">
        <f>_xll.qlLiborSwap($E50,Currency,FixingType,$C50,Currency&amp;$D50,Discounting,Permanent,Trigger,ObjectOverwrite)</f>
        <v>UsdLiborSwapIsdaFixPm44Y#0000</v>
      </c>
      <c r="G50" s="43" t="str">
        <f>_xll.ohRangeRetrieveError(F50)</f>
        <v/>
      </c>
      <c r="H50" s="42"/>
    </row>
    <row r="51" spans="2:8" s="38" customFormat="1" x14ac:dyDescent="0.2">
      <c r="B51" s="48"/>
      <c r="C51" s="60" t="s">
        <v>44</v>
      </c>
      <c r="D51" s="46" t="s">
        <v>18</v>
      </c>
      <c r="E51" s="59" t="str">
        <f t="shared" si="6"/>
        <v>UsdLiborSwapIsdaFixPm45Y</v>
      </c>
      <c r="F51" s="44" t="str">
        <f>_xll.qlLiborSwap($E51,Currency,FixingType,$C51,Currency&amp;$D51,Discounting,Permanent,Trigger,ObjectOverwrite)</f>
        <v>UsdLiborSwapIsdaFixPm45Y#0000</v>
      </c>
      <c r="G51" s="43" t="str">
        <f>_xll.ohRangeRetrieveError(F51)</f>
        <v/>
      </c>
      <c r="H51" s="42"/>
    </row>
    <row r="52" spans="2:8" s="38" customFormat="1" x14ac:dyDescent="0.2">
      <c r="B52" s="48"/>
      <c r="C52" s="60" t="s">
        <v>43</v>
      </c>
      <c r="D52" s="46" t="s">
        <v>18</v>
      </c>
      <c r="E52" s="59" t="str">
        <f t="shared" si="6"/>
        <v>UsdLiborSwapIsdaFixPm46Y</v>
      </c>
      <c r="F52" s="44" t="str">
        <f>_xll.qlLiborSwap($E52,Currency,FixingType,$C52,Currency&amp;$D52,Discounting,Permanent,Trigger,ObjectOverwrite)</f>
        <v>UsdLiborSwapIsdaFixPm46Y#0000</v>
      </c>
      <c r="G52" s="43" t="str">
        <f>_xll.ohRangeRetrieveError(F52)</f>
        <v/>
      </c>
      <c r="H52" s="42"/>
    </row>
    <row r="53" spans="2:8" s="38" customFormat="1" x14ac:dyDescent="0.2">
      <c r="B53" s="48"/>
      <c r="C53" s="60" t="s">
        <v>42</v>
      </c>
      <c r="D53" s="46" t="s">
        <v>18</v>
      </c>
      <c r="E53" s="59" t="str">
        <f t="shared" si="6"/>
        <v>UsdLiborSwapIsdaFixPm47Y</v>
      </c>
      <c r="F53" s="44" t="str">
        <f>_xll.qlLiborSwap($E53,Currency,FixingType,$C53,Currency&amp;$D53,Discounting,Permanent,Trigger,ObjectOverwrite)</f>
        <v>UsdLiborSwapIsdaFixPm47Y#0000</v>
      </c>
      <c r="G53" s="43" t="str">
        <f>_xll.ohRangeRetrieveError(F53)</f>
        <v/>
      </c>
      <c r="H53" s="42"/>
    </row>
    <row r="54" spans="2:8" s="38" customFormat="1" x14ac:dyDescent="0.2">
      <c r="B54" s="48"/>
      <c r="C54" s="60" t="s">
        <v>41</v>
      </c>
      <c r="D54" s="46" t="s">
        <v>18</v>
      </c>
      <c r="E54" s="59" t="str">
        <f t="shared" si="6"/>
        <v>UsdLiborSwapIsdaFixPm48Y</v>
      </c>
      <c r="F54" s="44" t="str">
        <f>_xll.qlLiborSwap($E54,Currency,FixingType,$C54,Currency&amp;$D54,Discounting,Permanent,Trigger,ObjectOverwrite)</f>
        <v>UsdLiborSwapIsdaFixPm48Y#0000</v>
      </c>
      <c r="G54" s="43" t="str">
        <f>_xll.ohRangeRetrieveError(F54)</f>
        <v/>
      </c>
      <c r="H54" s="42"/>
    </row>
    <row r="55" spans="2:8" s="38" customFormat="1" x14ac:dyDescent="0.2">
      <c r="B55" s="48"/>
      <c r="C55" s="60" t="s">
        <v>40</v>
      </c>
      <c r="D55" s="46" t="s">
        <v>18</v>
      </c>
      <c r="E55" s="59" t="str">
        <f t="shared" si="6"/>
        <v>UsdLiborSwapIsdaFixPm49Y</v>
      </c>
      <c r="F55" s="44" t="str">
        <f>_xll.qlLiborSwap($E55,Currency,FixingType,$C55,Currency&amp;$D55,Discounting,Permanent,Trigger,ObjectOverwrite)</f>
        <v>UsdLiborSwapIsdaFixPm49Y#0000</v>
      </c>
      <c r="G55" s="43" t="str">
        <f>_xll.ohRangeRetrieveError(F55)</f>
        <v/>
      </c>
      <c r="H55" s="42"/>
    </row>
    <row r="56" spans="2:8" s="38" customFormat="1" x14ac:dyDescent="0.2">
      <c r="B56" s="48"/>
      <c r="C56" s="60" t="s">
        <v>39</v>
      </c>
      <c r="D56" s="46" t="s">
        <v>18</v>
      </c>
      <c r="E56" s="59" t="str">
        <f t="shared" si="6"/>
        <v>UsdLiborSwapIsdaFixPm50Y</v>
      </c>
      <c r="F56" s="44" t="str">
        <f>_xll.qlLiborSwap($E56,Currency,FixingType,$C56,Currency&amp;$D56,Discounting,Permanent,Trigger,ObjectOverwrite)</f>
        <v>UsdLiborSwapIsdaFixPm50Y#0000</v>
      </c>
      <c r="G56" s="43" t="str">
        <f>_xll.ohRangeRetrieveError(F56)</f>
        <v/>
      </c>
      <c r="H56" s="42"/>
    </row>
    <row r="57" spans="2:8" s="38" customFormat="1" x14ac:dyDescent="0.2">
      <c r="B57" s="48"/>
      <c r="C57" s="60" t="s">
        <v>38</v>
      </c>
      <c r="D57" s="46" t="s">
        <v>18</v>
      </c>
      <c r="E57" s="59" t="str">
        <f t="shared" si="6"/>
        <v>UsdLiborSwapIsdaFixPm51Y</v>
      </c>
      <c r="F57" s="44" t="str">
        <f>_xll.qlLiborSwap($E57,Currency,FixingType,$C57,Currency&amp;$D57,Discounting,Permanent,Trigger,ObjectOverwrite)</f>
        <v>UsdLiborSwapIsdaFixPm51Y#0000</v>
      </c>
      <c r="G57" s="43" t="str">
        <f>_xll.ohRangeRetrieveError(F57)</f>
        <v/>
      </c>
      <c r="H57" s="42"/>
    </row>
    <row r="58" spans="2:8" s="38" customFormat="1" x14ac:dyDescent="0.2">
      <c r="B58" s="48"/>
      <c r="C58" s="60" t="s">
        <v>37</v>
      </c>
      <c r="D58" s="46" t="s">
        <v>18</v>
      </c>
      <c r="E58" s="59" t="str">
        <f t="shared" si="6"/>
        <v>UsdLiborSwapIsdaFixPm52Y</v>
      </c>
      <c r="F58" s="44" t="str">
        <f>_xll.qlLiborSwap($E58,Currency,FixingType,$C58,Currency&amp;$D58,Discounting,Permanent,Trigger,ObjectOverwrite)</f>
        <v>UsdLiborSwapIsdaFixPm52Y#0000</v>
      </c>
      <c r="G58" s="43" t="str">
        <f>_xll.ohRangeRetrieveError(F58)</f>
        <v/>
      </c>
      <c r="H58" s="42"/>
    </row>
    <row r="59" spans="2:8" s="38" customFormat="1" x14ac:dyDescent="0.2">
      <c r="B59" s="48"/>
      <c r="C59" s="60" t="s">
        <v>36</v>
      </c>
      <c r="D59" s="46" t="s">
        <v>18</v>
      </c>
      <c r="E59" s="59" t="str">
        <f t="shared" si="6"/>
        <v>UsdLiborSwapIsdaFixPm53Y</v>
      </c>
      <c r="F59" s="44" t="str">
        <f>_xll.qlLiborSwap($E59,Currency,FixingType,$C59,Currency&amp;$D59,Discounting,Permanent,Trigger,ObjectOverwrite)</f>
        <v>UsdLiborSwapIsdaFixPm53Y#0000</v>
      </c>
      <c r="G59" s="43" t="str">
        <f>_xll.ohRangeRetrieveError(F59)</f>
        <v/>
      </c>
      <c r="H59" s="42"/>
    </row>
    <row r="60" spans="2:8" s="38" customFormat="1" x14ac:dyDescent="0.2">
      <c r="B60" s="48"/>
      <c r="C60" s="60" t="s">
        <v>35</v>
      </c>
      <c r="D60" s="46" t="s">
        <v>18</v>
      </c>
      <c r="E60" s="59" t="str">
        <f t="shared" si="6"/>
        <v>UsdLiborSwapIsdaFixPm54Y</v>
      </c>
      <c r="F60" s="44" t="str">
        <f>_xll.qlLiborSwap($E60,Currency,FixingType,$C60,Currency&amp;$D60,Discounting,Permanent,Trigger,ObjectOverwrite)</f>
        <v>UsdLiborSwapIsdaFixPm54Y#0000</v>
      </c>
      <c r="G60" s="43" t="str">
        <f>_xll.ohRangeRetrieveError(F60)</f>
        <v/>
      </c>
      <c r="H60" s="42"/>
    </row>
    <row r="61" spans="2:8" s="38" customFormat="1" x14ac:dyDescent="0.2">
      <c r="B61" s="48"/>
      <c r="C61" s="60" t="s">
        <v>34</v>
      </c>
      <c r="D61" s="46" t="s">
        <v>18</v>
      </c>
      <c r="E61" s="59" t="str">
        <f t="shared" si="6"/>
        <v>UsdLiborSwapIsdaFixPm55Y</v>
      </c>
      <c r="F61" s="44" t="str">
        <f>_xll.qlLiborSwap($E61,Currency,FixingType,$C61,Currency&amp;$D61,Discounting,Permanent,Trigger,ObjectOverwrite)</f>
        <v>UsdLiborSwapIsdaFixPm55Y#0000</v>
      </c>
      <c r="G61" s="43" t="str">
        <f>_xll.ohRangeRetrieveError(F61)</f>
        <v/>
      </c>
      <c r="H61" s="42"/>
    </row>
    <row r="62" spans="2:8" s="38" customFormat="1" x14ac:dyDescent="0.2">
      <c r="B62" s="48"/>
      <c r="C62" s="60" t="s">
        <v>33</v>
      </c>
      <c r="D62" s="46" t="s">
        <v>18</v>
      </c>
      <c r="E62" s="59" t="str">
        <f t="shared" si="6"/>
        <v>UsdLiborSwapIsdaFixPm56Y</v>
      </c>
      <c r="F62" s="44" t="str">
        <f>_xll.qlLiborSwap($E62,Currency,FixingType,$C62,Currency&amp;$D62,Discounting,Permanent,Trigger,ObjectOverwrite)</f>
        <v>UsdLiborSwapIsdaFixPm56Y#0000</v>
      </c>
      <c r="G62" s="43" t="str">
        <f>_xll.ohRangeRetrieveError(F62)</f>
        <v/>
      </c>
      <c r="H62" s="42"/>
    </row>
    <row r="63" spans="2:8" s="38" customFormat="1" x14ac:dyDescent="0.2">
      <c r="B63" s="48"/>
      <c r="C63" s="60" t="s">
        <v>32</v>
      </c>
      <c r="D63" s="46" t="s">
        <v>18</v>
      </c>
      <c r="E63" s="59" t="str">
        <f t="shared" si="6"/>
        <v>UsdLiborSwapIsdaFixPm57Y</v>
      </c>
      <c r="F63" s="44" t="str">
        <f>_xll.qlLiborSwap($E63,Currency,FixingType,$C63,Currency&amp;$D63,Discounting,Permanent,Trigger,ObjectOverwrite)</f>
        <v>UsdLiborSwapIsdaFixPm57Y#0000</v>
      </c>
      <c r="G63" s="43" t="str">
        <f>_xll.ohRangeRetrieveError(F63)</f>
        <v/>
      </c>
      <c r="H63" s="42"/>
    </row>
    <row r="64" spans="2:8" s="38" customFormat="1" x14ac:dyDescent="0.2">
      <c r="B64" s="48"/>
      <c r="C64" s="60" t="s">
        <v>31</v>
      </c>
      <c r="D64" s="46" t="s">
        <v>18</v>
      </c>
      <c r="E64" s="59" t="str">
        <f t="shared" si="6"/>
        <v>UsdLiborSwapIsdaFixPm58Y</v>
      </c>
      <c r="F64" s="44" t="str">
        <f>_xll.qlLiborSwap($E64,Currency,FixingType,$C64,Currency&amp;$D64,Discounting,Permanent,Trigger,ObjectOverwrite)</f>
        <v>UsdLiborSwapIsdaFixPm58Y#0000</v>
      </c>
      <c r="G64" s="43" t="str">
        <f>_xll.ohRangeRetrieveError(F64)</f>
        <v/>
      </c>
      <c r="H64" s="42"/>
    </row>
    <row r="65" spans="2:25" s="38" customFormat="1" x14ac:dyDescent="0.2">
      <c r="B65" s="48"/>
      <c r="C65" s="60" t="s">
        <v>30</v>
      </c>
      <c r="D65" s="46" t="s">
        <v>18</v>
      </c>
      <c r="E65" s="59" t="str">
        <f t="shared" si="6"/>
        <v>UsdLiborSwapIsdaFixPm59Y</v>
      </c>
      <c r="F65" s="44" t="str">
        <f>_xll.qlLiborSwap($E65,Currency,FixingType,$C65,Currency&amp;$D65,Discounting,Permanent,Trigger,ObjectOverwrite)</f>
        <v>UsdLiborSwapIsdaFixPm59Y#0000</v>
      </c>
      <c r="G65" s="43" t="str">
        <f>_xll.ohRangeRetrieveError(F65)</f>
        <v/>
      </c>
      <c r="H65" s="42"/>
    </row>
    <row r="66" spans="2:25" s="38" customFormat="1" x14ac:dyDescent="0.2">
      <c r="B66" s="48"/>
      <c r="C66" s="60" t="s">
        <v>29</v>
      </c>
      <c r="D66" s="46" t="s">
        <v>18</v>
      </c>
      <c r="E66" s="59" t="str">
        <f t="shared" si="6"/>
        <v>UsdLiborSwapIsdaFixPm60Y</v>
      </c>
      <c r="F66" s="44" t="str">
        <f>_xll.qlLiborSwap($E66,Currency,FixingType,$C66,Currency&amp;$D66,Discounting,Permanent,Trigger,ObjectOverwrite)</f>
        <v>UsdLiborSwapIsdaFixPm60Y#0000</v>
      </c>
      <c r="G66" s="43" t="str">
        <f>_xll.ohRangeRetrieveError(F66)</f>
        <v/>
      </c>
      <c r="H66" s="42"/>
    </row>
    <row r="67" spans="2:25" s="38" customFormat="1" ht="12" thickBot="1" x14ac:dyDescent="0.25">
      <c r="B67" s="41"/>
      <c r="C67" s="40"/>
      <c r="D67" s="40"/>
      <c r="E67" s="40"/>
      <c r="F67" s="40"/>
      <c r="G67" s="40"/>
      <c r="H67" s="39"/>
    </row>
    <row r="68" spans="2:25" s="38" customFormat="1" x14ac:dyDescent="0.2"/>
    <row r="69" spans="2:25" x14ac:dyDescent="0.2"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2:25" x14ac:dyDescent="0.2"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2:25" x14ac:dyDescent="0.2"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71"/>
  <sheetViews>
    <sheetView workbookViewId="0">
      <selection activeCell="D64" sqref="D64"/>
    </sheetView>
  </sheetViews>
  <sheetFormatPr defaultRowHeight="11.25" x14ac:dyDescent="0.2"/>
  <cols>
    <col min="1" max="2" width="2.7109375" style="20" customWidth="1"/>
    <col min="3" max="3" width="3.85546875" style="20" bestFit="1" customWidth="1"/>
    <col min="4" max="4" width="8.42578125" style="20" bestFit="1" customWidth="1"/>
    <col min="5" max="5" width="24.85546875" style="20" bestFit="1" customWidth="1"/>
    <col min="6" max="6" width="28.140625" style="20" bestFit="1" customWidth="1"/>
    <col min="7" max="7" width="69.7109375" style="20" customWidth="1"/>
    <col min="8" max="8" width="2.7109375" style="20" customWidth="1"/>
    <col min="9" max="9" width="22.7109375" style="20" customWidth="1"/>
    <col min="10" max="16384" width="9.140625" style="20"/>
  </cols>
  <sheetData>
    <row r="1" spans="1:8" s="38" customFormat="1" ht="12" thickBot="1" x14ac:dyDescent="0.25">
      <c r="A1" s="38" t="s">
        <v>101</v>
      </c>
    </row>
    <row r="2" spans="1:8" s="38" customFormat="1" x14ac:dyDescent="0.2">
      <c r="B2" s="58"/>
      <c r="C2" s="56"/>
      <c r="D2" s="56"/>
      <c r="E2" s="57"/>
      <c r="F2" s="56"/>
      <c r="G2" s="56"/>
      <c r="H2" s="55"/>
    </row>
    <row r="3" spans="1:8" s="38" customFormat="1" x14ac:dyDescent="0.2">
      <c r="B3" s="48"/>
      <c r="C3" s="53"/>
      <c r="D3" s="53"/>
      <c r="E3" s="54" t="s">
        <v>28</v>
      </c>
      <c r="F3" s="50" t="s">
        <v>91</v>
      </c>
      <c r="G3" s="53"/>
      <c r="H3" s="49"/>
    </row>
    <row r="4" spans="1:8" s="38" customFormat="1" x14ac:dyDescent="0.2">
      <c r="B4" s="48"/>
      <c r="C4" s="53"/>
      <c r="D4" s="53"/>
      <c r="E4" s="54" t="s">
        <v>90</v>
      </c>
      <c r="F4" s="50" t="s">
        <v>97</v>
      </c>
      <c r="G4" s="53"/>
      <c r="H4" s="49"/>
    </row>
    <row r="5" spans="1:8" s="38" customFormat="1" x14ac:dyDescent="0.2">
      <c r="B5" s="48"/>
      <c r="C5" s="53"/>
      <c r="D5" s="53"/>
      <c r="E5" s="54" t="s">
        <v>96</v>
      </c>
      <c r="F5" s="61" t="str">
        <f>Libor!I11</f>
        <v>UsdLibor3M#0000</v>
      </c>
      <c r="G5" s="53"/>
      <c r="H5" s="49"/>
    </row>
    <row r="6" spans="1:8" s="38" customFormat="1" x14ac:dyDescent="0.2">
      <c r="B6" s="48"/>
      <c r="C6" s="53"/>
      <c r="D6" s="53"/>
      <c r="E6" s="54" t="s">
        <v>95</v>
      </c>
      <c r="F6" s="61" t="s">
        <v>94</v>
      </c>
      <c r="G6" s="53"/>
      <c r="H6" s="49"/>
    </row>
    <row r="7" spans="1:8" s="38" customFormat="1" x14ac:dyDescent="0.2">
      <c r="B7" s="48"/>
      <c r="C7" s="53"/>
      <c r="D7" s="53"/>
      <c r="E7" s="54" t="s">
        <v>93</v>
      </c>
      <c r="F7" s="61">
        <f>TYPE(Libor!I11)</f>
        <v>2</v>
      </c>
      <c r="G7" s="53"/>
      <c r="H7" s="49"/>
    </row>
    <row r="8" spans="1:8" s="38" customFormat="1" x14ac:dyDescent="0.2">
      <c r="B8" s="48"/>
      <c r="C8" s="53"/>
      <c r="D8" s="53"/>
      <c r="E8" s="53"/>
      <c r="F8" s="53"/>
      <c r="G8" s="53"/>
      <c r="H8" s="49"/>
    </row>
    <row r="9" spans="1:8" s="38" customFormat="1" x14ac:dyDescent="0.2">
      <c r="B9" s="48"/>
      <c r="C9" s="53"/>
      <c r="D9" s="52" t="s">
        <v>88</v>
      </c>
      <c r="E9" s="51" t="str">
        <f>PROPER(Currency)&amp;FamilyName&amp;FixingType&amp;".xml"</f>
        <v>UsdLiborSwapForBasisCalc.xml</v>
      </c>
      <c r="F9" s="50" t="str">
        <f>IF(Serialize,_xll.ohObjectSave(F10:F69,SerializationPath&amp;FileName,FileOverwrite,,Serialize),"---")</f>
        <v>---</v>
      </c>
      <c r="G9" s="43" t="str">
        <f>_xll.ohRangeRetrieveError(F9)</f>
        <v/>
      </c>
      <c r="H9" s="49"/>
    </row>
    <row r="10" spans="1:8" s="38" customFormat="1" x14ac:dyDescent="0.2">
      <c r="B10" s="48"/>
      <c r="C10" s="47" t="s">
        <v>9</v>
      </c>
      <c r="D10" s="46" t="s">
        <v>18</v>
      </c>
      <c r="E10" s="45" t="str">
        <f t="shared" ref="E10:E41" si="0">PROPER(Currency)&amp;FamilyName&amp;FixingType&amp;$C10</f>
        <v>UsdLiborSwapForBasisCalc1Y</v>
      </c>
      <c r="F10" s="44" t="str">
        <f>_xll.qlSwapIndex($E10,FixingType,C10,2,Currency,$F$6,"1Y","f","act/360","USDLibor3M",Discounting,Permanent,$F$7,ObjectOverwrite)</f>
        <v>UsdLiborSwapForBasisCalc1Y#0000</v>
      </c>
      <c r="G10" s="43" t="str">
        <f>_xll.ohRangeRetrieveError(F10)</f>
        <v/>
      </c>
      <c r="H10" s="42"/>
    </row>
    <row r="11" spans="1:8" s="38" customFormat="1" x14ac:dyDescent="0.2">
      <c r="B11" s="48"/>
      <c r="C11" s="47" t="s">
        <v>87</v>
      </c>
      <c r="D11" s="46" t="s">
        <v>18</v>
      </c>
      <c r="E11" s="45" t="str">
        <f t="shared" si="0"/>
        <v>UsdLiborSwapForBasisCalc2Y</v>
      </c>
      <c r="F11" s="44" t="str">
        <f>_xll.qlSwapIndex($E11,FixingType,C11,2,Currency,$F$6,"1Y","f","act/360","USDLibor3M",Discounting,Permanent,$F$7,ObjectOverwrite)</f>
        <v>UsdLiborSwapForBasisCalc2Y#0000</v>
      </c>
      <c r="G11" s="43" t="str">
        <f>_xll.ohRangeRetrieveError(F11)</f>
        <v/>
      </c>
      <c r="H11" s="42"/>
    </row>
    <row r="12" spans="1:8" s="38" customFormat="1" x14ac:dyDescent="0.2">
      <c r="B12" s="48"/>
      <c r="C12" s="47" t="s">
        <v>86</v>
      </c>
      <c r="D12" s="46" t="s">
        <v>18</v>
      </c>
      <c r="E12" s="45" t="str">
        <f t="shared" si="0"/>
        <v>UsdLiborSwapForBasisCalc3Y</v>
      </c>
      <c r="F12" s="44" t="str">
        <f>_xll.qlSwapIndex($E12,FixingType,C12,2,Currency,$F$6,"1Y","f","act/360","USDLibor3M",Discounting,Permanent,$F$7,ObjectOverwrite)</f>
        <v>UsdLiborSwapForBasisCalc3Y#0000</v>
      </c>
      <c r="G12" s="43" t="str">
        <f>_xll.ohRangeRetrieveError(F12)</f>
        <v/>
      </c>
      <c r="H12" s="42"/>
    </row>
    <row r="13" spans="1:8" s="38" customFormat="1" x14ac:dyDescent="0.2">
      <c r="B13" s="48"/>
      <c r="C13" s="47" t="s">
        <v>85</v>
      </c>
      <c r="D13" s="46" t="s">
        <v>18</v>
      </c>
      <c r="E13" s="45" t="str">
        <f t="shared" si="0"/>
        <v>UsdLiborSwapForBasisCalc4Y</v>
      </c>
      <c r="F13" s="44" t="str">
        <f>_xll.qlSwapIndex($E13,FixingType,C13,2,Currency,$F$6,"1Y","f","act/360","USDLibor3M",Discounting,Permanent,$F$7,ObjectOverwrite)</f>
        <v>UsdLiborSwapForBasisCalc4Y#0000</v>
      </c>
      <c r="G13" s="43" t="str">
        <f>_xll.ohRangeRetrieveError(F13)</f>
        <v/>
      </c>
      <c r="H13" s="42"/>
    </row>
    <row r="14" spans="1:8" s="38" customFormat="1" x14ac:dyDescent="0.2">
      <c r="B14" s="48"/>
      <c r="C14" s="47" t="s">
        <v>84</v>
      </c>
      <c r="D14" s="46" t="s">
        <v>18</v>
      </c>
      <c r="E14" s="45" t="str">
        <f t="shared" si="0"/>
        <v>UsdLiborSwapForBasisCalc5Y</v>
      </c>
      <c r="F14" s="44" t="str">
        <f>_xll.qlSwapIndex($E14,FixingType,C14,2,Currency,$F$6,"1Y","f","act/360","USDLibor3M",Discounting,Permanent,$F$7,ObjectOverwrite)</f>
        <v>UsdLiborSwapForBasisCalc5Y#0000</v>
      </c>
      <c r="G14" s="43" t="str">
        <f>_xll.ohRangeRetrieveError(F14)</f>
        <v/>
      </c>
      <c r="H14" s="42"/>
    </row>
    <row r="15" spans="1:8" s="38" customFormat="1" x14ac:dyDescent="0.2">
      <c r="B15" s="48"/>
      <c r="C15" s="47" t="s">
        <v>83</v>
      </c>
      <c r="D15" s="46" t="s">
        <v>18</v>
      </c>
      <c r="E15" s="45" t="str">
        <f t="shared" si="0"/>
        <v>UsdLiborSwapForBasisCalc6Y</v>
      </c>
      <c r="F15" s="44" t="str">
        <f>_xll.qlSwapIndex($E15,FixingType,C15,2,Currency,$F$6,"1Y","f","act/360","USDLibor3M",Discounting,Permanent,$F$7,ObjectOverwrite)</f>
        <v>UsdLiborSwapForBasisCalc6Y#0000</v>
      </c>
      <c r="G15" s="43" t="str">
        <f>_xll.ohRangeRetrieveError(F15)</f>
        <v/>
      </c>
      <c r="H15" s="42"/>
    </row>
    <row r="16" spans="1:8" s="38" customFormat="1" x14ac:dyDescent="0.2">
      <c r="B16" s="48"/>
      <c r="C16" s="47" t="s">
        <v>82</v>
      </c>
      <c r="D16" s="46" t="s">
        <v>18</v>
      </c>
      <c r="E16" s="45" t="str">
        <f t="shared" si="0"/>
        <v>UsdLiborSwapForBasisCalc7Y</v>
      </c>
      <c r="F16" s="44" t="str">
        <f>_xll.qlSwapIndex($E16,FixingType,C16,2,Currency,$F$6,"1Y","f","act/360","USDLibor3M",Discounting,Permanent,$F$7,ObjectOverwrite)</f>
        <v>UsdLiborSwapForBasisCalc7Y#0000</v>
      </c>
      <c r="G16" s="43" t="str">
        <f>_xll.ohRangeRetrieveError(F16)</f>
        <v/>
      </c>
      <c r="H16" s="42"/>
    </row>
    <row r="17" spans="2:8" s="38" customFormat="1" x14ac:dyDescent="0.2">
      <c r="B17" s="48"/>
      <c r="C17" s="47" t="s">
        <v>81</v>
      </c>
      <c r="D17" s="46" t="s">
        <v>18</v>
      </c>
      <c r="E17" s="45" t="str">
        <f t="shared" si="0"/>
        <v>UsdLiborSwapForBasisCalc8Y</v>
      </c>
      <c r="F17" s="44" t="str">
        <f>_xll.qlSwapIndex($E17,FixingType,C17,2,Currency,$F$6,"1Y","f","act/360","USDLibor3M",Discounting,Permanent,$F$7,ObjectOverwrite)</f>
        <v>UsdLiborSwapForBasisCalc8Y#0000</v>
      </c>
      <c r="G17" s="43" t="str">
        <f>_xll.ohRangeRetrieveError(F17)</f>
        <v/>
      </c>
      <c r="H17" s="42"/>
    </row>
    <row r="18" spans="2:8" s="38" customFormat="1" x14ac:dyDescent="0.2">
      <c r="B18" s="48"/>
      <c r="C18" s="47" t="s">
        <v>80</v>
      </c>
      <c r="D18" s="46" t="s">
        <v>18</v>
      </c>
      <c r="E18" s="45" t="str">
        <f t="shared" si="0"/>
        <v>UsdLiborSwapForBasisCalc9Y</v>
      </c>
      <c r="F18" s="44" t="str">
        <f>_xll.qlSwapIndex($E18,FixingType,C18,2,Currency,$F$6,"1Y","f","act/360","USDLibor3M",Discounting,Permanent,$F$7,ObjectOverwrite)</f>
        <v>UsdLiborSwapForBasisCalc9Y#0000</v>
      </c>
      <c r="G18" s="43" t="str">
        <f>_xll.ohRangeRetrieveError(F18)</f>
        <v/>
      </c>
      <c r="H18" s="42"/>
    </row>
    <row r="19" spans="2:8" s="38" customFormat="1" x14ac:dyDescent="0.2">
      <c r="B19" s="48"/>
      <c r="C19" s="47" t="s">
        <v>79</v>
      </c>
      <c r="D19" s="46" t="s">
        <v>18</v>
      </c>
      <c r="E19" s="45" t="str">
        <f t="shared" si="0"/>
        <v>UsdLiborSwapForBasisCalc10Y</v>
      </c>
      <c r="F19" s="44" t="str">
        <f>_xll.qlSwapIndex($E19,FixingType,C19,2,Currency,$F$6,"1Y","f","act/360","USDLibor3M",Discounting,Permanent,$F$7,ObjectOverwrite)</f>
        <v>UsdLiborSwapForBasisCalc10Y#0000</v>
      </c>
      <c r="G19" s="43" t="str">
        <f>_xll.ohRangeRetrieveError(F19)</f>
        <v/>
      </c>
      <c r="H19" s="42"/>
    </row>
    <row r="20" spans="2:8" s="38" customFormat="1" x14ac:dyDescent="0.2">
      <c r="B20" s="48"/>
      <c r="C20" s="47" t="s">
        <v>78</v>
      </c>
      <c r="D20" s="46" t="s">
        <v>18</v>
      </c>
      <c r="E20" s="45" t="str">
        <f t="shared" si="0"/>
        <v>UsdLiborSwapForBasisCalc11Y</v>
      </c>
      <c r="F20" s="44" t="str">
        <f>_xll.qlSwapIndex($E20,FixingType,C20,2,Currency,$F$6,"1Y","f","act/360","USDLibor3M",Discounting,Permanent,$F$7,ObjectOverwrite)</f>
        <v>UsdLiborSwapForBasisCalc11Y#0000</v>
      </c>
      <c r="G20" s="43" t="str">
        <f>_xll.ohRangeRetrieveError(F20)</f>
        <v/>
      </c>
      <c r="H20" s="42"/>
    </row>
    <row r="21" spans="2:8" s="38" customFormat="1" x14ac:dyDescent="0.2">
      <c r="B21" s="48"/>
      <c r="C21" s="47" t="s">
        <v>77</v>
      </c>
      <c r="D21" s="46" t="s">
        <v>18</v>
      </c>
      <c r="E21" s="45" t="str">
        <f t="shared" si="0"/>
        <v>UsdLiborSwapForBasisCalc12Y</v>
      </c>
      <c r="F21" s="44" t="str">
        <f>_xll.qlSwapIndex($E21,FixingType,C21,2,Currency,$F$6,"1Y","f","act/360","USDLibor3M",Discounting,Permanent,$F$7,ObjectOverwrite)</f>
        <v>UsdLiborSwapForBasisCalc12Y#0000</v>
      </c>
      <c r="G21" s="43" t="str">
        <f>_xll.ohRangeRetrieveError(F21)</f>
        <v/>
      </c>
      <c r="H21" s="42"/>
    </row>
    <row r="22" spans="2:8" s="38" customFormat="1" x14ac:dyDescent="0.2">
      <c r="B22" s="48"/>
      <c r="C22" s="47" t="s">
        <v>76</v>
      </c>
      <c r="D22" s="46" t="s">
        <v>18</v>
      </c>
      <c r="E22" s="45" t="str">
        <f t="shared" si="0"/>
        <v>UsdLiborSwapForBasisCalc13Y</v>
      </c>
      <c r="F22" s="44" t="str">
        <f>_xll.qlSwapIndex($E22,FixingType,C22,2,Currency,$F$6,"1Y","f","act/360","USDLibor3M",Discounting,Permanent,$F$7,ObjectOverwrite)</f>
        <v>UsdLiborSwapForBasisCalc13Y#0000</v>
      </c>
      <c r="G22" s="43" t="str">
        <f>_xll.ohRangeRetrieveError(F22)</f>
        <v/>
      </c>
      <c r="H22" s="42"/>
    </row>
    <row r="23" spans="2:8" s="38" customFormat="1" x14ac:dyDescent="0.2">
      <c r="B23" s="48"/>
      <c r="C23" s="47" t="s">
        <v>75</v>
      </c>
      <c r="D23" s="46" t="s">
        <v>18</v>
      </c>
      <c r="E23" s="45" t="str">
        <f t="shared" si="0"/>
        <v>UsdLiborSwapForBasisCalc14Y</v>
      </c>
      <c r="F23" s="44" t="str">
        <f>_xll.qlSwapIndex($E23,FixingType,C23,2,Currency,$F$6,"1Y","f","act/360","USDLibor3M",Discounting,Permanent,$F$7,ObjectOverwrite)</f>
        <v>UsdLiborSwapForBasisCalc14Y#0000</v>
      </c>
      <c r="G23" s="43" t="str">
        <f>_xll.ohRangeRetrieveError(F23)</f>
        <v/>
      </c>
      <c r="H23" s="42"/>
    </row>
    <row r="24" spans="2:8" s="38" customFormat="1" x14ac:dyDescent="0.2">
      <c r="B24" s="48"/>
      <c r="C24" s="47" t="s">
        <v>74</v>
      </c>
      <c r="D24" s="46" t="s">
        <v>18</v>
      </c>
      <c r="E24" s="45" t="str">
        <f t="shared" si="0"/>
        <v>UsdLiborSwapForBasisCalc15Y</v>
      </c>
      <c r="F24" s="44" t="str">
        <f>_xll.qlSwapIndex($E24,FixingType,C24,2,Currency,$F$6,"1Y","f","act/360","USDLibor3M",Discounting,Permanent,$F$7,ObjectOverwrite)</f>
        <v>UsdLiborSwapForBasisCalc15Y#0000</v>
      </c>
      <c r="G24" s="43" t="str">
        <f>_xll.ohRangeRetrieveError(F24)</f>
        <v/>
      </c>
      <c r="H24" s="42"/>
    </row>
    <row r="25" spans="2:8" s="38" customFormat="1" x14ac:dyDescent="0.2">
      <c r="B25" s="48"/>
      <c r="C25" s="47" t="s">
        <v>73</v>
      </c>
      <c r="D25" s="46" t="s">
        <v>18</v>
      </c>
      <c r="E25" s="45" t="str">
        <f t="shared" si="0"/>
        <v>UsdLiborSwapForBasisCalc16Y</v>
      </c>
      <c r="F25" s="44" t="str">
        <f>_xll.qlSwapIndex($E25,FixingType,C25,2,Currency,$F$6,"1Y","f","act/360","USDLibor3M",Discounting,Permanent,$F$7,ObjectOverwrite)</f>
        <v>UsdLiborSwapForBasisCalc16Y#0000</v>
      </c>
      <c r="G25" s="43" t="str">
        <f>_xll.ohRangeRetrieveError(F25)</f>
        <v/>
      </c>
      <c r="H25" s="42"/>
    </row>
    <row r="26" spans="2:8" s="38" customFormat="1" x14ac:dyDescent="0.2">
      <c r="B26" s="48"/>
      <c r="C26" s="47" t="s">
        <v>72</v>
      </c>
      <c r="D26" s="46" t="s">
        <v>18</v>
      </c>
      <c r="E26" s="45" t="str">
        <f t="shared" si="0"/>
        <v>UsdLiborSwapForBasisCalc17Y</v>
      </c>
      <c r="F26" s="44" t="str">
        <f>_xll.qlSwapIndex($E26,FixingType,C26,2,Currency,$F$6,"1Y","f","act/360","USDLibor3M",Discounting,Permanent,$F$7,ObjectOverwrite)</f>
        <v>UsdLiborSwapForBasisCalc17Y#0000</v>
      </c>
      <c r="G26" s="43" t="str">
        <f>_xll.ohRangeRetrieveError(F26)</f>
        <v/>
      </c>
      <c r="H26" s="42"/>
    </row>
    <row r="27" spans="2:8" s="38" customFormat="1" x14ac:dyDescent="0.2">
      <c r="B27" s="48"/>
      <c r="C27" s="47" t="s">
        <v>71</v>
      </c>
      <c r="D27" s="46" t="s">
        <v>18</v>
      </c>
      <c r="E27" s="45" t="str">
        <f t="shared" si="0"/>
        <v>UsdLiborSwapForBasisCalc18Y</v>
      </c>
      <c r="F27" s="44" t="str">
        <f>_xll.qlSwapIndex($E27,FixingType,C27,2,Currency,$F$6,"1Y","f","act/360","USDLibor3M",Discounting,Permanent,$F$7,ObjectOverwrite)</f>
        <v>UsdLiborSwapForBasisCalc18Y#0000</v>
      </c>
      <c r="G27" s="43" t="str">
        <f>_xll.ohRangeRetrieveError(F27)</f>
        <v/>
      </c>
      <c r="H27" s="42"/>
    </row>
    <row r="28" spans="2:8" s="38" customFormat="1" x14ac:dyDescent="0.2">
      <c r="B28" s="48"/>
      <c r="C28" s="47" t="s">
        <v>70</v>
      </c>
      <c r="D28" s="46" t="s">
        <v>18</v>
      </c>
      <c r="E28" s="45" t="str">
        <f t="shared" si="0"/>
        <v>UsdLiborSwapForBasisCalc19Y</v>
      </c>
      <c r="F28" s="44" t="str">
        <f>_xll.qlSwapIndex($E28,FixingType,C28,2,Currency,$F$6,"1Y","f","act/360","USDLibor3M",Discounting,Permanent,$F$7,ObjectOverwrite)</f>
        <v>UsdLiborSwapForBasisCalc19Y#0000</v>
      </c>
      <c r="G28" s="43" t="str">
        <f>_xll.ohRangeRetrieveError(F28)</f>
        <v/>
      </c>
      <c r="H28" s="42"/>
    </row>
    <row r="29" spans="2:8" s="38" customFormat="1" x14ac:dyDescent="0.2">
      <c r="B29" s="48"/>
      <c r="C29" s="47" t="s">
        <v>69</v>
      </c>
      <c r="D29" s="46" t="s">
        <v>18</v>
      </c>
      <c r="E29" s="45" t="str">
        <f t="shared" si="0"/>
        <v>UsdLiborSwapForBasisCalc20Y</v>
      </c>
      <c r="F29" s="44" t="str">
        <f>_xll.qlSwapIndex($E29,FixingType,C29,2,Currency,$F$6,"1Y","f","act/360","USDLibor3M",Discounting,Permanent,$F$7,ObjectOverwrite)</f>
        <v>UsdLiborSwapForBasisCalc20Y#0000</v>
      </c>
      <c r="G29" s="43" t="str">
        <f>_xll.ohRangeRetrieveError(F29)</f>
        <v/>
      </c>
      <c r="H29" s="42"/>
    </row>
    <row r="30" spans="2:8" s="38" customFormat="1" x14ac:dyDescent="0.2">
      <c r="B30" s="48"/>
      <c r="C30" s="47" t="s">
        <v>68</v>
      </c>
      <c r="D30" s="46" t="s">
        <v>18</v>
      </c>
      <c r="E30" s="45" t="str">
        <f t="shared" si="0"/>
        <v>UsdLiborSwapForBasisCalc21Y</v>
      </c>
      <c r="F30" s="44" t="str">
        <f>_xll.qlSwapIndex($E30,FixingType,C30,2,Currency,$F$6,"1Y","f","act/360","USDLibor3M",Discounting,Permanent,$F$7,ObjectOverwrite)</f>
        <v>UsdLiborSwapForBasisCalc21Y#0000</v>
      </c>
      <c r="G30" s="43" t="str">
        <f>_xll.ohRangeRetrieveError(F30)</f>
        <v/>
      </c>
      <c r="H30" s="42"/>
    </row>
    <row r="31" spans="2:8" s="38" customFormat="1" x14ac:dyDescent="0.2">
      <c r="B31" s="48"/>
      <c r="C31" s="47" t="s">
        <v>67</v>
      </c>
      <c r="D31" s="46" t="s">
        <v>18</v>
      </c>
      <c r="E31" s="45" t="str">
        <f t="shared" si="0"/>
        <v>UsdLiborSwapForBasisCalc22Y</v>
      </c>
      <c r="F31" s="44" t="str">
        <f>_xll.qlSwapIndex($E31,FixingType,C31,2,Currency,$F$6,"1Y","f","act/360","USDLibor3M",Discounting,Permanent,$F$7,ObjectOverwrite)</f>
        <v>UsdLiborSwapForBasisCalc22Y#0000</v>
      </c>
      <c r="G31" s="43" t="str">
        <f>_xll.ohRangeRetrieveError(F31)</f>
        <v/>
      </c>
      <c r="H31" s="42"/>
    </row>
    <row r="32" spans="2:8" s="38" customFormat="1" x14ac:dyDescent="0.2">
      <c r="B32" s="48"/>
      <c r="C32" s="47" t="s">
        <v>66</v>
      </c>
      <c r="D32" s="46" t="s">
        <v>18</v>
      </c>
      <c r="E32" s="45" t="str">
        <f t="shared" si="0"/>
        <v>UsdLiborSwapForBasisCalc23Y</v>
      </c>
      <c r="F32" s="44" t="str">
        <f>_xll.qlSwapIndex($E32,FixingType,C32,2,Currency,$F$6,"1Y","f","act/360","USDLibor3M",Discounting,Permanent,$F$7,ObjectOverwrite)</f>
        <v>UsdLiborSwapForBasisCalc23Y#0000</v>
      </c>
      <c r="G32" s="43" t="str">
        <f>_xll.ohRangeRetrieveError(F32)</f>
        <v/>
      </c>
      <c r="H32" s="42"/>
    </row>
    <row r="33" spans="2:8" s="38" customFormat="1" x14ac:dyDescent="0.2">
      <c r="B33" s="48"/>
      <c r="C33" s="47" t="s">
        <v>65</v>
      </c>
      <c r="D33" s="46" t="s">
        <v>18</v>
      </c>
      <c r="E33" s="45" t="str">
        <f t="shared" si="0"/>
        <v>UsdLiborSwapForBasisCalc24Y</v>
      </c>
      <c r="F33" s="44" t="str">
        <f>_xll.qlSwapIndex($E33,FixingType,C33,2,Currency,$F$6,"1Y","f","act/360","USDLibor3M",Discounting,Permanent,$F$7,ObjectOverwrite)</f>
        <v>UsdLiborSwapForBasisCalc24Y#0000</v>
      </c>
      <c r="G33" s="43" t="str">
        <f>_xll.ohRangeRetrieveError(F33)</f>
        <v/>
      </c>
      <c r="H33" s="42"/>
    </row>
    <row r="34" spans="2:8" s="38" customFormat="1" x14ac:dyDescent="0.2">
      <c r="B34" s="48"/>
      <c r="C34" s="47" t="s">
        <v>64</v>
      </c>
      <c r="D34" s="46" t="s">
        <v>18</v>
      </c>
      <c r="E34" s="45" t="str">
        <f t="shared" si="0"/>
        <v>UsdLiborSwapForBasisCalc25Y</v>
      </c>
      <c r="F34" s="44" t="str">
        <f>_xll.qlSwapIndex($E34,FixingType,C34,2,Currency,$F$6,"1Y","f","act/360","USDLibor3M",Discounting,Permanent,$F$7,ObjectOverwrite)</f>
        <v>UsdLiborSwapForBasisCalc25Y#0000</v>
      </c>
      <c r="G34" s="43" t="str">
        <f>_xll.ohRangeRetrieveError(F34)</f>
        <v/>
      </c>
      <c r="H34" s="42"/>
    </row>
    <row r="35" spans="2:8" s="38" customFormat="1" x14ac:dyDescent="0.2">
      <c r="B35" s="48"/>
      <c r="C35" s="47" t="s">
        <v>63</v>
      </c>
      <c r="D35" s="46" t="s">
        <v>18</v>
      </c>
      <c r="E35" s="45" t="str">
        <f t="shared" si="0"/>
        <v>UsdLiborSwapForBasisCalc26Y</v>
      </c>
      <c r="F35" s="44" t="str">
        <f>_xll.qlSwapIndex($E35,FixingType,C35,2,Currency,$F$6,"1Y","f","act/360","USDLibor3M",Discounting,Permanent,$F$7,ObjectOverwrite)</f>
        <v>UsdLiborSwapForBasisCalc26Y#0000</v>
      </c>
      <c r="G35" s="43" t="str">
        <f>_xll.ohRangeRetrieveError(F35)</f>
        <v/>
      </c>
      <c r="H35" s="42"/>
    </row>
    <row r="36" spans="2:8" s="38" customFormat="1" x14ac:dyDescent="0.2">
      <c r="B36" s="48"/>
      <c r="C36" s="47" t="s">
        <v>62</v>
      </c>
      <c r="D36" s="46" t="s">
        <v>18</v>
      </c>
      <c r="E36" s="45" t="str">
        <f t="shared" si="0"/>
        <v>UsdLiborSwapForBasisCalc27Y</v>
      </c>
      <c r="F36" s="44" t="str">
        <f>_xll.qlSwapIndex($E36,FixingType,C36,2,Currency,$F$6,"1Y","f","act/360","USDLibor3M",Discounting,Permanent,$F$7,ObjectOverwrite)</f>
        <v>UsdLiborSwapForBasisCalc27Y#0000</v>
      </c>
      <c r="G36" s="43" t="str">
        <f>_xll.ohRangeRetrieveError(F36)</f>
        <v/>
      </c>
      <c r="H36" s="42"/>
    </row>
    <row r="37" spans="2:8" s="38" customFormat="1" x14ac:dyDescent="0.2">
      <c r="B37" s="48"/>
      <c r="C37" s="47" t="s">
        <v>61</v>
      </c>
      <c r="D37" s="46" t="s">
        <v>18</v>
      </c>
      <c r="E37" s="45" t="str">
        <f t="shared" si="0"/>
        <v>UsdLiborSwapForBasisCalc28Y</v>
      </c>
      <c r="F37" s="44" t="str">
        <f>_xll.qlSwapIndex($E37,FixingType,C37,2,Currency,$F$6,"1Y","f","act/360","USDLibor3M",Discounting,Permanent,$F$7,ObjectOverwrite)</f>
        <v>UsdLiborSwapForBasisCalc28Y#0000</v>
      </c>
      <c r="G37" s="43" t="str">
        <f>_xll.ohRangeRetrieveError(F37)</f>
        <v/>
      </c>
      <c r="H37" s="42"/>
    </row>
    <row r="38" spans="2:8" s="38" customFormat="1" x14ac:dyDescent="0.2">
      <c r="B38" s="48"/>
      <c r="C38" s="47" t="s">
        <v>60</v>
      </c>
      <c r="D38" s="46" t="s">
        <v>18</v>
      </c>
      <c r="E38" s="45" t="str">
        <f t="shared" si="0"/>
        <v>UsdLiborSwapForBasisCalc29Y</v>
      </c>
      <c r="F38" s="44" t="str">
        <f>_xll.qlSwapIndex($E38,FixingType,C38,2,Currency,$F$6,"1Y","f","act/360","USDLibor3M",Discounting,Permanent,$F$7,ObjectOverwrite)</f>
        <v>UsdLiborSwapForBasisCalc29Y#0000</v>
      </c>
      <c r="G38" s="43" t="str">
        <f>_xll.ohRangeRetrieveError(F38)</f>
        <v/>
      </c>
      <c r="H38" s="42"/>
    </row>
    <row r="39" spans="2:8" s="38" customFormat="1" x14ac:dyDescent="0.2">
      <c r="B39" s="48"/>
      <c r="C39" s="47" t="s">
        <v>59</v>
      </c>
      <c r="D39" s="46" t="s">
        <v>18</v>
      </c>
      <c r="E39" s="45" t="str">
        <f t="shared" si="0"/>
        <v>UsdLiborSwapForBasisCalc30Y</v>
      </c>
      <c r="F39" s="44" t="str">
        <f>_xll.qlSwapIndex($E39,FixingType,C39,2,Currency,$F$6,"1Y","f","act/360","USDLibor3M",Discounting,Permanent,$F$7,ObjectOverwrite)</f>
        <v>UsdLiborSwapForBasisCalc30Y#0000</v>
      </c>
      <c r="G39" s="43" t="str">
        <f>_xll.ohRangeRetrieveError(F39)</f>
        <v/>
      </c>
      <c r="H39" s="42"/>
    </row>
    <row r="40" spans="2:8" s="38" customFormat="1" x14ac:dyDescent="0.2">
      <c r="B40" s="48"/>
      <c r="C40" s="47" t="s">
        <v>58</v>
      </c>
      <c r="D40" s="46" t="s">
        <v>18</v>
      </c>
      <c r="E40" s="45" t="str">
        <f t="shared" si="0"/>
        <v>UsdLiborSwapForBasisCalc31Y</v>
      </c>
      <c r="F40" s="44" t="str">
        <f>_xll.qlSwapIndex($E40,FixingType,C40,2,Currency,$F$6,"1Y","f","act/360","USDLibor3M",Discounting,Permanent,$F$7,ObjectOverwrite)</f>
        <v>UsdLiborSwapForBasisCalc31Y#0000</v>
      </c>
      <c r="G40" s="43" t="str">
        <f>_xll.ohRangeRetrieveError(F40)</f>
        <v/>
      </c>
      <c r="H40" s="42"/>
    </row>
    <row r="41" spans="2:8" s="38" customFormat="1" x14ac:dyDescent="0.2">
      <c r="B41" s="48"/>
      <c r="C41" s="47" t="s">
        <v>57</v>
      </c>
      <c r="D41" s="46" t="s">
        <v>18</v>
      </c>
      <c r="E41" s="45" t="str">
        <f t="shared" si="0"/>
        <v>UsdLiborSwapForBasisCalc32Y</v>
      </c>
      <c r="F41" s="44" t="str">
        <f>_xll.qlSwapIndex($E41,FixingType,C41,2,Currency,$F$6,"1Y","f","act/360","USDLibor3M",Discounting,Permanent,$F$7,ObjectOverwrite)</f>
        <v>UsdLiborSwapForBasisCalc32Y#0000</v>
      </c>
      <c r="G41" s="43" t="str">
        <f>_xll.ohRangeRetrieveError(F41)</f>
        <v/>
      </c>
      <c r="H41" s="42"/>
    </row>
    <row r="42" spans="2:8" s="38" customFormat="1" x14ac:dyDescent="0.2">
      <c r="B42" s="48"/>
      <c r="C42" s="47" t="s">
        <v>56</v>
      </c>
      <c r="D42" s="46" t="s">
        <v>18</v>
      </c>
      <c r="E42" s="45" t="str">
        <f t="shared" ref="E42:E69" si="1">PROPER(Currency)&amp;FamilyName&amp;FixingType&amp;$C42</f>
        <v>UsdLiborSwapForBasisCalc33Y</v>
      </c>
      <c r="F42" s="44" t="str">
        <f>_xll.qlSwapIndex($E42,FixingType,C42,2,Currency,$F$6,"1Y","f","act/360","USDLibor3M",Discounting,Permanent,$F$7,ObjectOverwrite)</f>
        <v>UsdLiborSwapForBasisCalc33Y#0000</v>
      </c>
      <c r="G42" s="43" t="str">
        <f>_xll.ohRangeRetrieveError(F42)</f>
        <v/>
      </c>
      <c r="H42" s="42"/>
    </row>
    <row r="43" spans="2:8" s="38" customFormat="1" x14ac:dyDescent="0.2">
      <c r="B43" s="48"/>
      <c r="C43" s="47" t="s">
        <v>55</v>
      </c>
      <c r="D43" s="46" t="s">
        <v>18</v>
      </c>
      <c r="E43" s="45" t="str">
        <f t="shared" si="1"/>
        <v>UsdLiborSwapForBasisCalc34Y</v>
      </c>
      <c r="F43" s="44" t="str">
        <f>_xll.qlSwapIndex($E43,FixingType,C43,2,Currency,$F$6,"1Y","f","act/360","USDLibor3M",Discounting,Permanent,$F$7,ObjectOverwrite)</f>
        <v>UsdLiborSwapForBasisCalc34Y#0000</v>
      </c>
      <c r="G43" s="43" t="str">
        <f>_xll.ohRangeRetrieveError(F43)</f>
        <v/>
      </c>
      <c r="H43" s="42"/>
    </row>
    <row r="44" spans="2:8" s="38" customFormat="1" x14ac:dyDescent="0.2">
      <c r="B44" s="48"/>
      <c r="C44" s="47" t="s">
        <v>54</v>
      </c>
      <c r="D44" s="46" t="s">
        <v>18</v>
      </c>
      <c r="E44" s="45" t="str">
        <f t="shared" si="1"/>
        <v>UsdLiborSwapForBasisCalc35Y</v>
      </c>
      <c r="F44" s="44" t="str">
        <f>_xll.qlSwapIndex($E44,FixingType,C44,2,Currency,$F$6,"1Y","f","act/360","USDLibor3M",Discounting,Permanent,$F$7,ObjectOverwrite)</f>
        <v>UsdLiborSwapForBasisCalc35Y#0000</v>
      </c>
      <c r="G44" s="43" t="str">
        <f>_xll.ohRangeRetrieveError(F44)</f>
        <v/>
      </c>
      <c r="H44" s="42"/>
    </row>
    <row r="45" spans="2:8" s="38" customFormat="1" x14ac:dyDescent="0.2">
      <c r="B45" s="48"/>
      <c r="C45" s="47" t="s">
        <v>53</v>
      </c>
      <c r="D45" s="46" t="s">
        <v>18</v>
      </c>
      <c r="E45" s="45" t="str">
        <f t="shared" si="1"/>
        <v>UsdLiborSwapForBasisCalc36Y</v>
      </c>
      <c r="F45" s="44" t="str">
        <f>_xll.qlSwapIndex($E45,FixingType,C45,2,Currency,$F$6,"1Y","f","act/360","USDLibor3M",Discounting,Permanent,$F$7,ObjectOverwrite)</f>
        <v>UsdLiborSwapForBasisCalc36Y#0000</v>
      </c>
      <c r="G45" s="43" t="str">
        <f>_xll.ohRangeRetrieveError(F45)</f>
        <v/>
      </c>
      <c r="H45" s="42"/>
    </row>
    <row r="46" spans="2:8" s="38" customFormat="1" x14ac:dyDescent="0.2">
      <c r="B46" s="48"/>
      <c r="C46" s="47" t="s">
        <v>52</v>
      </c>
      <c r="D46" s="46" t="s">
        <v>18</v>
      </c>
      <c r="E46" s="45" t="str">
        <f t="shared" si="1"/>
        <v>UsdLiborSwapForBasisCalc37Y</v>
      </c>
      <c r="F46" s="44" t="str">
        <f>_xll.qlSwapIndex($E46,FixingType,C46,2,Currency,$F$6,"1Y","f","act/360","USDLibor3M",Discounting,Permanent,$F$7,ObjectOverwrite)</f>
        <v>UsdLiborSwapForBasisCalc37Y#0000</v>
      </c>
      <c r="G46" s="43" t="str">
        <f>_xll.ohRangeRetrieveError(F46)</f>
        <v/>
      </c>
      <c r="H46" s="42"/>
    </row>
    <row r="47" spans="2:8" s="38" customFormat="1" x14ac:dyDescent="0.2">
      <c r="B47" s="48"/>
      <c r="C47" s="47" t="s">
        <v>51</v>
      </c>
      <c r="D47" s="46" t="s">
        <v>18</v>
      </c>
      <c r="E47" s="45" t="str">
        <f t="shared" si="1"/>
        <v>UsdLiborSwapForBasisCalc38Y</v>
      </c>
      <c r="F47" s="44" t="str">
        <f>_xll.qlSwapIndex($E47,FixingType,C47,2,Currency,$F$6,"1Y","f","act/360","USDLibor3M",Discounting,Permanent,$F$7,ObjectOverwrite)</f>
        <v>UsdLiborSwapForBasisCalc38Y#0000</v>
      </c>
      <c r="G47" s="43" t="str">
        <f>_xll.ohRangeRetrieveError(F47)</f>
        <v/>
      </c>
      <c r="H47" s="42"/>
    </row>
    <row r="48" spans="2:8" s="38" customFormat="1" x14ac:dyDescent="0.2">
      <c r="B48" s="48"/>
      <c r="C48" s="47" t="s">
        <v>50</v>
      </c>
      <c r="D48" s="46" t="s">
        <v>18</v>
      </c>
      <c r="E48" s="45" t="str">
        <f t="shared" si="1"/>
        <v>UsdLiborSwapForBasisCalc39Y</v>
      </c>
      <c r="F48" s="44" t="str">
        <f>_xll.qlSwapIndex($E48,FixingType,C48,2,Currency,$F$6,"1Y","f","act/360","USDLibor3M",Discounting,Permanent,$F$7,ObjectOverwrite)</f>
        <v>UsdLiborSwapForBasisCalc39Y#0000</v>
      </c>
      <c r="G48" s="43" t="str">
        <f>_xll.ohRangeRetrieveError(F48)</f>
        <v/>
      </c>
      <c r="H48" s="42"/>
    </row>
    <row r="49" spans="2:8" s="38" customFormat="1" x14ac:dyDescent="0.2">
      <c r="B49" s="48"/>
      <c r="C49" s="47" t="s">
        <v>49</v>
      </c>
      <c r="D49" s="46" t="s">
        <v>18</v>
      </c>
      <c r="E49" s="45" t="str">
        <f t="shared" si="1"/>
        <v>UsdLiborSwapForBasisCalc40Y</v>
      </c>
      <c r="F49" s="44" t="str">
        <f>_xll.qlSwapIndex($E49,FixingType,C49,2,Currency,$F$6,"1Y","f","act/360","USDLibor3M",Discounting,Permanent,$F$7,ObjectOverwrite)</f>
        <v>UsdLiborSwapForBasisCalc40Y#0000</v>
      </c>
      <c r="G49" s="43" t="str">
        <f>_xll.ohRangeRetrieveError(F49)</f>
        <v/>
      </c>
      <c r="H49" s="42"/>
    </row>
    <row r="50" spans="2:8" s="38" customFormat="1" x14ac:dyDescent="0.2">
      <c r="B50" s="48"/>
      <c r="C50" s="47" t="s">
        <v>48</v>
      </c>
      <c r="D50" s="46" t="s">
        <v>18</v>
      </c>
      <c r="E50" s="45" t="str">
        <f t="shared" si="1"/>
        <v>UsdLiborSwapForBasisCalc41Y</v>
      </c>
      <c r="F50" s="44" t="str">
        <f>_xll.qlSwapIndex($E50,FixingType,C50,2,Currency,$F$6,"1Y","f","act/360","USDLibor3M",Discounting,Permanent,$F$7,ObjectOverwrite)</f>
        <v>UsdLiborSwapForBasisCalc41Y#0000</v>
      </c>
      <c r="G50" s="43" t="str">
        <f>_xll.ohRangeRetrieveError(F50)</f>
        <v/>
      </c>
      <c r="H50" s="42"/>
    </row>
    <row r="51" spans="2:8" s="38" customFormat="1" x14ac:dyDescent="0.2">
      <c r="B51" s="48"/>
      <c r="C51" s="47" t="s">
        <v>47</v>
      </c>
      <c r="D51" s="46" t="s">
        <v>18</v>
      </c>
      <c r="E51" s="45" t="str">
        <f t="shared" si="1"/>
        <v>UsdLiborSwapForBasisCalc42Y</v>
      </c>
      <c r="F51" s="44" t="str">
        <f>_xll.qlSwapIndex($E51,FixingType,C51,2,Currency,$F$6,"1Y","f","act/360","USDLibor3M",Discounting,Permanent,$F$7,ObjectOverwrite)</f>
        <v>UsdLiborSwapForBasisCalc42Y#0000</v>
      </c>
      <c r="G51" s="43" t="str">
        <f>_xll.ohRangeRetrieveError(F51)</f>
        <v/>
      </c>
      <c r="H51" s="42"/>
    </row>
    <row r="52" spans="2:8" s="38" customFormat="1" x14ac:dyDescent="0.2">
      <c r="B52" s="48"/>
      <c r="C52" s="47" t="s">
        <v>46</v>
      </c>
      <c r="D52" s="46" t="s">
        <v>18</v>
      </c>
      <c r="E52" s="45" t="str">
        <f t="shared" si="1"/>
        <v>UsdLiborSwapForBasisCalc43Y</v>
      </c>
      <c r="F52" s="44" t="str">
        <f>_xll.qlSwapIndex($E52,FixingType,C52,2,Currency,$F$6,"1Y","f","act/360","USDLibor3M",Discounting,Permanent,$F$7,ObjectOverwrite)</f>
        <v>UsdLiborSwapForBasisCalc43Y#0000</v>
      </c>
      <c r="G52" s="43" t="str">
        <f>_xll.ohRangeRetrieveError(F52)</f>
        <v/>
      </c>
      <c r="H52" s="42"/>
    </row>
    <row r="53" spans="2:8" s="38" customFormat="1" x14ac:dyDescent="0.2">
      <c r="B53" s="48"/>
      <c r="C53" s="47" t="s">
        <v>45</v>
      </c>
      <c r="D53" s="46" t="s">
        <v>18</v>
      </c>
      <c r="E53" s="45" t="str">
        <f t="shared" si="1"/>
        <v>UsdLiborSwapForBasisCalc44Y</v>
      </c>
      <c r="F53" s="44" t="str">
        <f>_xll.qlSwapIndex($E53,FixingType,C53,2,Currency,$F$6,"1Y","f","act/360","USDLibor3M",Discounting,Permanent,$F$7,ObjectOverwrite)</f>
        <v>UsdLiborSwapForBasisCalc44Y#0000</v>
      </c>
      <c r="G53" s="43" t="str">
        <f>_xll.ohRangeRetrieveError(F53)</f>
        <v/>
      </c>
      <c r="H53" s="42"/>
    </row>
    <row r="54" spans="2:8" s="38" customFormat="1" x14ac:dyDescent="0.2">
      <c r="B54" s="48"/>
      <c r="C54" s="47" t="s">
        <v>44</v>
      </c>
      <c r="D54" s="46" t="s">
        <v>18</v>
      </c>
      <c r="E54" s="45" t="str">
        <f t="shared" si="1"/>
        <v>UsdLiborSwapForBasisCalc45Y</v>
      </c>
      <c r="F54" s="44" t="str">
        <f>_xll.qlSwapIndex($E54,FixingType,C54,2,Currency,$F$6,"1Y","f","act/360","USDLibor3M",Discounting,Permanent,$F$7,ObjectOverwrite)</f>
        <v>UsdLiborSwapForBasisCalc45Y#0000</v>
      </c>
      <c r="G54" s="43" t="str">
        <f>_xll.ohRangeRetrieveError(F54)</f>
        <v/>
      </c>
      <c r="H54" s="42"/>
    </row>
    <row r="55" spans="2:8" s="38" customFormat="1" x14ac:dyDescent="0.2">
      <c r="B55" s="48"/>
      <c r="C55" s="47" t="s">
        <v>43</v>
      </c>
      <c r="D55" s="46" t="s">
        <v>18</v>
      </c>
      <c r="E55" s="45" t="str">
        <f t="shared" si="1"/>
        <v>UsdLiborSwapForBasisCalc46Y</v>
      </c>
      <c r="F55" s="44" t="str">
        <f>_xll.qlSwapIndex($E55,FixingType,C55,2,Currency,$F$6,"1Y","f","act/360","USDLibor3M",Discounting,Permanent,$F$7,ObjectOverwrite)</f>
        <v>UsdLiborSwapForBasisCalc46Y#0000</v>
      </c>
      <c r="G55" s="43" t="str">
        <f>_xll.ohRangeRetrieveError(F55)</f>
        <v/>
      </c>
      <c r="H55" s="42"/>
    </row>
    <row r="56" spans="2:8" s="38" customFormat="1" x14ac:dyDescent="0.2">
      <c r="B56" s="48"/>
      <c r="C56" s="47" t="s">
        <v>42</v>
      </c>
      <c r="D56" s="46" t="s">
        <v>18</v>
      </c>
      <c r="E56" s="45" t="str">
        <f t="shared" si="1"/>
        <v>UsdLiborSwapForBasisCalc47Y</v>
      </c>
      <c r="F56" s="44" t="str">
        <f>_xll.qlSwapIndex($E56,FixingType,C56,2,Currency,$F$6,"1Y","f","act/360","USDLibor3M",Discounting,Permanent,$F$7,ObjectOverwrite)</f>
        <v>UsdLiborSwapForBasisCalc47Y#0000</v>
      </c>
      <c r="G56" s="43" t="str">
        <f>_xll.ohRangeRetrieveError(F56)</f>
        <v/>
      </c>
      <c r="H56" s="42"/>
    </row>
    <row r="57" spans="2:8" s="38" customFormat="1" x14ac:dyDescent="0.2">
      <c r="B57" s="48"/>
      <c r="C57" s="47" t="s">
        <v>41</v>
      </c>
      <c r="D57" s="46" t="s">
        <v>18</v>
      </c>
      <c r="E57" s="45" t="str">
        <f t="shared" si="1"/>
        <v>UsdLiborSwapForBasisCalc48Y</v>
      </c>
      <c r="F57" s="44" t="str">
        <f>_xll.qlSwapIndex($E57,FixingType,C57,2,Currency,$F$6,"1Y","f","act/360","USDLibor3M",Discounting,Permanent,$F$7,ObjectOverwrite)</f>
        <v>UsdLiborSwapForBasisCalc48Y#0000</v>
      </c>
      <c r="G57" s="43" t="str">
        <f>_xll.ohRangeRetrieveError(F57)</f>
        <v/>
      </c>
      <c r="H57" s="42"/>
    </row>
    <row r="58" spans="2:8" s="38" customFormat="1" x14ac:dyDescent="0.2">
      <c r="B58" s="48"/>
      <c r="C58" s="47" t="s">
        <v>40</v>
      </c>
      <c r="D58" s="46" t="s">
        <v>18</v>
      </c>
      <c r="E58" s="45" t="str">
        <f t="shared" si="1"/>
        <v>UsdLiborSwapForBasisCalc49Y</v>
      </c>
      <c r="F58" s="44" t="str">
        <f>_xll.qlSwapIndex($E58,FixingType,C58,2,Currency,$F$6,"1Y","f","act/360","USDLibor3M",Discounting,Permanent,$F$7,ObjectOverwrite)</f>
        <v>UsdLiborSwapForBasisCalc49Y#0000</v>
      </c>
      <c r="G58" s="43" t="str">
        <f>_xll.ohRangeRetrieveError(F58)</f>
        <v/>
      </c>
      <c r="H58" s="42"/>
    </row>
    <row r="59" spans="2:8" s="38" customFormat="1" x14ac:dyDescent="0.2">
      <c r="B59" s="48"/>
      <c r="C59" s="47" t="s">
        <v>39</v>
      </c>
      <c r="D59" s="46" t="s">
        <v>18</v>
      </c>
      <c r="E59" s="45" t="str">
        <f t="shared" si="1"/>
        <v>UsdLiborSwapForBasisCalc50Y</v>
      </c>
      <c r="F59" s="44" t="str">
        <f>_xll.qlSwapIndex($E59,FixingType,C59,2,Currency,$F$6,"1Y","f","act/360","USDLibor3M",Discounting,Permanent,$F$7,ObjectOverwrite)</f>
        <v>UsdLiborSwapForBasisCalc50Y#0000</v>
      </c>
      <c r="G59" s="43" t="str">
        <f>_xll.ohRangeRetrieveError(F59)</f>
        <v/>
      </c>
      <c r="H59" s="42"/>
    </row>
    <row r="60" spans="2:8" s="38" customFormat="1" x14ac:dyDescent="0.2">
      <c r="B60" s="48"/>
      <c r="C60" s="47" t="s">
        <v>38</v>
      </c>
      <c r="D60" s="46" t="s">
        <v>18</v>
      </c>
      <c r="E60" s="45" t="str">
        <f t="shared" si="1"/>
        <v>UsdLiborSwapForBasisCalc51Y</v>
      </c>
      <c r="F60" s="44" t="str">
        <f>_xll.qlSwapIndex($E60,FixingType,C60,2,Currency,$F$6,"1Y","f","act/360","USDLibor3M",Discounting,Permanent,$F$7,ObjectOverwrite)</f>
        <v>UsdLiborSwapForBasisCalc51Y#0000</v>
      </c>
      <c r="G60" s="43" t="str">
        <f>_xll.ohRangeRetrieveError(F60)</f>
        <v/>
      </c>
      <c r="H60" s="42"/>
    </row>
    <row r="61" spans="2:8" s="38" customFormat="1" x14ac:dyDescent="0.2">
      <c r="B61" s="48"/>
      <c r="C61" s="47" t="s">
        <v>37</v>
      </c>
      <c r="D61" s="46" t="s">
        <v>18</v>
      </c>
      <c r="E61" s="45" t="str">
        <f t="shared" si="1"/>
        <v>UsdLiborSwapForBasisCalc52Y</v>
      </c>
      <c r="F61" s="44" t="str">
        <f>_xll.qlSwapIndex($E61,FixingType,C61,2,Currency,$F$6,"1Y","f","act/360","USDLibor3M",Discounting,Permanent,$F$7,ObjectOverwrite)</f>
        <v>UsdLiborSwapForBasisCalc52Y#0000</v>
      </c>
      <c r="G61" s="43" t="str">
        <f>_xll.ohRangeRetrieveError(F61)</f>
        <v/>
      </c>
      <c r="H61" s="42"/>
    </row>
    <row r="62" spans="2:8" s="38" customFormat="1" x14ac:dyDescent="0.2">
      <c r="B62" s="48"/>
      <c r="C62" s="47" t="s">
        <v>36</v>
      </c>
      <c r="D62" s="46" t="s">
        <v>18</v>
      </c>
      <c r="E62" s="45" t="str">
        <f t="shared" si="1"/>
        <v>UsdLiborSwapForBasisCalc53Y</v>
      </c>
      <c r="F62" s="44" t="str">
        <f>_xll.qlSwapIndex($E62,FixingType,C62,2,Currency,$F$6,"1Y","f","act/360","USDLibor3M",Discounting,Permanent,$F$7,ObjectOverwrite)</f>
        <v>UsdLiborSwapForBasisCalc53Y#0000</v>
      </c>
      <c r="G62" s="43" t="str">
        <f>_xll.ohRangeRetrieveError(F62)</f>
        <v/>
      </c>
      <c r="H62" s="42"/>
    </row>
    <row r="63" spans="2:8" s="38" customFormat="1" x14ac:dyDescent="0.2">
      <c r="B63" s="48"/>
      <c r="C63" s="47" t="s">
        <v>35</v>
      </c>
      <c r="D63" s="46" t="s">
        <v>18</v>
      </c>
      <c r="E63" s="45" t="str">
        <f t="shared" si="1"/>
        <v>UsdLiborSwapForBasisCalc54Y</v>
      </c>
      <c r="F63" s="44" t="str">
        <f>_xll.qlSwapIndex($E63,FixingType,C63,2,Currency,$F$6,"1Y","f","act/360","USDLibor3M",Discounting,Permanent,$F$7,ObjectOverwrite)</f>
        <v>UsdLiborSwapForBasisCalc54Y#0000</v>
      </c>
      <c r="G63" s="43" t="str">
        <f>_xll.ohRangeRetrieveError(F63)</f>
        <v/>
      </c>
      <c r="H63" s="42"/>
    </row>
    <row r="64" spans="2:8" s="38" customFormat="1" x14ac:dyDescent="0.2">
      <c r="B64" s="48"/>
      <c r="C64" s="47" t="s">
        <v>34</v>
      </c>
      <c r="D64" s="46" t="s">
        <v>18</v>
      </c>
      <c r="E64" s="45" t="str">
        <f t="shared" si="1"/>
        <v>UsdLiborSwapForBasisCalc55Y</v>
      </c>
      <c r="F64" s="44" t="str">
        <f>_xll.qlSwapIndex($E64,FixingType,C64,2,Currency,$F$6,"1Y","f","act/360","USDLibor3M",Discounting,Permanent,$F$7,ObjectOverwrite)</f>
        <v>UsdLiborSwapForBasisCalc55Y#0000</v>
      </c>
      <c r="G64" s="43" t="str">
        <f>_xll.ohRangeRetrieveError(F64)</f>
        <v/>
      </c>
      <c r="H64" s="42"/>
    </row>
    <row r="65" spans="2:8" s="38" customFormat="1" x14ac:dyDescent="0.2">
      <c r="B65" s="48"/>
      <c r="C65" s="47" t="s">
        <v>33</v>
      </c>
      <c r="D65" s="46" t="s">
        <v>18</v>
      </c>
      <c r="E65" s="45" t="str">
        <f t="shared" si="1"/>
        <v>UsdLiborSwapForBasisCalc56Y</v>
      </c>
      <c r="F65" s="44" t="str">
        <f>_xll.qlSwapIndex($E65,FixingType,C65,2,Currency,$F$6,"1Y","f","act/360","USDLibor3M",Discounting,Permanent,$F$7,ObjectOverwrite)</f>
        <v>UsdLiborSwapForBasisCalc56Y#0000</v>
      </c>
      <c r="G65" s="43" t="str">
        <f>_xll.ohRangeRetrieveError(F65)</f>
        <v/>
      </c>
      <c r="H65" s="42"/>
    </row>
    <row r="66" spans="2:8" s="38" customFormat="1" x14ac:dyDescent="0.2">
      <c r="B66" s="48"/>
      <c r="C66" s="47" t="s">
        <v>32</v>
      </c>
      <c r="D66" s="46" t="s">
        <v>18</v>
      </c>
      <c r="E66" s="45" t="str">
        <f t="shared" si="1"/>
        <v>UsdLiborSwapForBasisCalc57Y</v>
      </c>
      <c r="F66" s="44" t="str">
        <f>_xll.qlSwapIndex($E66,FixingType,C66,2,Currency,$F$6,"1Y","f","act/360","USDLibor3M",Discounting,Permanent,$F$7,ObjectOverwrite)</f>
        <v>UsdLiborSwapForBasisCalc57Y#0000</v>
      </c>
      <c r="G66" s="43" t="str">
        <f>_xll.ohRangeRetrieveError(F66)</f>
        <v/>
      </c>
      <c r="H66" s="42"/>
    </row>
    <row r="67" spans="2:8" s="38" customFormat="1" x14ac:dyDescent="0.2">
      <c r="B67" s="48"/>
      <c r="C67" s="47" t="s">
        <v>31</v>
      </c>
      <c r="D67" s="46" t="s">
        <v>18</v>
      </c>
      <c r="E67" s="45" t="str">
        <f t="shared" si="1"/>
        <v>UsdLiborSwapForBasisCalc58Y</v>
      </c>
      <c r="F67" s="44" t="str">
        <f>_xll.qlSwapIndex($E67,FixingType,C67,2,Currency,$F$6,"1Y","f","act/360","USDLibor3M",Discounting,Permanent,$F$7,ObjectOverwrite)</f>
        <v>UsdLiborSwapForBasisCalc58Y#0000</v>
      </c>
      <c r="G67" s="43" t="str">
        <f>_xll.ohRangeRetrieveError(F67)</f>
        <v/>
      </c>
      <c r="H67" s="42"/>
    </row>
    <row r="68" spans="2:8" s="38" customFormat="1" x14ac:dyDescent="0.2">
      <c r="B68" s="48"/>
      <c r="C68" s="47" t="s">
        <v>30</v>
      </c>
      <c r="D68" s="46" t="s">
        <v>18</v>
      </c>
      <c r="E68" s="45" t="str">
        <f t="shared" si="1"/>
        <v>UsdLiborSwapForBasisCalc59Y</v>
      </c>
      <c r="F68" s="44" t="str">
        <f>_xll.qlSwapIndex($E68,FixingType,C68,2,Currency,$F$6,"1Y","f","act/360","USDLibor3M",Discounting,Permanent,$F$7,ObjectOverwrite)</f>
        <v>UsdLiborSwapForBasisCalc59Y#0000</v>
      </c>
      <c r="G68" s="43" t="str">
        <f>_xll.ohRangeRetrieveError(F68)</f>
        <v/>
      </c>
      <c r="H68" s="42"/>
    </row>
    <row r="69" spans="2:8" s="38" customFormat="1" x14ac:dyDescent="0.2">
      <c r="B69" s="48"/>
      <c r="C69" s="47" t="s">
        <v>29</v>
      </c>
      <c r="D69" s="46" t="s">
        <v>18</v>
      </c>
      <c r="E69" s="45" t="str">
        <f t="shared" si="1"/>
        <v>UsdLiborSwapForBasisCalc60Y</v>
      </c>
      <c r="F69" s="44" t="str">
        <f>_xll.qlSwapIndex($E69,FixingType,C69,2,Currency,$F$6,"1Y","f","act/360","USDLibor3M",Discounting,Permanent,$F$7,ObjectOverwrite)</f>
        <v>UsdLiborSwapForBasisCalc60Y#0000</v>
      </c>
      <c r="G69" s="43" t="str">
        <f>_xll.ohRangeRetrieveError(F69)</f>
        <v/>
      </c>
      <c r="H69" s="42"/>
    </row>
    <row r="70" spans="2:8" s="38" customFormat="1" ht="12" thickBot="1" x14ac:dyDescent="0.25">
      <c r="B70" s="41"/>
      <c r="C70" s="40"/>
      <c r="D70" s="40"/>
      <c r="E70" s="40"/>
      <c r="F70" s="40"/>
      <c r="G70" s="40"/>
      <c r="H70" s="39"/>
    </row>
    <row r="71" spans="2:8" s="38" customFormat="1" x14ac:dyDescent="0.2"/>
  </sheetData>
  <dataValidations count="1">
    <dataValidation type="list" allowBlank="1" showInputMessage="1" showErrorMessage="1" sqref="F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9" customWidth="1"/>
    <col min="2" max="2" width="6.5703125" style="19" bestFit="1" customWidth="1"/>
    <col min="3" max="4" width="2.7109375" style="19" bestFit="1" customWidth="1"/>
    <col min="5" max="5" width="17.85546875" style="19" bestFit="1" customWidth="1"/>
    <col min="6" max="6" width="19.7109375" style="62" bestFit="1" customWidth="1"/>
    <col min="7" max="7" width="38.28515625" style="19" customWidth="1"/>
    <col min="8" max="9" width="2.7109375" style="19" customWidth="1"/>
    <col min="10" max="12" width="3.5703125" style="19" customWidth="1"/>
    <col min="13" max="13" width="2.7109375" style="19" customWidth="1"/>
    <col min="14" max="24" width="9.140625" style="19"/>
    <col min="25" max="25" width="2.7109375" style="19" customWidth="1"/>
    <col min="26" max="26" width="9.140625" style="19"/>
    <col min="27" max="27" width="2.7109375" style="19" customWidth="1"/>
    <col min="28" max="29" width="9.140625" style="19"/>
    <col min="30" max="31" width="2.7109375" style="19" customWidth="1"/>
    <col min="32" max="16384" width="9.140625" style="19"/>
  </cols>
  <sheetData>
    <row r="1" spans="1:34" x14ac:dyDescent="0.2">
      <c r="N1" s="287" t="s">
        <v>286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</row>
    <row r="2" spans="1:34" x14ac:dyDescent="0.2">
      <c r="N2" s="256"/>
      <c r="O2" s="223"/>
      <c r="P2" s="223"/>
      <c r="Q2" s="223"/>
      <c r="R2" s="223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</row>
    <row r="3" spans="1:34" x14ac:dyDescent="0.2">
      <c r="A3" s="96" t="s">
        <v>123</v>
      </c>
      <c r="B3" s="91"/>
      <c r="C3" s="91"/>
      <c r="D3" s="91"/>
      <c r="E3" s="89"/>
      <c r="F3" s="90"/>
      <c r="G3" s="89"/>
      <c r="H3" s="88"/>
      <c r="N3" s="116"/>
      <c r="O3" s="223"/>
      <c r="P3" s="131"/>
      <c r="Q3" s="131"/>
      <c r="R3" s="131"/>
      <c r="S3" s="131" t="str">
        <f>_xll.qlInterpolation(,InterpolationType,_xll.ohFilter(N5:N42,W5:W42),_xll.ohFilter(V5:V42,W5:W42))</f>
        <v>obj_00425#0002</v>
      </c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4</v>
      </c>
      <c r="AD3" s="189"/>
    </row>
    <row r="4" spans="1:34" ht="23.25" thickBot="1" x14ac:dyDescent="0.25">
      <c r="A4" s="73"/>
      <c r="B4" s="86" t="s">
        <v>114</v>
      </c>
      <c r="C4" s="87"/>
      <c r="D4" s="86"/>
      <c r="E4" s="85" t="str">
        <f>Currency&amp;"_010_Sw"&amp;$C$6&amp;$D$6&amp;".xml"</f>
        <v>USD_010_Sw3L1L.xml</v>
      </c>
      <c r="F4" s="84" t="str">
        <f>IF(Serialize,_xll.ohObjectSave(F5:F42,SerializationPath&amp;E4,FileOverwrite,Serialize),"---")</f>
        <v>---</v>
      </c>
      <c r="G4" s="68" t="str">
        <f>_xll.ohRangeRetrieveError(F4)</f>
        <v/>
      </c>
      <c r="H4" s="67"/>
      <c r="N4" s="116"/>
      <c r="O4" s="285"/>
      <c r="P4" s="165"/>
      <c r="Q4" s="165"/>
      <c r="R4" s="165"/>
      <c r="S4" s="218" t="str">
        <f>_xll.RData(S5:S42,T4:U4,"RTFEED:IDN",ReutersRtMode,,T5)</f>
        <v>Paused at 15:28:02</v>
      </c>
      <c r="T4" s="284" t="s">
        <v>207</v>
      </c>
      <c r="U4" s="284" t="s">
        <v>206</v>
      </c>
      <c r="V4" s="284" t="s">
        <v>263</v>
      </c>
      <c r="W4" s="284"/>
      <c r="X4" s="249" t="s">
        <v>262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</row>
    <row r="5" spans="1:34" s="18" customFormat="1" ht="12.75" x14ac:dyDescent="0.2">
      <c r="A5" s="73"/>
      <c r="B5" s="83" t="s">
        <v>15</v>
      </c>
      <c r="C5" s="71" t="str">
        <f>VLOOKUP(Currency,$J$10:$L$14,2)</f>
        <v>3L</v>
      </c>
      <c r="D5" s="70" t="str">
        <f>VLOOKUP(Currency,$J$10:$L$14,3)</f>
        <v>1L</v>
      </c>
      <c r="E5" s="69" t="str">
        <f t="shared" ref="E5:E42" si="0">IF(ISBLANK(C5),"#",Currency&amp;$C5&amp;$D5&amp;$B5&amp;QuoteSuffix)</f>
        <v>USD3L1L6M_Quote</v>
      </c>
      <c r="F5" s="69" t="str">
        <f>_xll.qlSimpleQuote(E5,,RateTickValue,Permanent,Trigger,ObjectOverwrite)</f>
        <v>USD3L1L6M_Quote#0000</v>
      </c>
      <c r="G5" s="68" t="str">
        <f>_xll.ohRangeRetrieveError(F5)</f>
        <v/>
      </c>
      <c r="H5" s="67"/>
      <c r="I5" s="19"/>
      <c r="J5" s="19"/>
      <c r="K5" s="19"/>
      <c r="L5" s="19"/>
      <c r="N5" s="348">
        <v>0.5</v>
      </c>
      <c r="O5" s="227" t="s">
        <v>15</v>
      </c>
      <c r="P5" s="276" t="str">
        <f t="array" ref="P5:P42">VLOOKUP(Currency,Conventions,2)</f>
        <v>3L</v>
      </c>
      <c r="Q5" s="276" t="str">
        <f t="array" ref="Q5:Q42">VLOOKUP(Currency,Conventions,3)</f>
        <v>1L</v>
      </c>
      <c r="R5" s="274" t="str">
        <f t="shared" ref="R5:R42" si="1">Currency&amp;$P5&amp;$Q5&amp;$O5</f>
        <v>USD3L1L6M</v>
      </c>
      <c r="S5" s="226" t="str">
        <f t="array" ref="S5:S42">Instruments&amp;"="&amp;VLOOKUP(Contributor,ContributorTable,2,FALSE)</f>
        <v>USD3L1L6M=ICAP</v>
      </c>
      <c r="T5" s="346">
        <v>7.5</v>
      </c>
      <c r="U5" s="346">
        <v>0</v>
      </c>
      <c r="V5" s="346">
        <f>_xll.qlMidEquivalent(T5,U5)</f>
        <v>7.5</v>
      </c>
      <c r="W5" s="221" t="b">
        <f t="shared" ref="W5:W42" si="2">IF(ISNUMBER(V5),TRUE,FALSE)</f>
        <v>1</v>
      </c>
      <c r="X5" s="347">
        <f t="array" ref="X5:X38">_xll.qlInterpolationInterpolate(S3,N5:N42)</f>
        <v>7.5</v>
      </c>
      <c r="Y5" s="223"/>
      <c r="Z5" s="344">
        <v>6.7</v>
      </c>
      <c r="AA5" s="223"/>
      <c r="AB5" s="456">
        <f t="array" ref="AB5:AB42">QuoteLive</f>
        <v>7.5</v>
      </c>
      <c r="AC5" s="220">
        <f>_xll.qlSimpleQuoteSetValue(F5,AB5/10000,Trigger)</f>
        <v>0</v>
      </c>
      <c r="AD5" s="189"/>
      <c r="AE5" s="19"/>
      <c r="AF5" s="82" t="s">
        <v>110</v>
      </c>
      <c r="AG5" s="81" t="s">
        <v>102</v>
      </c>
      <c r="AH5" s="80" t="s">
        <v>104</v>
      </c>
    </row>
    <row r="6" spans="1:34" s="18" customFormat="1" ht="12.75" x14ac:dyDescent="0.2">
      <c r="A6" s="73"/>
      <c r="B6" s="83" t="s">
        <v>9</v>
      </c>
      <c r="C6" s="71" t="str">
        <f t="shared" ref="C6:C42" si="3">C5</f>
        <v>3L</v>
      </c>
      <c r="D6" s="70" t="str">
        <f t="shared" ref="D6:D42" si="4">D5</f>
        <v>1L</v>
      </c>
      <c r="E6" s="69" t="str">
        <f t="shared" si="0"/>
        <v>USD3L1L1Y_Quote</v>
      </c>
      <c r="F6" s="69" t="str">
        <f>_xll.qlSimpleQuote(E6,,RateTickValue,Permanent,Trigger,ObjectOverwrite)</f>
        <v>USD3L1L1Y_Quote#0000</v>
      </c>
      <c r="G6" s="68" t="str">
        <f>_xll.ohRangeRetrieveError(F6)</f>
        <v/>
      </c>
      <c r="H6" s="67"/>
      <c r="I6" s="19"/>
      <c r="J6" s="19"/>
      <c r="K6" s="19"/>
      <c r="L6" s="19"/>
      <c r="N6" s="348">
        <v>1</v>
      </c>
      <c r="O6" s="227" t="s">
        <v>9</v>
      </c>
      <c r="P6" s="276" t="str">
        <v>3L</v>
      </c>
      <c r="Q6" s="276" t="str">
        <v>1L</v>
      </c>
      <c r="R6" s="274" t="str">
        <f t="shared" si="1"/>
        <v>USD3L1L1Y</v>
      </c>
      <c r="S6" s="226" t="str">
        <v>USD3L1L1Y=ICAP</v>
      </c>
      <c r="T6" s="346">
        <v>7.5</v>
      </c>
      <c r="U6" s="346">
        <v>0</v>
      </c>
      <c r="V6" s="346">
        <f>_xll.qlMidEquivalent(T6,U6)</f>
        <v>7.5</v>
      </c>
      <c r="W6" s="221" t="b">
        <f t="shared" si="2"/>
        <v>1</v>
      </c>
      <c r="X6" s="347">
        <v>7.5</v>
      </c>
      <c r="Y6" s="223"/>
      <c r="Z6" s="344">
        <v>7.4</v>
      </c>
      <c r="AA6" s="223"/>
      <c r="AB6" s="456">
        <v>7.5</v>
      </c>
      <c r="AC6" s="220">
        <f>_xll.qlSimpleQuoteSetValue(F6,AB6/10000,Trigger)</f>
        <v>0</v>
      </c>
      <c r="AD6" s="189"/>
      <c r="AE6" s="19"/>
      <c r="AF6" s="79" t="s">
        <v>109</v>
      </c>
      <c r="AG6" s="78" t="s">
        <v>108</v>
      </c>
      <c r="AH6" s="77" t="s">
        <v>107</v>
      </c>
    </row>
    <row r="7" spans="1:34" s="18" customFormat="1" ht="12.75" x14ac:dyDescent="0.2">
      <c r="A7" s="73"/>
      <c r="B7" s="83" t="s">
        <v>113</v>
      </c>
      <c r="C7" s="71" t="str">
        <f t="shared" si="3"/>
        <v>3L</v>
      </c>
      <c r="D7" s="70" t="str">
        <f t="shared" si="4"/>
        <v>1L</v>
      </c>
      <c r="E7" s="69" t="str">
        <f t="shared" si="0"/>
        <v>USD3L1L15M_Quote</v>
      </c>
      <c r="F7" s="69" t="str">
        <f>_xll.qlSimpleQuote(E7,,RateTickValue,Permanent,Trigger,ObjectOverwrite)</f>
        <v>USD3L1L15M_Quote#0000</v>
      </c>
      <c r="G7" s="68" t="str">
        <f>_xll.ohRangeRetrieveError(F7)</f>
        <v/>
      </c>
      <c r="H7" s="67"/>
      <c r="N7" s="348">
        <v>1.25</v>
      </c>
      <c r="O7" s="227" t="s">
        <v>113</v>
      </c>
      <c r="P7" s="276" t="str">
        <v>3L</v>
      </c>
      <c r="Q7" s="276" t="str">
        <v>1L</v>
      </c>
      <c r="R7" s="274" t="str">
        <f t="shared" si="1"/>
        <v>USD3L1L15M</v>
      </c>
      <c r="S7" s="226" t="str">
        <v>USD3L1L15M=ICAP</v>
      </c>
      <c r="T7" s="346" t="s">
        <v>219</v>
      </c>
      <c r="U7" s="346" t="s">
        <v>219</v>
      </c>
      <c r="V7" s="346" t="e">
        <f>_xll.qlMidEquivalent(T7,U7)</f>
        <v>#NUM!</v>
      </c>
      <c r="W7" s="221" t="b">
        <f t="shared" si="2"/>
        <v>0</v>
      </c>
      <c r="X7" s="347">
        <v>7.5</v>
      </c>
      <c r="Y7" s="223"/>
      <c r="Z7" s="344">
        <v>7.5734375000000007</v>
      </c>
      <c r="AA7" s="223"/>
      <c r="AB7" s="456">
        <v>7.5</v>
      </c>
      <c r="AC7" s="220">
        <f>_xll.qlSimpleQuoteSetValue(F7,AB7/10000,Trigger)</f>
        <v>0</v>
      </c>
      <c r="AD7" s="189"/>
      <c r="AE7" s="19"/>
      <c r="AF7" s="79" t="s">
        <v>106</v>
      </c>
      <c r="AG7" s="78" t="s">
        <v>102</v>
      </c>
      <c r="AH7" s="77" t="s">
        <v>104</v>
      </c>
    </row>
    <row r="8" spans="1:34" ht="12.75" x14ac:dyDescent="0.2">
      <c r="A8" s="73"/>
      <c r="B8" s="83" t="s">
        <v>112</v>
      </c>
      <c r="C8" s="71" t="str">
        <f t="shared" si="3"/>
        <v>3L</v>
      </c>
      <c r="D8" s="70" t="str">
        <f t="shared" si="4"/>
        <v>1L</v>
      </c>
      <c r="E8" s="69" t="str">
        <f t="shared" si="0"/>
        <v>USD3L1L18M_Quote</v>
      </c>
      <c r="F8" s="69" t="str">
        <f>_xll.qlSimpleQuote(E8,,RateTickValue,Permanent,Trigger,ObjectOverwrite)</f>
        <v>USD3L1L18M_Quote#0000</v>
      </c>
      <c r="G8" s="68" t="str">
        <f>_xll.ohRangeRetrieveError(F8)</f>
        <v/>
      </c>
      <c r="H8" s="67"/>
      <c r="I8" s="18"/>
      <c r="J8" s="18"/>
      <c r="K8" s="18"/>
      <c r="L8" s="18"/>
      <c r="N8" s="348">
        <v>1.5</v>
      </c>
      <c r="O8" s="227" t="s">
        <v>112</v>
      </c>
      <c r="P8" s="276" t="str">
        <v>3L</v>
      </c>
      <c r="Q8" s="276" t="str">
        <v>1L</v>
      </c>
      <c r="R8" s="274" t="str">
        <f t="shared" si="1"/>
        <v>USD3L1L18M</v>
      </c>
      <c r="S8" s="226" t="str">
        <v>USD3L1L18M=ICAP</v>
      </c>
      <c r="T8" s="346" t="s">
        <v>219</v>
      </c>
      <c r="U8" s="346" t="s">
        <v>219</v>
      </c>
      <c r="V8" s="346" t="e">
        <f>_xll.qlMidEquivalent(T8,U8)</f>
        <v>#NUM!</v>
      </c>
      <c r="W8" s="221" t="b">
        <f t="shared" si="2"/>
        <v>0</v>
      </c>
      <c r="X8" s="347">
        <v>7.5</v>
      </c>
      <c r="Y8" s="223"/>
      <c r="Z8" s="344">
        <v>7.6625000000000005</v>
      </c>
      <c r="AA8" s="223"/>
      <c r="AB8" s="456">
        <v>7.5</v>
      </c>
      <c r="AC8" s="220">
        <f>_xll.qlSimpleQuoteSetValue(F8,AB8/10000,Trigger)</f>
        <v>0</v>
      </c>
      <c r="AD8" s="189"/>
      <c r="AF8" s="79" t="s">
        <v>105</v>
      </c>
      <c r="AG8" s="78" t="s">
        <v>102</v>
      </c>
      <c r="AH8" s="77" t="s">
        <v>104</v>
      </c>
    </row>
    <row r="9" spans="1:34" ht="13.5" thickBot="1" x14ac:dyDescent="0.25">
      <c r="A9" s="73"/>
      <c r="B9" s="83" t="s">
        <v>111</v>
      </c>
      <c r="C9" s="71" t="str">
        <f t="shared" si="3"/>
        <v>3L</v>
      </c>
      <c r="D9" s="70" t="str">
        <f t="shared" si="4"/>
        <v>1L</v>
      </c>
      <c r="E9" s="69" t="str">
        <f t="shared" si="0"/>
        <v>USD3L1L21M_Quote</v>
      </c>
      <c r="F9" s="69" t="str">
        <f>_xll.qlSimpleQuote(E9,,RateTickValue,Permanent,Trigger,ObjectOverwrite)</f>
        <v>USD3L1L21M_Quote#0000</v>
      </c>
      <c r="G9" s="68" t="str">
        <f>_xll.ohRangeRetrieveError(F9)</f>
        <v/>
      </c>
      <c r="H9" s="67"/>
      <c r="I9" s="18"/>
      <c r="J9" s="18"/>
      <c r="K9" s="18"/>
      <c r="L9" s="18"/>
      <c r="N9" s="348">
        <v>1.75</v>
      </c>
      <c r="O9" s="227" t="s">
        <v>111</v>
      </c>
      <c r="P9" s="276" t="str">
        <v>3L</v>
      </c>
      <c r="Q9" s="276" t="str">
        <v>1L</v>
      </c>
      <c r="R9" s="274" t="str">
        <f t="shared" si="1"/>
        <v>USD3L1L21M</v>
      </c>
      <c r="S9" s="226" t="str">
        <v>USD3L1L21M=ICAP</v>
      </c>
      <c r="T9" s="346" t="s">
        <v>219</v>
      </c>
      <c r="U9" s="346" t="s">
        <v>219</v>
      </c>
      <c r="V9" s="346" t="e">
        <f>_xll.qlMidEquivalent(T9,U9)</f>
        <v>#NUM!</v>
      </c>
      <c r="W9" s="221" t="b">
        <f t="shared" si="2"/>
        <v>0</v>
      </c>
      <c r="X9" s="347">
        <v>7.5</v>
      </c>
      <c r="Y9" s="223"/>
      <c r="Z9" s="344">
        <v>7.6953125</v>
      </c>
      <c r="AA9" s="223"/>
      <c r="AB9" s="456">
        <v>7.5</v>
      </c>
      <c r="AC9" s="220">
        <f>_xll.qlSimpleQuoteSetValue(F9,AB9/10000,Trigger)</f>
        <v>0</v>
      </c>
      <c r="AD9" s="189"/>
      <c r="AF9" s="76" t="s">
        <v>100</v>
      </c>
      <c r="AG9" s="75" t="s">
        <v>103</v>
      </c>
      <c r="AH9" s="74" t="s">
        <v>102</v>
      </c>
    </row>
    <row r="10" spans="1:34" x14ac:dyDescent="0.2">
      <c r="A10" s="73"/>
      <c r="B10" s="72" t="s">
        <v>87</v>
      </c>
      <c r="C10" s="71" t="str">
        <f t="shared" si="3"/>
        <v>3L</v>
      </c>
      <c r="D10" s="70" t="str">
        <f t="shared" si="4"/>
        <v>1L</v>
      </c>
      <c r="E10" s="69" t="str">
        <f t="shared" si="0"/>
        <v>USD3L1L2Y_Quote</v>
      </c>
      <c r="F10" s="69" t="str">
        <f>_xll.qlSimpleQuote(E10,,RateTickValue,Permanent,Trigger,ObjectOverwrite)</f>
        <v>USD3L1L2Y_Quote#0000</v>
      </c>
      <c r="G10" s="68" t="str">
        <f>_xll.ohRangeRetrieveError(F10)</f>
        <v/>
      </c>
      <c r="H10" s="67"/>
      <c r="J10" s="82" t="s">
        <v>110</v>
      </c>
      <c r="K10" s="81" t="s">
        <v>102</v>
      </c>
      <c r="L10" s="80" t="s">
        <v>104</v>
      </c>
      <c r="N10" s="116">
        <v>2</v>
      </c>
      <c r="O10" s="227" t="s">
        <v>87</v>
      </c>
      <c r="P10" s="276" t="str">
        <v>3L</v>
      </c>
      <c r="Q10" s="276" t="str">
        <v>1L</v>
      </c>
      <c r="R10" s="274" t="str">
        <f t="shared" si="1"/>
        <v>USD3L1L2Y</v>
      </c>
      <c r="S10" s="226" t="str">
        <v>USD3L1L2Y=ICAP</v>
      </c>
      <c r="T10" s="346">
        <v>7.5</v>
      </c>
      <c r="U10" s="346">
        <v>0</v>
      </c>
      <c r="V10" s="346">
        <f>_xll.qlMidEquivalent(T10,U10)</f>
        <v>7.5</v>
      </c>
      <c r="W10" s="221" t="b">
        <f t="shared" si="2"/>
        <v>1</v>
      </c>
      <c r="X10" s="347">
        <v>7.5</v>
      </c>
      <c r="Y10" s="223"/>
      <c r="Z10" s="344">
        <v>7.7</v>
      </c>
      <c r="AA10" s="223"/>
      <c r="AB10" s="456">
        <v>7.5</v>
      </c>
      <c r="AC10" s="220">
        <f>_xll.qlSimpleQuoteSetValue(F10,AB10/10000,Trigger)</f>
        <v>0</v>
      </c>
      <c r="AD10" s="189"/>
    </row>
    <row r="11" spans="1:34" x14ac:dyDescent="0.2">
      <c r="A11" s="73"/>
      <c r="B11" s="72" t="s">
        <v>86</v>
      </c>
      <c r="C11" s="71" t="str">
        <f t="shared" si="3"/>
        <v>3L</v>
      </c>
      <c r="D11" s="70" t="str">
        <f t="shared" si="4"/>
        <v>1L</v>
      </c>
      <c r="E11" s="69" t="str">
        <f t="shared" si="0"/>
        <v>USD3L1L3Y_Quote</v>
      </c>
      <c r="F11" s="69" t="str">
        <f>_xll.qlSimpleQuote(E11,,RateTickValue,Permanent,Trigger,ObjectOverwrite)</f>
        <v>USD3L1L3Y_Quote#0000</v>
      </c>
      <c r="G11" s="68" t="str">
        <f>_xll.ohRangeRetrieveError(F11)</f>
        <v/>
      </c>
      <c r="H11" s="67"/>
      <c r="J11" s="79" t="s">
        <v>109</v>
      </c>
      <c r="K11" s="78" t="s">
        <v>108</v>
      </c>
      <c r="L11" s="77" t="s">
        <v>107</v>
      </c>
      <c r="N11" s="116">
        <v>3</v>
      </c>
      <c r="O11" s="227" t="s">
        <v>86</v>
      </c>
      <c r="P11" s="276" t="str">
        <v>3L</v>
      </c>
      <c r="Q11" s="276" t="str">
        <v>1L</v>
      </c>
      <c r="R11" s="274" t="str">
        <f t="shared" si="1"/>
        <v>USD3L1L3Y</v>
      </c>
      <c r="S11" s="226" t="str">
        <v>USD3L1L3Y=ICAP</v>
      </c>
      <c r="T11" s="346">
        <v>7.7</v>
      </c>
      <c r="U11" s="346">
        <v>0</v>
      </c>
      <c r="V11" s="346">
        <f>_xll.qlMidEquivalent(T11,U11)</f>
        <v>7.7</v>
      </c>
      <c r="W11" s="221" t="b">
        <f t="shared" si="2"/>
        <v>1</v>
      </c>
      <c r="X11" s="347">
        <v>7.7</v>
      </c>
      <c r="Y11" s="223"/>
      <c r="Z11" s="344">
        <v>7.6</v>
      </c>
      <c r="AA11" s="223"/>
      <c r="AB11" s="456">
        <v>7.7</v>
      </c>
      <c r="AC11" s="220">
        <f>_xll.qlSimpleQuoteSetValue(F11,AB11/10000,Trigger)</f>
        <v>-9.9999999999991589E-7</v>
      </c>
      <c r="AD11" s="189"/>
    </row>
    <row r="12" spans="1:34" x14ac:dyDescent="0.2">
      <c r="A12" s="73"/>
      <c r="B12" s="72" t="s">
        <v>85</v>
      </c>
      <c r="C12" s="71" t="str">
        <f t="shared" si="3"/>
        <v>3L</v>
      </c>
      <c r="D12" s="70" t="str">
        <f t="shared" si="4"/>
        <v>1L</v>
      </c>
      <c r="E12" s="69" t="str">
        <f t="shared" si="0"/>
        <v>USD3L1L4Y_Quote</v>
      </c>
      <c r="F12" s="69" t="str">
        <f>_xll.qlSimpleQuote(E12,,RateTickValue,Permanent,Trigger,ObjectOverwrite)</f>
        <v>USD3L1L4Y_Quote#0000</v>
      </c>
      <c r="G12" s="68" t="str">
        <f>_xll.ohRangeRetrieveError(F12)</f>
        <v/>
      </c>
      <c r="H12" s="67"/>
      <c r="J12" s="79" t="s">
        <v>106</v>
      </c>
      <c r="K12" s="78" t="s">
        <v>102</v>
      </c>
      <c r="L12" s="77" t="s">
        <v>104</v>
      </c>
      <c r="N12" s="116">
        <v>4</v>
      </c>
      <c r="O12" s="227" t="s">
        <v>85</v>
      </c>
      <c r="P12" s="276" t="str">
        <v>3L</v>
      </c>
      <c r="Q12" s="276" t="str">
        <v>1L</v>
      </c>
      <c r="R12" s="274" t="str">
        <f t="shared" si="1"/>
        <v>USD3L1L4Y</v>
      </c>
      <c r="S12" s="226" t="str">
        <v>USD3L1L4Y=ICAP</v>
      </c>
      <c r="T12" s="346">
        <v>7.8</v>
      </c>
      <c r="U12" s="346">
        <v>0</v>
      </c>
      <c r="V12" s="346">
        <f>_xll.qlMidEquivalent(T12,U12)</f>
        <v>7.8</v>
      </c>
      <c r="W12" s="221" t="b">
        <f t="shared" si="2"/>
        <v>1</v>
      </c>
      <c r="X12" s="347">
        <v>7.8</v>
      </c>
      <c r="Y12" s="223"/>
      <c r="Z12" s="344">
        <v>7.5</v>
      </c>
      <c r="AA12" s="223"/>
      <c r="AB12" s="456">
        <v>7.8</v>
      </c>
      <c r="AC12" s="220">
        <f>_xll.qlSimpleQuoteSetValue(F12,AB12/10000,Trigger)</f>
        <v>0</v>
      </c>
      <c r="AD12" s="189"/>
    </row>
    <row r="13" spans="1:34" x14ac:dyDescent="0.2">
      <c r="A13" s="73"/>
      <c r="B13" s="72" t="s">
        <v>84</v>
      </c>
      <c r="C13" s="71" t="str">
        <f t="shared" si="3"/>
        <v>3L</v>
      </c>
      <c r="D13" s="70" t="str">
        <f t="shared" si="4"/>
        <v>1L</v>
      </c>
      <c r="E13" s="69" t="str">
        <f t="shared" si="0"/>
        <v>USD3L1L5Y_Quote</v>
      </c>
      <c r="F13" s="69" t="str">
        <f>_xll.qlSimpleQuote(E13,,RateTickValue,Permanent,Trigger,ObjectOverwrite)</f>
        <v>USD3L1L5Y_Quote#0000</v>
      </c>
      <c r="G13" s="68" t="str">
        <f>_xll.ohRangeRetrieveError(F13)</f>
        <v/>
      </c>
      <c r="H13" s="67"/>
      <c r="J13" s="79" t="s">
        <v>105</v>
      </c>
      <c r="K13" s="78" t="s">
        <v>102</v>
      </c>
      <c r="L13" s="77" t="s">
        <v>104</v>
      </c>
      <c r="N13" s="116">
        <v>5</v>
      </c>
      <c r="O13" s="227" t="s">
        <v>84</v>
      </c>
      <c r="P13" s="276" t="str">
        <v>3L</v>
      </c>
      <c r="Q13" s="276" t="str">
        <v>1L</v>
      </c>
      <c r="R13" s="274" t="str">
        <f t="shared" si="1"/>
        <v>USD3L1L5Y</v>
      </c>
      <c r="S13" s="226" t="str">
        <v>USD3L1L5Y=ICAP</v>
      </c>
      <c r="T13" s="346">
        <v>7.9</v>
      </c>
      <c r="U13" s="346">
        <v>0</v>
      </c>
      <c r="V13" s="346">
        <f>_xll.qlMidEquivalent(T13,U13)</f>
        <v>7.9</v>
      </c>
      <c r="W13" s="221" t="b">
        <f t="shared" si="2"/>
        <v>1</v>
      </c>
      <c r="X13" s="347">
        <v>7.9</v>
      </c>
      <c r="Y13" s="223"/>
      <c r="Z13" s="344">
        <v>7.4</v>
      </c>
      <c r="AA13" s="223"/>
      <c r="AB13" s="456">
        <v>7.9</v>
      </c>
      <c r="AC13" s="220">
        <f>_xll.qlSimpleQuoteSetValue(F13,AB13/10000,Trigger)</f>
        <v>0</v>
      </c>
      <c r="AD13" s="189"/>
    </row>
    <row r="14" spans="1:34" ht="12" thickBot="1" x14ac:dyDescent="0.25">
      <c r="A14" s="73"/>
      <c r="B14" s="72" t="s">
        <v>83</v>
      </c>
      <c r="C14" s="71" t="str">
        <f t="shared" si="3"/>
        <v>3L</v>
      </c>
      <c r="D14" s="70" t="str">
        <f t="shared" si="4"/>
        <v>1L</v>
      </c>
      <c r="E14" s="69" t="str">
        <f t="shared" si="0"/>
        <v>USD3L1L6Y_Quote</v>
      </c>
      <c r="F14" s="69" t="str">
        <f>_xll.qlSimpleQuote(E14,,RateTickValue,Permanent,Trigger,ObjectOverwrite)</f>
        <v>USD3L1L6Y_Quote#0000</v>
      </c>
      <c r="G14" s="68" t="str">
        <f>_xll.ohRangeRetrieveError(F14)</f>
        <v/>
      </c>
      <c r="H14" s="67"/>
      <c r="J14" s="76" t="s">
        <v>100</v>
      </c>
      <c r="K14" s="75" t="s">
        <v>103</v>
      </c>
      <c r="L14" s="74" t="s">
        <v>102</v>
      </c>
      <c r="N14" s="116">
        <v>6</v>
      </c>
      <c r="O14" s="227" t="s">
        <v>83</v>
      </c>
      <c r="P14" s="276" t="str">
        <v>3L</v>
      </c>
      <c r="Q14" s="276" t="str">
        <v>1L</v>
      </c>
      <c r="R14" s="274" t="str">
        <f t="shared" si="1"/>
        <v>USD3L1L6Y</v>
      </c>
      <c r="S14" s="226" t="str">
        <v>USD3L1L6Y=ICAP</v>
      </c>
      <c r="T14" s="346">
        <v>7.8</v>
      </c>
      <c r="U14" s="346">
        <v>0</v>
      </c>
      <c r="V14" s="346">
        <f>_xll.qlMidEquivalent(T14,U14)</f>
        <v>7.8</v>
      </c>
      <c r="W14" s="221" t="b">
        <f t="shared" si="2"/>
        <v>1</v>
      </c>
      <c r="X14" s="347">
        <v>7.8</v>
      </c>
      <c r="Y14" s="223"/>
      <c r="Z14" s="344">
        <v>7.1</v>
      </c>
      <c r="AA14" s="223"/>
      <c r="AB14" s="456">
        <v>7.8</v>
      </c>
      <c r="AC14" s="220">
        <f>_xll.qlSimpleQuoteSetValue(F14,AB14/10000,Trigger)</f>
        <v>0</v>
      </c>
      <c r="AD14" s="189"/>
    </row>
    <row r="15" spans="1:34" x14ac:dyDescent="0.2">
      <c r="A15" s="73"/>
      <c r="B15" s="72" t="s">
        <v>82</v>
      </c>
      <c r="C15" s="71" t="str">
        <f t="shared" si="3"/>
        <v>3L</v>
      </c>
      <c r="D15" s="70" t="str">
        <f t="shared" si="4"/>
        <v>1L</v>
      </c>
      <c r="E15" s="69" t="str">
        <f t="shared" si="0"/>
        <v>USD3L1L7Y_Quote</v>
      </c>
      <c r="F15" s="69" t="str">
        <f>_xll.qlSimpleQuote(E15,,RateTickValue,Permanent,Trigger,ObjectOverwrite)</f>
        <v>USD3L1L7Y_Quote#0000</v>
      </c>
      <c r="G15" s="68" t="str">
        <f>_xll.ohRangeRetrieveError(F15)</f>
        <v/>
      </c>
      <c r="H15" s="67"/>
      <c r="N15" s="116">
        <v>7</v>
      </c>
      <c r="O15" s="227" t="s">
        <v>82</v>
      </c>
      <c r="P15" s="276" t="str">
        <v>3L</v>
      </c>
      <c r="Q15" s="276" t="str">
        <v>1L</v>
      </c>
      <c r="R15" s="274" t="str">
        <f t="shared" si="1"/>
        <v>USD3L1L7Y</v>
      </c>
      <c r="S15" s="226" t="str">
        <v>USD3L1L7Y=ICAP</v>
      </c>
      <c r="T15" s="346">
        <v>7.5</v>
      </c>
      <c r="U15" s="346">
        <v>0</v>
      </c>
      <c r="V15" s="346">
        <f>_xll.qlMidEquivalent(T15,U15)</f>
        <v>7.5</v>
      </c>
      <c r="W15" s="221" t="b">
        <f t="shared" si="2"/>
        <v>1</v>
      </c>
      <c r="X15" s="347">
        <v>7.5</v>
      </c>
      <c r="Y15" s="223"/>
      <c r="Z15" s="344">
        <v>6.9</v>
      </c>
      <c r="AA15" s="223"/>
      <c r="AB15" s="456">
        <v>7.5</v>
      </c>
      <c r="AC15" s="220">
        <f>_xll.qlSimpleQuoteSetValue(F15,AB15/10000,Trigger)</f>
        <v>0</v>
      </c>
      <c r="AD15" s="189"/>
    </row>
    <row r="16" spans="1:34" x14ac:dyDescent="0.2">
      <c r="A16" s="73"/>
      <c r="B16" s="72" t="s">
        <v>81</v>
      </c>
      <c r="C16" s="71" t="str">
        <f t="shared" si="3"/>
        <v>3L</v>
      </c>
      <c r="D16" s="70" t="str">
        <f t="shared" si="4"/>
        <v>1L</v>
      </c>
      <c r="E16" s="69" t="str">
        <f t="shared" si="0"/>
        <v>USD3L1L8Y_Quote</v>
      </c>
      <c r="F16" s="69" t="str">
        <f>_xll.qlSimpleQuote(E16,,RateTickValue,Permanent,Trigger,ObjectOverwrite)</f>
        <v>USD3L1L8Y_Quote#0000</v>
      </c>
      <c r="G16" s="68" t="str">
        <f>_xll.ohRangeRetrieveError(F16)</f>
        <v/>
      </c>
      <c r="H16" s="67"/>
      <c r="N16" s="116">
        <v>8</v>
      </c>
      <c r="O16" s="227" t="s">
        <v>81</v>
      </c>
      <c r="P16" s="276" t="str">
        <v>3L</v>
      </c>
      <c r="Q16" s="276" t="str">
        <v>1L</v>
      </c>
      <c r="R16" s="274" t="str">
        <f t="shared" si="1"/>
        <v>USD3L1L8Y</v>
      </c>
      <c r="S16" s="226" t="str">
        <v>USD3L1L8Y=ICAP</v>
      </c>
      <c r="T16" s="346">
        <v>7.2</v>
      </c>
      <c r="U16" s="346">
        <v>0</v>
      </c>
      <c r="V16" s="346">
        <f>_xll.qlMidEquivalent(T16,U16)</f>
        <v>7.2</v>
      </c>
      <c r="W16" s="221" t="b">
        <f t="shared" si="2"/>
        <v>1</v>
      </c>
      <c r="X16" s="347">
        <v>7.2</v>
      </c>
      <c r="Y16" s="223"/>
      <c r="Z16" s="344">
        <v>6.5</v>
      </c>
      <c r="AA16" s="223"/>
      <c r="AB16" s="456">
        <v>7.2</v>
      </c>
      <c r="AC16" s="220">
        <f>_xll.qlSimpleQuoteSetValue(F16,AB16/10000,Trigger)</f>
        <v>0</v>
      </c>
      <c r="AD16" s="189"/>
    </row>
    <row r="17" spans="1:30" x14ac:dyDescent="0.2">
      <c r="A17" s="73"/>
      <c r="B17" s="72" t="s">
        <v>80</v>
      </c>
      <c r="C17" s="71" t="str">
        <f t="shared" si="3"/>
        <v>3L</v>
      </c>
      <c r="D17" s="70" t="str">
        <f t="shared" si="4"/>
        <v>1L</v>
      </c>
      <c r="E17" s="69" t="str">
        <f t="shared" si="0"/>
        <v>USD3L1L9Y_Quote</v>
      </c>
      <c r="F17" s="69" t="str">
        <f>_xll.qlSimpleQuote(E17,,RateTickValue,Permanent,Trigger,ObjectOverwrite)</f>
        <v>USD3L1L9Y_Quote#0000</v>
      </c>
      <c r="G17" s="68" t="str">
        <f>_xll.ohRangeRetrieveError(F17)</f>
        <v/>
      </c>
      <c r="H17" s="67"/>
      <c r="N17" s="116">
        <v>9</v>
      </c>
      <c r="O17" s="227" t="s">
        <v>80</v>
      </c>
      <c r="P17" s="276" t="str">
        <v>3L</v>
      </c>
      <c r="Q17" s="276" t="str">
        <v>1L</v>
      </c>
      <c r="R17" s="274" t="str">
        <f t="shared" si="1"/>
        <v>USD3L1L9Y</v>
      </c>
      <c r="S17" s="226" t="str">
        <v>USD3L1L9Y=ICAP</v>
      </c>
      <c r="T17" s="346">
        <v>6.9</v>
      </c>
      <c r="U17" s="346">
        <v>0</v>
      </c>
      <c r="V17" s="346">
        <f>_xll.qlMidEquivalent(T17,U17)</f>
        <v>6.9</v>
      </c>
      <c r="W17" s="221" t="b">
        <f t="shared" si="2"/>
        <v>1</v>
      </c>
      <c r="X17" s="347">
        <v>6.9</v>
      </c>
      <c r="Y17" s="223"/>
      <c r="Z17" s="344">
        <v>6.2</v>
      </c>
      <c r="AA17" s="223"/>
      <c r="AB17" s="456">
        <v>6.9</v>
      </c>
      <c r="AC17" s="220">
        <f>_xll.qlSimpleQuoteSetValue(F17,AB17/10000,Trigger)</f>
        <v>0</v>
      </c>
      <c r="AD17" s="189"/>
    </row>
    <row r="18" spans="1:30" x14ac:dyDescent="0.2">
      <c r="A18" s="73"/>
      <c r="B18" s="72" t="s">
        <v>79</v>
      </c>
      <c r="C18" s="71" t="str">
        <f t="shared" si="3"/>
        <v>3L</v>
      </c>
      <c r="D18" s="70" t="str">
        <f t="shared" si="4"/>
        <v>1L</v>
      </c>
      <c r="E18" s="69" t="str">
        <f t="shared" si="0"/>
        <v>USD3L1L10Y_Quote</v>
      </c>
      <c r="F18" s="69" t="str">
        <f>_xll.qlSimpleQuote(E18,,RateTickValue,Permanent,Trigger,ObjectOverwrite)</f>
        <v>USD3L1L10Y_Quote#0000</v>
      </c>
      <c r="G18" s="68" t="str">
        <f>_xll.ohRangeRetrieveError(F18)</f>
        <v/>
      </c>
      <c r="H18" s="67"/>
      <c r="N18" s="116">
        <v>10</v>
      </c>
      <c r="O18" s="227" t="s">
        <v>79</v>
      </c>
      <c r="P18" s="276" t="str">
        <v>3L</v>
      </c>
      <c r="Q18" s="276" t="str">
        <v>1L</v>
      </c>
      <c r="R18" s="274" t="str">
        <f t="shared" si="1"/>
        <v>USD3L1L10Y</v>
      </c>
      <c r="S18" s="226" t="str">
        <v>USD3L1L10Y=ICAP</v>
      </c>
      <c r="T18" s="346">
        <v>6.6</v>
      </c>
      <c r="U18" s="346">
        <v>0</v>
      </c>
      <c r="V18" s="346">
        <f>_xll.qlMidEquivalent(T18,U18)</f>
        <v>6.6</v>
      </c>
      <c r="W18" s="221" t="b">
        <f t="shared" si="2"/>
        <v>1</v>
      </c>
      <c r="X18" s="347">
        <v>6.6</v>
      </c>
      <c r="Y18" s="223"/>
      <c r="Z18" s="344">
        <v>5.8</v>
      </c>
      <c r="AA18" s="223"/>
      <c r="AB18" s="456">
        <v>6.6</v>
      </c>
      <c r="AC18" s="220">
        <f>_xll.qlSimpleQuoteSetValue(F18,AB18/10000,Trigger)</f>
        <v>0</v>
      </c>
      <c r="AD18" s="189"/>
    </row>
    <row r="19" spans="1:30" x14ac:dyDescent="0.2">
      <c r="A19" s="73"/>
      <c r="B19" s="72" t="s">
        <v>78</v>
      </c>
      <c r="C19" s="71" t="str">
        <f t="shared" si="3"/>
        <v>3L</v>
      </c>
      <c r="D19" s="70" t="str">
        <f t="shared" si="4"/>
        <v>1L</v>
      </c>
      <c r="E19" s="69" t="str">
        <f t="shared" si="0"/>
        <v>USD3L1L11Y_Quote</v>
      </c>
      <c r="F19" s="69" t="str">
        <f>_xll.qlSimpleQuote(E19,,RateTickValue,Permanent,Trigger,ObjectOverwrite)</f>
        <v>USD3L1L11Y_Quote#0000</v>
      </c>
      <c r="G19" s="68" t="str">
        <f>_xll.ohRangeRetrieveError(F19)</f>
        <v/>
      </c>
      <c r="H19" s="67"/>
      <c r="N19" s="116">
        <v>11</v>
      </c>
      <c r="O19" s="227" t="s">
        <v>78</v>
      </c>
      <c r="P19" s="276" t="str">
        <v>3L</v>
      </c>
      <c r="Q19" s="276" t="str">
        <v>1L</v>
      </c>
      <c r="R19" s="274" t="str">
        <f t="shared" si="1"/>
        <v>USD3L1L11Y</v>
      </c>
      <c r="S19" s="226" t="str">
        <v>USD3L1L11Y=ICAP</v>
      </c>
      <c r="T19" s="346" t="s">
        <v>219</v>
      </c>
      <c r="U19" s="346" t="s">
        <v>219</v>
      </c>
      <c r="V19" s="346" t="e">
        <f>_xll.qlMidEquivalent(T19,U19)</f>
        <v>#NUM!</v>
      </c>
      <c r="W19" s="221" t="b">
        <f t="shared" si="2"/>
        <v>0</v>
      </c>
      <c r="X19" s="347">
        <v>6.2859130011339159</v>
      </c>
      <c r="Y19" s="223"/>
      <c r="Z19" s="344">
        <v>5.459271628909641</v>
      </c>
      <c r="AA19" s="223"/>
      <c r="AB19" s="456">
        <v>6.2859130011339159</v>
      </c>
      <c r="AC19" s="220">
        <f>_xll.qlSimpleQuoteSetValue(F19,AB19/10000,Trigger)</f>
        <v>1.3255109217267386E-10</v>
      </c>
      <c r="AD19" s="189"/>
    </row>
    <row r="20" spans="1:30" x14ac:dyDescent="0.2">
      <c r="A20" s="73"/>
      <c r="B20" s="72" t="s">
        <v>77</v>
      </c>
      <c r="C20" s="71" t="str">
        <f t="shared" si="3"/>
        <v>3L</v>
      </c>
      <c r="D20" s="70" t="str">
        <f t="shared" si="4"/>
        <v>1L</v>
      </c>
      <c r="E20" s="69" t="str">
        <f t="shared" si="0"/>
        <v>USD3L1L12Y_Quote</v>
      </c>
      <c r="F20" s="69" t="str">
        <f>_xll.qlSimpleQuote(E20,,RateTickValue,Permanent,Trigger,ObjectOverwrite)</f>
        <v>USD3L1L12Y_Quote#0000</v>
      </c>
      <c r="G20" s="68" t="str">
        <f>_xll.ohRangeRetrieveError(F20)</f>
        <v/>
      </c>
      <c r="H20" s="67"/>
      <c r="N20" s="116">
        <v>12</v>
      </c>
      <c r="O20" s="227" t="s">
        <v>77</v>
      </c>
      <c r="P20" s="276" t="str">
        <v>3L</v>
      </c>
      <c r="Q20" s="276" t="str">
        <v>1L</v>
      </c>
      <c r="R20" s="274" t="str">
        <f t="shared" si="1"/>
        <v>USD3L1L12Y</v>
      </c>
      <c r="S20" s="226" t="str">
        <v>USD3L1L12Y=ICAP</v>
      </c>
      <c r="T20" s="346">
        <v>6</v>
      </c>
      <c r="U20" s="346">
        <v>0</v>
      </c>
      <c r="V20" s="346">
        <f>_xll.qlMidEquivalent(T20,U20)</f>
        <v>6</v>
      </c>
      <c r="W20" s="221" t="b">
        <f t="shared" si="2"/>
        <v>1</v>
      </c>
      <c r="X20" s="347">
        <v>6</v>
      </c>
      <c r="Y20" s="223"/>
      <c r="Z20" s="344">
        <v>5.2</v>
      </c>
      <c r="AA20" s="223"/>
      <c r="AB20" s="456">
        <v>6</v>
      </c>
      <c r="AC20" s="220">
        <f>_xll.qlSimpleQuoteSetValue(F20,AB20/10000,Trigger)</f>
        <v>0</v>
      </c>
      <c r="AD20" s="189"/>
    </row>
    <row r="21" spans="1:30" x14ac:dyDescent="0.2">
      <c r="A21" s="73"/>
      <c r="B21" s="72" t="s">
        <v>76</v>
      </c>
      <c r="C21" s="71" t="str">
        <f t="shared" si="3"/>
        <v>3L</v>
      </c>
      <c r="D21" s="70" t="str">
        <f t="shared" si="4"/>
        <v>1L</v>
      </c>
      <c r="E21" s="69" t="str">
        <f t="shared" si="0"/>
        <v>USD3L1L13Y_Quote</v>
      </c>
      <c r="F21" s="69" t="str">
        <f>_xll.qlSimpleQuote(E21,,RateTickValue,Permanent,Trigger,ObjectOverwrite)</f>
        <v>USD3L1L13Y_Quote#0000</v>
      </c>
      <c r="G21" s="68" t="str">
        <f>_xll.ohRangeRetrieveError(F21)</f>
        <v/>
      </c>
      <c r="H21" s="67"/>
      <c r="N21" s="116">
        <v>13</v>
      </c>
      <c r="O21" s="227" t="s">
        <v>76</v>
      </c>
      <c r="P21" s="276" t="str">
        <v>3L</v>
      </c>
      <c r="Q21" s="276" t="str">
        <v>1L</v>
      </c>
      <c r="R21" s="274" t="str">
        <f t="shared" si="1"/>
        <v>USD3L1L13Y</v>
      </c>
      <c r="S21" s="226" t="str">
        <v>USD3L1L13Y=ICAP</v>
      </c>
      <c r="T21" s="346" t="s">
        <v>219</v>
      </c>
      <c r="U21" s="346" t="s">
        <v>219</v>
      </c>
      <c r="V21" s="346" t="e">
        <f>_xll.qlMidEquivalent(T21,U21)</f>
        <v>#NUM!</v>
      </c>
      <c r="W21" s="221" t="b">
        <f t="shared" si="2"/>
        <v>0</v>
      </c>
      <c r="X21" s="347">
        <v>5.7867501067797864</v>
      </c>
      <c r="Y21" s="223"/>
      <c r="Z21" s="344">
        <v>4.9766154400837639</v>
      </c>
      <c r="AA21" s="223"/>
      <c r="AB21" s="456">
        <v>5.7867501067797864</v>
      </c>
      <c r="AC21" s="220">
        <f>_xll.qlSimpleQuoteSetValue(F21,AB21/10000,Trigger)</f>
        <v>-6.6706053875043025E-11</v>
      </c>
      <c r="AD21" s="189"/>
    </row>
    <row r="22" spans="1:30" x14ac:dyDescent="0.2">
      <c r="A22" s="73"/>
      <c r="B22" s="72" t="s">
        <v>75</v>
      </c>
      <c r="C22" s="71" t="str">
        <f t="shared" si="3"/>
        <v>3L</v>
      </c>
      <c r="D22" s="70" t="str">
        <f t="shared" si="4"/>
        <v>1L</v>
      </c>
      <c r="E22" s="69" t="str">
        <f t="shared" si="0"/>
        <v>USD3L1L14Y_Quote</v>
      </c>
      <c r="F22" s="69" t="str">
        <f>_xll.qlSimpleQuote(E22,,RateTickValue,Permanent,Trigger,ObjectOverwrite)</f>
        <v>USD3L1L14Y_Quote#0000</v>
      </c>
      <c r="G22" s="68" t="str">
        <f>_xll.ohRangeRetrieveError(F22)</f>
        <v/>
      </c>
      <c r="H22" s="67"/>
      <c r="N22" s="116">
        <v>14</v>
      </c>
      <c r="O22" s="227" t="s">
        <v>75</v>
      </c>
      <c r="P22" s="276" t="str">
        <v>3L</v>
      </c>
      <c r="Q22" s="276" t="str">
        <v>1L</v>
      </c>
      <c r="R22" s="274" t="str">
        <f t="shared" si="1"/>
        <v>USD3L1L14Y</v>
      </c>
      <c r="S22" s="226" t="str">
        <v>USD3L1L14Y=ICAP</v>
      </c>
      <c r="T22" s="346" t="s">
        <v>219</v>
      </c>
      <c r="U22" s="346" t="s">
        <v>219</v>
      </c>
      <c r="V22" s="346" t="e">
        <f>_xll.qlMidEquivalent(T22,U22)</f>
        <v>#NUM!</v>
      </c>
      <c r="W22" s="221" t="b">
        <f t="shared" si="2"/>
        <v>0</v>
      </c>
      <c r="X22" s="347">
        <v>5.6303709999356091</v>
      </c>
      <c r="Y22" s="223"/>
      <c r="Z22" s="344">
        <v>4.7776120796248538</v>
      </c>
      <c r="AA22" s="223"/>
      <c r="AB22" s="456">
        <v>5.6303709999356091</v>
      </c>
      <c r="AC22" s="220">
        <f>_xll.qlSimpleQuoteSetValue(F22,AB22/10000,Trigger)</f>
        <v>-4.7491810072249063E-11</v>
      </c>
      <c r="AD22" s="189"/>
    </row>
    <row r="23" spans="1:30" x14ac:dyDescent="0.2">
      <c r="A23" s="73"/>
      <c r="B23" s="72" t="s">
        <v>74</v>
      </c>
      <c r="C23" s="71" t="str">
        <f t="shared" si="3"/>
        <v>3L</v>
      </c>
      <c r="D23" s="70" t="str">
        <f t="shared" si="4"/>
        <v>1L</v>
      </c>
      <c r="E23" s="69" t="str">
        <f t="shared" si="0"/>
        <v>USD3L1L15Y_Quote</v>
      </c>
      <c r="F23" s="69" t="str">
        <f>_xll.qlSimpleQuote(E23,,RateTickValue,Permanent,Trigger,ObjectOverwrite)</f>
        <v>USD3L1L15Y_Quote#0000</v>
      </c>
      <c r="G23" s="68" t="str">
        <f>_xll.ohRangeRetrieveError(F23)</f>
        <v/>
      </c>
      <c r="H23" s="67"/>
      <c r="N23" s="116">
        <v>15</v>
      </c>
      <c r="O23" s="227" t="s">
        <v>74</v>
      </c>
      <c r="P23" s="276" t="str">
        <v>3L</v>
      </c>
      <c r="Q23" s="276" t="str">
        <v>1L</v>
      </c>
      <c r="R23" s="274" t="str">
        <f t="shared" si="1"/>
        <v>USD3L1L15Y</v>
      </c>
      <c r="S23" s="226" t="str">
        <v>USD3L1L15Y=ICAP</v>
      </c>
      <c r="T23" s="346">
        <v>5.5</v>
      </c>
      <c r="U23" s="346">
        <v>0</v>
      </c>
      <c r="V23" s="346">
        <f>_xll.qlMidEquivalent(T23,U23)</f>
        <v>5.5</v>
      </c>
      <c r="W23" s="221" t="b">
        <f t="shared" si="2"/>
        <v>1</v>
      </c>
      <c r="X23" s="347">
        <v>5.5</v>
      </c>
      <c r="Y23" s="223"/>
      <c r="Z23" s="344">
        <v>4.5999999999999996</v>
      </c>
      <c r="AA23" s="223"/>
      <c r="AB23" s="456">
        <v>5.5</v>
      </c>
      <c r="AC23" s="220">
        <f>_xll.qlSimpleQuoteSetValue(F23,AB23/10000,Trigger)</f>
        <v>0</v>
      </c>
      <c r="AD23" s="189"/>
    </row>
    <row r="24" spans="1:30" x14ac:dyDescent="0.2">
      <c r="A24" s="73"/>
      <c r="B24" s="72" t="s">
        <v>73</v>
      </c>
      <c r="C24" s="71" t="str">
        <f t="shared" si="3"/>
        <v>3L</v>
      </c>
      <c r="D24" s="70" t="str">
        <f t="shared" si="4"/>
        <v>1L</v>
      </c>
      <c r="E24" s="69" t="str">
        <f t="shared" si="0"/>
        <v>USD3L1L16Y_Quote</v>
      </c>
      <c r="F24" s="69" t="str">
        <f>_xll.qlSimpleQuote(E24,,RateTickValue,Permanent,Trigger,ObjectOverwrite)</f>
        <v>USD3L1L16Y_Quote#0000</v>
      </c>
      <c r="G24" s="68" t="str">
        <f>_xll.ohRangeRetrieveError(F24)</f>
        <v/>
      </c>
      <c r="H24" s="67"/>
      <c r="N24" s="116">
        <v>16</v>
      </c>
      <c r="O24" s="227" t="s">
        <v>73</v>
      </c>
      <c r="P24" s="276" t="str">
        <v>3L</v>
      </c>
      <c r="Q24" s="276" t="str">
        <v>1L</v>
      </c>
      <c r="R24" s="274" t="str">
        <f t="shared" si="1"/>
        <v>USD3L1L16Y</v>
      </c>
      <c r="S24" s="226" t="str">
        <v>USD3L1L16Y=ICAP</v>
      </c>
      <c r="T24" s="346" t="s">
        <v>219</v>
      </c>
      <c r="U24" s="346" t="s">
        <v>219</v>
      </c>
      <c r="V24" s="346" t="e">
        <f>_xll.qlMidEquivalent(T24,U24)</f>
        <v>#NUM!</v>
      </c>
      <c r="W24" s="221" t="b">
        <f t="shared" si="2"/>
        <v>0</v>
      </c>
      <c r="X24" s="347">
        <v>5.3707098449247797</v>
      </c>
      <c r="Y24" s="223"/>
      <c r="Z24" s="344">
        <v>4.4413639892853558</v>
      </c>
      <c r="AA24" s="223"/>
      <c r="AB24" s="456">
        <v>5.3707098449247797</v>
      </c>
      <c r="AC24" s="220">
        <f>_xll.qlSimpleQuoteSetValue(F24,AB24/10000,Trigger)</f>
        <v>2.8973629485201657E-11</v>
      </c>
      <c r="AD24" s="189"/>
    </row>
    <row r="25" spans="1:30" x14ac:dyDescent="0.2">
      <c r="A25" s="73"/>
      <c r="B25" s="72" t="s">
        <v>72</v>
      </c>
      <c r="C25" s="71" t="str">
        <f t="shared" si="3"/>
        <v>3L</v>
      </c>
      <c r="D25" s="70" t="str">
        <f t="shared" si="4"/>
        <v>1L</v>
      </c>
      <c r="E25" s="69" t="str">
        <f t="shared" si="0"/>
        <v>USD3L1L17Y_Quote</v>
      </c>
      <c r="F25" s="69" t="str">
        <f>_xll.qlSimpleQuote(E25,,RateTickValue,Permanent,Trigger,ObjectOverwrite)</f>
        <v>USD3L1L17Y_Quote#0000</v>
      </c>
      <c r="G25" s="68" t="str">
        <f>_xll.ohRangeRetrieveError(F25)</f>
        <v/>
      </c>
      <c r="H25" s="67"/>
      <c r="N25" s="116">
        <v>17</v>
      </c>
      <c r="O25" s="227" t="s">
        <v>72</v>
      </c>
      <c r="P25" s="276" t="str">
        <v>3L</v>
      </c>
      <c r="Q25" s="276" t="str">
        <v>1L</v>
      </c>
      <c r="R25" s="274" t="str">
        <f t="shared" si="1"/>
        <v>USD3L1L17Y</v>
      </c>
      <c r="S25" s="226" t="str">
        <v>USD3L1L17Y=ICAP</v>
      </c>
      <c r="T25" s="346" t="s">
        <v>219</v>
      </c>
      <c r="U25" s="346" t="s">
        <v>219</v>
      </c>
      <c r="V25" s="346" t="e">
        <f>_xll.qlMidEquivalent(T25,U25)</f>
        <v>#NUM!</v>
      </c>
      <c r="W25" s="221" t="b">
        <f t="shared" si="2"/>
        <v>0</v>
      </c>
      <c r="X25" s="347">
        <v>5.2413149423389154</v>
      </c>
      <c r="Y25" s="223"/>
      <c r="Z25" s="344">
        <v>4.3015876623547671</v>
      </c>
      <c r="AA25" s="223"/>
      <c r="AB25" s="456">
        <v>5.2413149423389154</v>
      </c>
      <c r="AC25" s="220">
        <f>_xll.qlSimpleQuoteSetValue(F25,AB25/10000,Trigger)</f>
        <v>3.6021269083849616E-11</v>
      </c>
      <c r="AD25" s="189"/>
    </row>
    <row r="26" spans="1:30" x14ac:dyDescent="0.2">
      <c r="A26" s="73"/>
      <c r="B26" s="72" t="s">
        <v>71</v>
      </c>
      <c r="C26" s="71" t="str">
        <f t="shared" si="3"/>
        <v>3L</v>
      </c>
      <c r="D26" s="70" t="str">
        <f t="shared" si="4"/>
        <v>1L</v>
      </c>
      <c r="E26" s="69" t="str">
        <f t="shared" si="0"/>
        <v>USD3L1L18Y_Quote</v>
      </c>
      <c r="F26" s="69" t="str">
        <f>_xll.qlSimpleQuote(E26,,RateTickValue,Permanent,Trigger,ObjectOverwrite)</f>
        <v>USD3L1L18Y_Quote#0000</v>
      </c>
      <c r="G26" s="68" t="str">
        <f>_xll.ohRangeRetrieveError(F26)</f>
        <v/>
      </c>
      <c r="H26" s="67"/>
      <c r="N26" s="116">
        <v>18</v>
      </c>
      <c r="O26" s="227" t="s">
        <v>71</v>
      </c>
      <c r="P26" s="276" t="str">
        <v>3L</v>
      </c>
      <c r="Q26" s="276" t="str">
        <v>1L</v>
      </c>
      <c r="R26" s="274" t="str">
        <f t="shared" si="1"/>
        <v>USD3L1L18Y</v>
      </c>
      <c r="S26" s="226" t="str">
        <v>USD3L1L18Y=ICAP</v>
      </c>
      <c r="T26" s="346" t="s">
        <v>219</v>
      </c>
      <c r="U26" s="346" t="s">
        <v>219</v>
      </c>
      <c r="V26" s="346" t="e">
        <f>_xll.qlMidEquivalent(T26,U26)</f>
        <v>#NUM!</v>
      </c>
      <c r="W26" s="221" t="b">
        <f t="shared" si="2"/>
        <v>0</v>
      </c>
      <c r="X26" s="347">
        <v>5.1165651172906612</v>
      </c>
      <c r="Y26" s="223"/>
      <c r="Z26" s="344">
        <v>4.1811293407815002</v>
      </c>
      <c r="AA26" s="223"/>
      <c r="AB26" s="456">
        <v>5.1165651172906612</v>
      </c>
      <c r="AC26" s="220">
        <f>_xll.qlSimpleQuoteSetValue(F26,AB26/10000,Trigger)</f>
        <v>2.8582093939896747E-11</v>
      </c>
      <c r="AD26" s="189"/>
    </row>
    <row r="27" spans="1:30" x14ac:dyDescent="0.2">
      <c r="A27" s="73"/>
      <c r="B27" s="72" t="s">
        <v>70</v>
      </c>
      <c r="C27" s="71" t="str">
        <f t="shared" si="3"/>
        <v>3L</v>
      </c>
      <c r="D27" s="70" t="str">
        <f t="shared" si="4"/>
        <v>1L</v>
      </c>
      <c r="E27" s="69" t="str">
        <f t="shared" si="0"/>
        <v>USD3L1L19Y_Quote</v>
      </c>
      <c r="F27" s="69" t="str">
        <f>_xll.qlSimpleQuote(E27,,RateTickValue,Permanent,Trigger,ObjectOverwrite)</f>
        <v>USD3L1L19Y_Quote#0000</v>
      </c>
      <c r="G27" s="68" t="str">
        <f>_xll.ohRangeRetrieveError(F27)</f>
        <v/>
      </c>
      <c r="H27" s="67"/>
      <c r="N27" s="116">
        <v>19</v>
      </c>
      <c r="O27" s="227" t="s">
        <v>70</v>
      </c>
      <c r="P27" s="276" t="str">
        <v>3L</v>
      </c>
      <c r="Q27" s="276" t="str">
        <v>1L</v>
      </c>
      <c r="R27" s="274" t="str">
        <f t="shared" si="1"/>
        <v>USD3L1L19Y</v>
      </c>
      <c r="S27" s="226" t="str">
        <v>USD3L1L19Y=ICAP</v>
      </c>
      <c r="T27" s="346" t="s">
        <v>219</v>
      </c>
      <c r="U27" s="346" t="s">
        <v>219</v>
      </c>
      <c r="V27" s="346" t="e">
        <f>_xll.qlMidEquivalent(T27,U27)</f>
        <v>#NUM!</v>
      </c>
      <c r="W27" s="221" t="b">
        <f t="shared" si="2"/>
        <v>0</v>
      </c>
      <c r="X27" s="347">
        <v>5.0012101948282712</v>
      </c>
      <c r="Y27" s="223"/>
      <c r="Z27" s="344">
        <v>4.080447346138822</v>
      </c>
      <c r="AA27" s="223"/>
      <c r="AB27" s="456">
        <v>5.0012101948282712</v>
      </c>
      <c r="AC27" s="220">
        <f>_xll.qlSimpleQuoteSetValue(F27,AB27/10000,Trigger)</f>
        <v>1.4095279088875701E-11</v>
      </c>
      <c r="AD27" s="189"/>
    </row>
    <row r="28" spans="1:30" x14ac:dyDescent="0.2">
      <c r="A28" s="73"/>
      <c r="B28" s="72" t="s">
        <v>69</v>
      </c>
      <c r="C28" s="71" t="str">
        <f t="shared" si="3"/>
        <v>3L</v>
      </c>
      <c r="D28" s="70" t="str">
        <f t="shared" si="4"/>
        <v>1L</v>
      </c>
      <c r="E28" s="69" t="str">
        <f t="shared" si="0"/>
        <v>USD3L1L20Y_Quote</v>
      </c>
      <c r="F28" s="69" t="str">
        <f>_xll.qlSimpleQuote(E28,,RateTickValue,Permanent,Trigger,ObjectOverwrite)</f>
        <v>USD3L1L20Y_Quote#0000</v>
      </c>
      <c r="G28" s="68" t="str">
        <f>_xll.ohRangeRetrieveError(F28)</f>
        <v/>
      </c>
      <c r="H28" s="67"/>
      <c r="N28" s="116">
        <v>20</v>
      </c>
      <c r="O28" s="227" t="s">
        <v>69</v>
      </c>
      <c r="P28" s="276" t="str">
        <v>3L</v>
      </c>
      <c r="Q28" s="276" t="str">
        <v>1L</v>
      </c>
      <c r="R28" s="274" t="str">
        <f t="shared" si="1"/>
        <v>USD3L1L20Y</v>
      </c>
      <c r="S28" s="226" t="str">
        <v>USD3L1L20Y=ICAP</v>
      </c>
      <c r="T28" s="346">
        <v>4.9000000000000004</v>
      </c>
      <c r="U28" s="346">
        <v>0</v>
      </c>
      <c r="V28" s="346">
        <f>_xll.qlMidEquivalent(T28,U28)</f>
        <v>4.9000000000000004</v>
      </c>
      <c r="W28" s="221" t="b">
        <f t="shared" si="2"/>
        <v>1</v>
      </c>
      <c r="X28" s="347">
        <v>4.9000000000000004</v>
      </c>
      <c r="Y28" s="223"/>
      <c r="Z28" s="344">
        <v>4</v>
      </c>
      <c r="AA28" s="223"/>
      <c r="AB28" s="456">
        <v>4.9000000000000004</v>
      </c>
      <c r="AC28" s="220">
        <f>_xll.qlSimpleQuoteSetValue(F28,AB28/10000,Trigger)</f>
        <v>0</v>
      </c>
      <c r="AD28" s="189"/>
    </row>
    <row r="29" spans="1:30" x14ac:dyDescent="0.2">
      <c r="A29" s="73"/>
      <c r="B29" s="72" t="s">
        <v>68</v>
      </c>
      <c r="C29" s="71" t="str">
        <f t="shared" si="3"/>
        <v>3L</v>
      </c>
      <c r="D29" s="70" t="str">
        <f t="shared" si="4"/>
        <v>1L</v>
      </c>
      <c r="E29" s="69" t="str">
        <f t="shared" si="0"/>
        <v>USD3L1L21Y_Quote</v>
      </c>
      <c r="F29" s="69" t="str">
        <f>_xll.qlSimpleQuote(E29,,RateTickValue,Permanent,Trigger,ObjectOverwrite)</f>
        <v>USD3L1L21Y_Quote#0000</v>
      </c>
      <c r="G29" s="68" t="str">
        <f>_xll.ohRangeRetrieveError(F29)</f>
        <v/>
      </c>
      <c r="H29" s="67"/>
      <c r="N29" s="116">
        <v>21</v>
      </c>
      <c r="O29" s="227" t="s">
        <v>68</v>
      </c>
      <c r="P29" s="276" t="str">
        <v>3L</v>
      </c>
      <c r="Q29" s="276" t="str">
        <v>1L</v>
      </c>
      <c r="R29" s="274" t="str">
        <f t="shared" si="1"/>
        <v>USD3L1L21Y</v>
      </c>
      <c r="S29" s="226" t="str">
        <v>USD3L1L21Y=ICAP</v>
      </c>
      <c r="T29" s="346" t="s">
        <v>219</v>
      </c>
      <c r="U29" s="346" t="s">
        <v>219</v>
      </c>
      <c r="V29" s="346" t="e">
        <f>_xll.qlMidEquivalent(T29,U29)</f>
        <v>#NUM!</v>
      </c>
      <c r="W29" s="221" t="b">
        <f t="shared" si="2"/>
        <v>0</v>
      </c>
      <c r="X29" s="347">
        <v>4.8163054473176272</v>
      </c>
      <c r="Y29" s="223"/>
      <c r="Z29" s="344">
        <v>3.9393070299228765</v>
      </c>
      <c r="AA29" s="223"/>
      <c r="AB29" s="456">
        <v>4.8163054473176272</v>
      </c>
      <c r="AC29" s="220">
        <f>_xll.qlSimpleQuoteSetValue(F29,AB29/10000,Trigger)</f>
        <v>-7.8307106892577805E-12</v>
      </c>
      <c r="AD29" s="189"/>
    </row>
    <row r="30" spans="1:30" x14ac:dyDescent="0.2">
      <c r="A30" s="73"/>
      <c r="B30" s="72" t="s">
        <v>67</v>
      </c>
      <c r="C30" s="71" t="str">
        <f t="shared" si="3"/>
        <v>3L</v>
      </c>
      <c r="D30" s="70" t="str">
        <f t="shared" si="4"/>
        <v>1L</v>
      </c>
      <c r="E30" s="69" t="str">
        <f t="shared" si="0"/>
        <v>USD3L1L22Y_Quote</v>
      </c>
      <c r="F30" s="69" t="str">
        <f>_xll.qlSimpleQuote(E30,,RateTickValue,Permanent,Trigger,ObjectOverwrite)</f>
        <v>USD3L1L22Y_Quote#0000</v>
      </c>
      <c r="G30" s="68" t="str">
        <f>_xll.ohRangeRetrieveError(F30)</f>
        <v/>
      </c>
      <c r="H30" s="67"/>
      <c r="N30" s="116">
        <v>22</v>
      </c>
      <c r="O30" s="227" t="s">
        <v>67</v>
      </c>
      <c r="P30" s="276" t="str">
        <v>3L</v>
      </c>
      <c r="Q30" s="276" t="str">
        <v>1L</v>
      </c>
      <c r="R30" s="274" t="str">
        <f t="shared" si="1"/>
        <v>USD3L1L22Y</v>
      </c>
      <c r="S30" s="226" t="str">
        <v>USD3L1L22Y=ICAP</v>
      </c>
      <c r="T30" s="346" t="s">
        <v>219</v>
      </c>
      <c r="U30" s="346" t="s">
        <v>219</v>
      </c>
      <c r="V30" s="346" t="e">
        <f>_xll.qlMidEquivalent(T30,U30)</f>
        <v>#NUM!</v>
      </c>
      <c r="W30" s="221" t="b">
        <f t="shared" si="2"/>
        <v>0</v>
      </c>
      <c r="X30" s="347">
        <v>4.747981809147034</v>
      </c>
      <c r="Y30" s="223"/>
      <c r="Z30" s="344">
        <v>3.8941337874035957</v>
      </c>
      <c r="AA30" s="223"/>
      <c r="AB30" s="456">
        <v>4.747981809147034</v>
      </c>
      <c r="AC30" s="220">
        <f>_xll.qlSimpleQuoteSetValue(F30,AB30/10000,Trigger)</f>
        <v>-9.788388307362117E-12</v>
      </c>
      <c r="AD30" s="189"/>
    </row>
    <row r="31" spans="1:30" x14ac:dyDescent="0.2">
      <c r="A31" s="73"/>
      <c r="B31" s="72" t="s">
        <v>66</v>
      </c>
      <c r="C31" s="71" t="str">
        <f t="shared" si="3"/>
        <v>3L</v>
      </c>
      <c r="D31" s="70" t="str">
        <f t="shared" si="4"/>
        <v>1L</v>
      </c>
      <c r="E31" s="69" t="str">
        <f t="shared" si="0"/>
        <v>USD3L1L23Y_Quote</v>
      </c>
      <c r="F31" s="69" t="str">
        <f>_xll.qlSimpleQuote(E31,,RateTickValue,Permanent,Trigger,ObjectOverwrite)</f>
        <v>USD3L1L23Y_Quote#0000</v>
      </c>
      <c r="G31" s="68" t="str">
        <f>_xll.ohRangeRetrieveError(F31)</f>
        <v/>
      </c>
      <c r="H31" s="67"/>
      <c r="N31" s="116">
        <v>23</v>
      </c>
      <c r="O31" s="227" t="s">
        <v>66</v>
      </c>
      <c r="P31" s="276" t="str">
        <v>3L</v>
      </c>
      <c r="Q31" s="276" t="str">
        <v>1L</v>
      </c>
      <c r="R31" s="274" t="str">
        <f t="shared" si="1"/>
        <v>USD3L1L23Y</v>
      </c>
      <c r="S31" s="226" t="str">
        <v>USD3L1L23Y=ICAP</v>
      </c>
      <c r="T31" s="346" t="s">
        <v>219</v>
      </c>
      <c r="U31" s="346" t="s">
        <v>219</v>
      </c>
      <c r="V31" s="346" t="e">
        <f>_xll.qlMidEquivalent(T31,U31)</f>
        <v>#NUM!</v>
      </c>
      <c r="W31" s="221" t="b">
        <f t="shared" si="2"/>
        <v>0</v>
      </c>
      <c r="X31" s="347">
        <v>4.6915054473176268</v>
      </c>
      <c r="Y31" s="223"/>
      <c r="Z31" s="344">
        <v>3.8593070299228764</v>
      </c>
      <c r="AA31" s="223"/>
      <c r="AB31" s="456">
        <v>4.6915054473176268</v>
      </c>
      <c r="AC31" s="220">
        <f>_xll.qlSimpleQuoteSetValue(F31,AB31/10000,Trigger)</f>
        <v>-7.8307107434678891E-12</v>
      </c>
      <c r="AD31" s="189"/>
    </row>
    <row r="32" spans="1:30" x14ac:dyDescent="0.2">
      <c r="A32" s="73"/>
      <c r="B32" s="72" t="s">
        <v>65</v>
      </c>
      <c r="C32" s="71" t="str">
        <f t="shared" si="3"/>
        <v>3L</v>
      </c>
      <c r="D32" s="70" t="str">
        <f t="shared" si="4"/>
        <v>1L</v>
      </c>
      <c r="E32" s="69" t="str">
        <f t="shared" si="0"/>
        <v>USD3L1L24Y_Quote</v>
      </c>
      <c r="F32" s="69" t="str">
        <f>_xll.qlSimpleQuote(E32,,RateTickValue,Permanent,Trigger,ObjectOverwrite)</f>
        <v>USD3L1L24Y_Quote#0000</v>
      </c>
      <c r="G32" s="68" t="str">
        <f>_xll.ohRangeRetrieveError(F32)</f>
        <v/>
      </c>
      <c r="H32" s="67"/>
      <c r="N32" s="116">
        <v>24</v>
      </c>
      <c r="O32" s="227" t="s">
        <v>65</v>
      </c>
      <c r="P32" s="276" t="str">
        <v>3L</v>
      </c>
      <c r="Q32" s="276" t="str">
        <v>1L</v>
      </c>
      <c r="R32" s="274" t="str">
        <f t="shared" si="1"/>
        <v>USD3L1L24Y</v>
      </c>
      <c r="S32" s="226" t="str">
        <v>USD3L1L24Y=ICAP</v>
      </c>
      <c r="T32" s="346" t="s">
        <v>219</v>
      </c>
      <c r="U32" s="346" t="s">
        <v>219</v>
      </c>
      <c r="V32" s="346" t="e">
        <f>_xll.qlMidEquivalent(T32,U32)</f>
        <v>#NUM!</v>
      </c>
      <c r="W32" s="221" t="b">
        <f t="shared" si="2"/>
        <v>0</v>
      </c>
      <c r="X32" s="347">
        <v>4.643352723658813</v>
      </c>
      <c r="Y32" s="223"/>
      <c r="Z32" s="344">
        <v>3.8296535149614384</v>
      </c>
      <c r="AA32" s="223"/>
      <c r="AB32" s="456">
        <v>4.643352723658813</v>
      </c>
      <c r="AC32" s="220">
        <f>_xll.qlSimpleQuoteSetValue(F32,AB32/10000,Trigger)</f>
        <v>-3.9153553446288902E-12</v>
      </c>
      <c r="AD32" s="189"/>
    </row>
    <row r="33" spans="1:30" x14ac:dyDescent="0.2">
      <c r="A33" s="73"/>
      <c r="B33" s="72" t="s">
        <v>64</v>
      </c>
      <c r="C33" s="71" t="str">
        <f t="shared" si="3"/>
        <v>3L</v>
      </c>
      <c r="D33" s="70" t="str">
        <f t="shared" si="4"/>
        <v>1L</v>
      </c>
      <c r="E33" s="69" t="str">
        <f t="shared" si="0"/>
        <v>USD3L1L25Y_Quote</v>
      </c>
      <c r="F33" s="69" t="str">
        <f>_xll.qlSimpleQuote(E33,,RateTickValue,Permanent,Trigger,ObjectOverwrite)</f>
        <v>USD3L1L25Y_Quote#0000</v>
      </c>
      <c r="G33" s="68" t="str">
        <f>_xll.ohRangeRetrieveError(F33)</f>
        <v/>
      </c>
      <c r="H33" s="67"/>
      <c r="N33" s="116">
        <v>25</v>
      </c>
      <c r="O33" s="227" t="s">
        <v>64</v>
      </c>
      <c r="P33" s="276" t="str">
        <v>3L</v>
      </c>
      <c r="Q33" s="276" t="str">
        <v>1L</v>
      </c>
      <c r="R33" s="274" t="str">
        <f t="shared" si="1"/>
        <v>USD3L1L25Y</v>
      </c>
      <c r="S33" s="226" t="str">
        <v>USD3L1L25Y=ICAP</v>
      </c>
      <c r="T33" s="346">
        <v>4.5999999999999996</v>
      </c>
      <c r="U33" s="346">
        <v>0</v>
      </c>
      <c r="V33" s="346">
        <f>_xll.qlMidEquivalent(T33,U33)</f>
        <v>4.5999999999999996</v>
      </c>
      <c r="W33" s="221" t="b">
        <f t="shared" si="2"/>
        <v>1</v>
      </c>
      <c r="X33" s="347">
        <v>4.5999999999999996</v>
      </c>
      <c r="Y33" s="223"/>
      <c r="Z33" s="344">
        <v>3.8</v>
      </c>
      <c r="AA33" s="223"/>
      <c r="AB33" s="456">
        <v>4.5999999999999996</v>
      </c>
      <c r="AC33" s="220">
        <f>_xll.qlSimpleQuoteSetValue(F33,AB33/10000,Trigger)</f>
        <v>0</v>
      </c>
      <c r="AD33" s="189"/>
    </row>
    <row r="34" spans="1:30" x14ac:dyDescent="0.2">
      <c r="A34" s="73"/>
      <c r="B34" s="72" t="s">
        <v>63</v>
      </c>
      <c r="C34" s="71" t="str">
        <f t="shared" si="3"/>
        <v>3L</v>
      </c>
      <c r="D34" s="70" t="str">
        <f t="shared" si="4"/>
        <v>1L</v>
      </c>
      <c r="E34" s="69" t="str">
        <f t="shared" si="0"/>
        <v>USD3L1L26Y_Quote</v>
      </c>
      <c r="F34" s="69" t="str">
        <f>_xll.qlSimpleQuote(E34,,RateTickValue,Permanent,Trigger,ObjectOverwrite)</f>
        <v>USD3L1L26Y_Quote#0000</v>
      </c>
      <c r="G34" s="68" t="str">
        <f>_xll.ohRangeRetrieveError(F34)</f>
        <v/>
      </c>
      <c r="H34" s="67"/>
      <c r="N34" s="116">
        <v>26</v>
      </c>
      <c r="O34" s="227" t="s">
        <v>63</v>
      </c>
      <c r="P34" s="276" t="str">
        <v>3L</v>
      </c>
      <c r="Q34" s="276" t="str">
        <v>1L</v>
      </c>
      <c r="R34" s="274" t="str">
        <f t="shared" si="1"/>
        <v>USD3L1L26Y</v>
      </c>
      <c r="S34" s="226" t="str">
        <v>USD3L1L26Y=ICAP</v>
      </c>
      <c r="T34" s="346" t="s">
        <v>219</v>
      </c>
      <c r="U34" s="346" t="s">
        <v>219</v>
      </c>
      <c r="V34" s="346" t="e">
        <f>_xll.qlMidEquivalent(T34,U34)</f>
        <v>#NUM!</v>
      </c>
      <c r="W34" s="221" t="b">
        <f t="shared" si="2"/>
        <v>0</v>
      </c>
      <c r="X34" s="347">
        <v>4.5584683658047114</v>
      </c>
      <c r="Y34" s="223"/>
      <c r="Z34" s="344">
        <v>3.7662078910231367</v>
      </c>
      <c r="AA34" s="223"/>
      <c r="AB34" s="456">
        <v>4.5584683658047114</v>
      </c>
      <c r="AC34" s="220">
        <f>_xll.qlSimpleQuoteSetValue(F34,AB34/10000,Trigger)</f>
        <v>2.3492131634092472E-12</v>
      </c>
      <c r="AD34" s="189"/>
    </row>
    <row r="35" spans="1:30" x14ac:dyDescent="0.2">
      <c r="A35" s="73"/>
      <c r="B35" s="72" t="s">
        <v>62</v>
      </c>
      <c r="C35" s="71" t="str">
        <f t="shared" si="3"/>
        <v>3L</v>
      </c>
      <c r="D35" s="70" t="str">
        <f t="shared" si="4"/>
        <v>1L</v>
      </c>
      <c r="E35" s="69" t="str">
        <f t="shared" si="0"/>
        <v>USD3L1L27Y_Quote</v>
      </c>
      <c r="F35" s="69" t="str">
        <f>_xll.qlSimpleQuote(E35,,RateTickValue,Permanent,Trigger,ObjectOverwrite)</f>
        <v>USD3L1L27Y_Quote#0000</v>
      </c>
      <c r="G35" s="68" t="str">
        <f>_xll.ohRangeRetrieveError(F35)</f>
        <v/>
      </c>
      <c r="H35" s="67"/>
      <c r="N35" s="116">
        <v>27</v>
      </c>
      <c r="O35" s="227" t="s">
        <v>62</v>
      </c>
      <c r="P35" s="276" t="str">
        <v>3L</v>
      </c>
      <c r="Q35" s="276" t="str">
        <v>1L</v>
      </c>
      <c r="R35" s="274" t="str">
        <f t="shared" si="1"/>
        <v>USD3L1L27Y</v>
      </c>
      <c r="S35" s="226" t="str">
        <v>USD3L1L27Y=ICAP</v>
      </c>
      <c r="T35" s="346" t="s">
        <v>219</v>
      </c>
      <c r="U35" s="346" t="s">
        <v>219</v>
      </c>
      <c r="V35" s="346" t="e">
        <f>_xll.qlMidEquivalent(T35,U35)</f>
        <v>#NUM!</v>
      </c>
      <c r="W35" s="221" t="b">
        <f t="shared" si="2"/>
        <v>0</v>
      </c>
      <c r="X35" s="347">
        <v>4.5179578210729492</v>
      </c>
      <c r="Y35" s="223"/>
      <c r="Z35" s="344">
        <v>3.7282771880308494</v>
      </c>
      <c r="AA35" s="223"/>
      <c r="AB35" s="456">
        <v>4.5179578210729492</v>
      </c>
      <c r="AC35" s="220">
        <f>_xll.qlSimpleQuoteSetValue(F35,AB35/10000,Trigger)</f>
        <v>3.1322842540190687E-12</v>
      </c>
      <c r="AD35" s="189"/>
    </row>
    <row r="36" spans="1:30" x14ac:dyDescent="0.2">
      <c r="A36" s="73"/>
      <c r="B36" s="72" t="s">
        <v>61</v>
      </c>
      <c r="C36" s="71" t="str">
        <f t="shared" si="3"/>
        <v>3L</v>
      </c>
      <c r="D36" s="70" t="str">
        <f t="shared" si="4"/>
        <v>1L</v>
      </c>
      <c r="E36" s="69" t="str">
        <f t="shared" si="0"/>
        <v>USD3L1L28Y_Quote</v>
      </c>
      <c r="F36" s="69" t="str">
        <f>_xll.qlSimpleQuote(E36,,RateTickValue,Permanent,Trigger,ObjectOverwrite)</f>
        <v>USD3L1L28Y_Quote#0000</v>
      </c>
      <c r="G36" s="68" t="str">
        <f>_xll.ohRangeRetrieveError(F36)</f>
        <v/>
      </c>
      <c r="H36" s="67"/>
      <c r="N36" s="116">
        <v>28</v>
      </c>
      <c r="O36" s="227" t="s">
        <v>61</v>
      </c>
      <c r="P36" s="276" t="str">
        <v>3L</v>
      </c>
      <c r="Q36" s="276" t="str">
        <v>1L</v>
      </c>
      <c r="R36" s="274" t="str">
        <f t="shared" si="1"/>
        <v>USD3L1L28Y</v>
      </c>
      <c r="S36" s="226" t="str">
        <v>USD3L1L28Y=ICAP</v>
      </c>
      <c r="T36" s="346" t="s">
        <v>219</v>
      </c>
      <c r="U36" s="346" t="s">
        <v>219</v>
      </c>
      <c r="V36" s="346" t="e">
        <f>_xll.qlMidEquivalent(T36,U36)</f>
        <v>#NUM!</v>
      </c>
      <c r="W36" s="221" t="b">
        <f t="shared" si="2"/>
        <v>0</v>
      </c>
      <c r="X36" s="347">
        <v>4.4782130934388302</v>
      </c>
      <c r="Y36" s="223"/>
      <c r="Z36" s="344">
        <v>3.6872425395269932</v>
      </c>
      <c r="AA36" s="223"/>
      <c r="AB36" s="456">
        <v>4.4782130934388302</v>
      </c>
      <c r="AC36" s="220">
        <f>_xll.qlSimpleQuoteSetValue(F36,AB36/10000,Trigger)</f>
        <v>2.740748708714158E-12</v>
      </c>
      <c r="AD36" s="189"/>
    </row>
    <row r="37" spans="1:30" x14ac:dyDescent="0.2">
      <c r="A37" s="73"/>
      <c r="B37" s="72" t="s">
        <v>60</v>
      </c>
      <c r="C37" s="71" t="str">
        <f t="shared" si="3"/>
        <v>3L</v>
      </c>
      <c r="D37" s="70" t="str">
        <f t="shared" si="4"/>
        <v>1L</v>
      </c>
      <c r="E37" s="69" t="str">
        <f t="shared" si="0"/>
        <v>USD3L1L29Y_Quote</v>
      </c>
      <c r="F37" s="69" t="str">
        <f>_xll.qlSimpleQuote(E37,,RateTickValue,Permanent,Trigger,ObjectOverwrite)</f>
        <v>USD3L1L29Y_Quote#0000</v>
      </c>
      <c r="G37" s="68" t="str">
        <f>_xll.ohRangeRetrieveError(F37)</f>
        <v/>
      </c>
      <c r="H37" s="67"/>
      <c r="N37" s="116">
        <v>29</v>
      </c>
      <c r="O37" s="227" t="s">
        <v>60</v>
      </c>
      <c r="P37" s="276" t="str">
        <v>3L</v>
      </c>
      <c r="Q37" s="276" t="str">
        <v>1L</v>
      </c>
      <c r="R37" s="274" t="str">
        <f t="shared" si="1"/>
        <v>USD3L1L29Y</v>
      </c>
      <c r="S37" s="226" t="str">
        <v>USD3L1L29Y=ICAP</v>
      </c>
      <c r="T37" s="346" t="s">
        <v>219</v>
      </c>
      <c r="U37" s="346" t="s">
        <v>219</v>
      </c>
      <c r="V37" s="346" t="e">
        <f>_xll.qlMidEquivalent(T37,U37)</f>
        <v>#NUM!</v>
      </c>
      <c r="W37" s="221" t="b">
        <f t="shared" si="2"/>
        <v>0</v>
      </c>
      <c r="X37" s="347">
        <v>4.4389789105364743</v>
      </c>
      <c r="Y37" s="223"/>
      <c r="Z37" s="344">
        <v>3.6441385940154247</v>
      </c>
      <c r="AA37" s="223"/>
      <c r="AB37" s="456">
        <v>4.4389789105364743</v>
      </c>
      <c r="AC37" s="220">
        <f>_xll.qlSimpleQuoteSetValue(F37,AB37/10000,Trigger)</f>
        <v>1.5661420727994257E-12</v>
      </c>
      <c r="AD37" s="189"/>
    </row>
    <row r="38" spans="1:30" x14ac:dyDescent="0.2">
      <c r="A38" s="73"/>
      <c r="B38" s="72" t="s">
        <v>59</v>
      </c>
      <c r="C38" s="71" t="str">
        <f t="shared" si="3"/>
        <v>3L</v>
      </c>
      <c r="D38" s="70" t="str">
        <f t="shared" si="4"/>
        <v>1L</v>
      </c>
      <c r="E38" s="69" t="str">
        <f t="shared" si="0"/>
        <v>USD3L1L30Y_Quote</v>
      </c>
      <c r="F38" s="69" t="str">
        <f>_xll.qlSimpleQuote(E38,,RateTickValue,Permanent,Trigger,ObjectOverwrite)</f>
        <v>USD3L1L30Y_Quote#0000</v>
      </c>
      <c r="G38" s="68" t="str">
        <f>_xll.ohRangeRetrieveError(F38)</f>
        <v/>
      </c>
      <c r="H38" s="67"/>
      <c r="N38" s="116">
        <v>30</v>
      </c>
      <c r="O38" s="227" t="s">
        <v>59</v>
      </c>
      <c r="P38" s="276" t="str">
        <v>3L</v>
      </c>
      <c r="Q38" s="276" t="str">
        <v>1L</v>
      </c>
      <c r="R38" s="274" t="str">
        <f t="shared" si="1"/>
        <v>USD3L1L30Y</v>
      </c>
      <c r="S38" s="226" t="str">
        <v>USD3L1L30Y=ICAP</v>
      </c>
      <c r="T38" s="346">
        <v>4.4000000000000004</v>
      </c>
      <c r="U38" s="346">
        <v>0</v>
      </c>
      <c r="V38" s="346">
        <f>_xll.qlMidEquivalent(T38,U38)</f>
        <v>4.4000000000000004</v>
      </c>
      <c r="W38" s="221" t="b">
        <f t="shared" si="2"/>
        <v>1</v>
      </c>
      <c r="X38" s="347">
        <v>4.4000000000000004</v>
      </c>
      <c r="Y38" s="223"/>
      <c r="Z38" s="344">
        <v>3.6</v>
      </c>
      <c r="AA38" s="223"/>
      <c r="AB38" s="456">
        <v>4.4000000000000004</v>
      </c>
      <c r="AC38" s="220">
        <f>_xll.qlSimpleQuoteSetValue(F38,AB38/10000,Trigger)</f>
        <v>0</v>
      </c>
      <c r="AD38" s="189"/>
    </row>
    <row r="39" spans="1:30" x14ac:dyDescent="0.2">
      <c r="A39" s="73"/>
      <c r="B39" s="72" t="s">
        <v>54</v>
      </c>
      <c r="C39" s="71" t="str">
        <f t="shared" si="3"/>
        <v>3L</v>
      </c>
      <c r="D39" s="70" t="str">
        <f t="shared" si="4"/>
        <v>1L</v>
      </c>
      <c r="E39" s="69" t="str">
        <f t="shared" si="0"/>
        <v>USD3L1L35Y_Quote</v>
      </c>
      <c r="F39" s="69" t="str">
        <f>_xll.qlSimpleQuote(E39,,RateTickValue,Permanent,Trigger,ObjectOverwrite)</f>
        <v>USD3L1L35Y_Quote#0000</v>
      </c>
      <c r="G39" s="68" t="str">
        <f>_xll.ohRangeRetrieveError(F39)</f>
        <v/>
      </c>
      <c r="H39" s="67"/>
      <c r="N39" s="116">
        <v>35</v>
      </c>
      <c r="O39" s="227" t="s">
        <v>54</v>
      </c>
      <c r="P39" s="276" t="str">
        <v>3L</v>
      </c>
      <c r="Q39" s="276" t="str">
        <v>1L</v>
      </c>
      <c r="R39" s="274" t="str">
        <f t="shared" si="1"/>
        <v>USD3L1L35Y</v>
      </c>
      <c r="S39" s="226" t="str">
        <v>USD3L1L35Y=ICAP</v>
      </c>
      <c r="T39" s="346" t="s">
        <v>219</v>
      </c>
      <c r="U39" s="346" t="s">
        <v>219</v>
      </c>
      <c r="V39" s="346" t="e">
        <f>_xll.qlMidEquivalent(T39,U39)</f>
        <v>#NUM!</v>
      </c>
      <c r="W39" s="221" t="b">
        <f t="shared" si="2"/>
        <v>0</v>
      </c>
      <c r="X39" s="345">
        <f>X38</f>
        <v>4.4000000000000004</v>
      </c>
      <c r="Y39" s="223"/>
      <c r="Z39" s="344">
        <v>3.6</v>
      </c>
      <c r="AA39" s="223"/>
      <c r="AB39" s="456">
        <v>4.4000000000000004</v>
      </c>
      <c r="AC39" s="220">
        <f>_xll.qlSimpleQuoteSetValue(F39,AB39/10000,Trigger)</f>
        <v>0</v>
      </c>
      <c r="AD39" s="189"/>
    </row>
    <row r="40" spans="1:30" x14ac:dyDescent="0.2">
      <c r="A40" s="73"/>
      <c r="B40" s="72" t="s">
        <v>49</v>
      </c>
      <c r="C40" s="71" t="str">
        <f t="shared" si="3"/>
        <v>3L</v>
      </c>
      <c r="D40" s="70" t="str">
        <f t="shared" si="4"/>
        <v>1L</v>
      </c>
      <c r="E40" s="69" t="str">
        <f t="shared" si="0"/>
        <v>USD3L1L40Y_Quote</v>
      </c>
      <c r="F40" s="69" t="str">
        <f>_xll.qlSimpleQuote(E40,,RateTickValue,Permanent,Trigger,ObjectOverwrite)</f>
        <v>USD3L1L40Y_Quote#0000</v>
      </c>
      <c r="G40" s="68" t="str">
        <f>_xll.ohRangeRetrieveError(F40)</f>
        <v/>
      </c>
      <c r="H40" s="67"/>
      <c r="N40" s="116">
        <v>40</v>
      </c>
      <c r="O40" s="227" t="s">
        <v>49</v>
      </c>
      <c r="P40" s="276" t="str">
        <v>3L</v>
      </c>
      <c r="Q40" s="276" t="str">
        <v>1L</v>
      </c>
      <c r="R40" s="274" t="str">
        <f t="shared" si="1"/>
        <v>USD3L1L40Y</v>
      </c>
      <c r="S40" s="226" t="str">
        <v>USD3L1L40Y=ICAP</v>
      </c>
      <c r="T40" s="346" t="s">
        <v>219</v>
      </c>
      <c r="U40" s="346" t="s">
        <v>219</v>
      </c>
      <c r="V40" s="346" t="e">
        <f>_xll.qlMidEquivalent(T40,U40)</f>
        <v>#NUM!</v>
      </c>
      <c r="W40" s="221" t="b">
        <f t="shared" si="2"/>
        <v>0</v>
      </c>
      <c r="X40" s="345">
        <f>X39</f>
        <v>4.4000000000000004</v>
      </c>
      <c r="Y40" s="223"/>
      <c r="Z40" s="344">
        <v>3.6</v>
      </c>
      <c r="AA40" s="223"/>
      <c r="AB40" s="456">
        <v>4.4000000000000004</v>
      </c>
      <c r="AC40" s="220">
        <f>_xll.qlSimpleQuoteSetValue(F40,AB40/10000,Trigger)</f>
        <v>0</v>
      </c>
      <c r="AD40" s="189"/>
    </row>
    <row r="41" spans="1:30" x14ac:dyDescent="0.2">
      <c r="A41" s="73"/>
      <c r="B41" s="72" t="s">
        <v>39</v>
      </c>
      <c r="C41" s="71" t="str">
        <f t="shared" si="3"/>
        <v>3L</v>
      </c>
      <c r="D41" s="70" t="str">
        <f t="shared" si="4"/>
        <v>1L</v>
      </c>
      <c r="E41" s="69" t="str">
        <f t="shared" si="0"/>
        <v>USD3L1L50Y_Quote</v>
      </c>
      <c r="F41" s="69" t="str">
        <f>_xll.qlSimpleQuote(E41,,RateTickValue,Permanent,Trigger,ObjectOverwrite)</f>
        <v>USD3L1L50Y_Quote#0000</v>
      </c>
      <c r="G41" s="68" t="str">
        <f>_xll.ohRangeRetrieveError(F41)</f>
        <v/>
      </c>
      <c r="H41" s="67"/>
      <c r="N41" s="116">
        <v>50</v>
      </c>
      <c r="O41" s="227" t="s">
        <v>39</v>
      </c>
      <c r="P41" s="276" t="str">
        <v>3L</v>
      </c>
      <c r="Q41" s="276" t="str">
        <v>1L</v>
      </c>
      <c r="R41" s="274" t="str">
        <f t="shared" si="1"/>
        <v>USD3L1L50Y</v>
      </c>
      <c r="S41" s="226" t="str">
        <v>USD3L1L50Y=ICAP</v>
      </c>
      <c r="T41" s="346" t="s">
        <v>219</v>
      </c>
      <c r="U41" s="346" t="s">
        <v>219</v>
      </c>
      <c r="V41" s="346" t="e">
        <f>_xll.qlMidEquivalent(T41,U41)</f>
        <v>#NUM!</v>
      </c>
      <c r="W41" s="221" t="b">
        <f t="shared" si="2"/>
        <v>0</v>
      </c>
      <c r="X41" s="345">
        <f>X40</f>
        <v>4.4000000000000004</v>
      </c>
      <c r="Y41" s="223"/>
      <c r="Z41" s="344">
        <v>3.6</v>
      </c>
      <c r="AA41" s="223"/>
      <c r="AB41" s="456">
        <v>4.4000000000000004</v>
      </c>
      <c r="AC41" s="220">
        <f>_xll.qlSimpleQuoteSetValue(F41,AB41/10000,Trigger)</f>
        <v>0</v>
      </c>
      <c r="AD41" s="189"/>
    </row>
    <row r="42" spans="1:30" x14ac:dyDescent="0.2">
      <c r="A42" s="73"/>
      <c r="B42" s="72" t="s">
        <v>29</v>
      </c>
      <c r="C42" s="71" t="str">
        <f t="shared" si="3"/>
        <v>3L</v>
      </c>
      <c r="D42" s="70" t="str">
        <f t="shared" si="4"/>
        <v>1L</v>
      </c>
      <c r="E42" s="69" t="str">
        <f t="shared" si="0"/>
        <v>USD3L1L60Y_Quote</v>
      </c>
      <c r="F42" s="69" t="str">
        <f>_xll.qlSimpleQuote(E42,,RateTickValue,Permanent,Trigger,ObjectOverwrite)</f>
        <v>USD3L1L60Y_Quote#0000</v>
      </c>
      <c r="G42" s="68" t="str">
        <f>_xll.ohRangeRetrieveError(F42)</f>
        <v/>
      </c>
      <c r="H42" s="67"/>
      <c r="N42" s="116">
        <v>60</v>
      </c>
      <c r="O42" s="239" t="s">
        <v>29</v>
      </c>
      <c r="P42" s="271" t="str">
        <v>3L</v>
      </c>
      <c r="Q42" s="271" t="str">
        <v>1L</v>
      </c>
      <c r="R42" s="269" t="str">
        <f t="shared" si="1"/>
        <v>USD3L1L60Y</v>
      </c>
      <c r="S42" s="238" t="str">
        <v>USD3L1L60Y=ICAP</v>
      </c>
      <c r="T42" s="343" t="s">
        <v>219</v>
      </c>
      <c r="U42" s="343" t="s">
        <v>219</v>
      </c>
      <c r="V42" s="343" t="e">
        <f>_xll.qlMidEquivalent(T42,U42)</f>
        <v>#NUM!</v>
      </c>
      <c r="W42" s="234" t="b">
        <f t="shared" si="2"/>
        <v>0</v>
      </c>
      <c r="X42" s="342">
        <f>X41</f>
        <v>4.4000000000000004</v>
      </c>
      <c r="Y42" s="223"/>
      <c r="Z42" s="341">
        <v>3.6</v>
      </c>
      <c r="AA42" s="223"/>
      <c r="AB42" s="457">
        <v>4.4000000000000004</v>
      </c>
      <c r="AC42" s="233">
        <f>_xll.qlSimpleQuoteSetValue(F42,AB42/10000,Trigger)</f>
        <v>0</v>
      </c>
      <c r="AD42" s="189"/>
    </row>
    <row r="43" spans="1:30" ht="12" thickBot="1" x14ac:dyDescent="0.25">
      <c r="A43" s="66"/>
      <c r="B43" s="65"/>
      <c r="C43" s="65"/>
      <c r="D43" s="65"/>
      <c r="E43" s="65"/>
      <c r="F43" s="64"/>
      <c r="G43" s="64"/>
      <c r="H43" s="63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8" customWidth="1"/>
    <col min="2" max="2" width="6.5703125" style="18" bestFit="1" customWidth="1"/>
    <col min="3" max="4" width="2.7109375" style="18" bestFit="1" customWidth="1"/>
    <col min="5" max="5" width="17.85546875" style="18" bestFit="1" customWidth="1"/>
    <col min="6" max="6" width="19.7109375" style="18" bestFit="1" customWidth="1"/>
    <col min="7" max="7" width="36.28515625" style="18" customWidth="1"/>
    <col min="8" max="9" width="2.7109375" style="18" customWidth="1"/>
    <col min="10" max="12" width="3.5703125" style="18" customWidth="1"/>
    <col min="13" max="13" width="2.7109375" style="18" customWidth="1"/>
    <col min="14" max="17" width="9.140625" style="18"/>
    <col min="18" max="18" width="10.28515625" style="18" bestFit="1" customWidth="1"/>
    <col min="19" max="19" width="14.5703125" style="18" bestFit="1" customWidth="1"/>
    <col min="20" max="24" width="9.140625" style="18"/>
    <col min="25" max="25" width="2.7109375" style="18" customWidth="1"/>
    <col min="26" max="26" width="9.140625" style="18"/>
    <col min="27" max="27" width="2.7109375" style="18" customWidth="1"/>
    <col min="28" max="29" width="9.140625" style="18"/>
    <col min="30" max="31" width="2.7109375" style="18" customWidth="1"/>
    <col min="32" max="16384" width="9.140625" style="18"/>
  </cols>
  <sheetData>
    <row r="1" spans="1:36" x14ac:dyDescent="0.2">
      <c r="N1" s="287" t="s">
        <v>286</v>
      </c>
      <c r="O1" s="170"/>
      <c r="P1" s="170"/>
      <c r="Q1" s="170"/>
      <c r="R1" s="170"/>
      <c r="S1" s="170" t="s">
        <v>265</v>
      </c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  <c r="AI1" s="19"/>
      <c r="AJ1" s="19"/>
    </row>
    <row r="2" spans="1:36" x14ac:dyDescent="0.2">
      <c r="N2" s="256"/>
      <c r="O2" s="131"/>
      <c r="P2" s="223"/>
      <c r="Q2" s="223"/>
      <c r="R2" s="223"/>
      <c r="S2" s="138" t="str">
        <f>[0]!Contributor</f>
        <v>ICAP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  <c r="AI2" s="19"/>
      <c r="AJ2" s="19"/>
    </row>
    <row r="3" spans="1:36" x14ac:dyDescent="0.2">
      <c r="A3" s="96" t="s">
        <v>123</v>
      </c>
      <c r="B3" s="91"/>
      <c r="C3" s="91"/>
      <c r="D3" s="91"/>
      <c r="E3" s="92"/>
      <c r="F3" s="93"/>
      <c r="G3" s="92"/>
      <c r="H3" s="88"/>
      <c r="N3" s="116"/>
      <c r="O3" s="223"/>
      <c r="P3" s="131"/>
      <c r="Q3" s="131"/>
      <c r="R3" s="131"/>
      <c r="S3" s="131" t="str">
        <f>_xll.qlInterpolation(,InterpolationType,_xll.ohFilter(N5:N42,W5:W42),_xll.ohFilter(V5:V42,W5:W42))</f>
        <v>obj_00424#0000</v>
      </c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2</v>
      </c>
      <c r="AD3" s="189"/>
      <c r="AE3" s="19"/>
      <c r="AF3" s="19"/>
      <c r="AG3" s="19"/>
      <c r="AH3" s="19"/>
      <c r="AI3" s="19"/>
      <c r="AJ3" s="19"/>
    </row>
    <row r="4" spans="1:36" ht="23.25" thickBot="1" x14ac:dyDescent="0.25">
      <c r="A4" s="73"/>
      <c r="B4" s="86" t="s">
        <v>114</v>
      </c>
      <c r="C4" s="87"/>
      <c r="D4" s="86"/>
      <c r="E4" s="85" t="str">
        <f>Currency&amp;"_010_Sw"&amp;$C$6&amp;$D$6&amp;".xml"</f>
        <v>USD_010_Sw6L3L.xml</v>
      </c>
      <c r="F4" s="84" t="str">
        <f>IF(Serialize,_xll.ohObjectSave(F5:F42,SerializationPath&amp;E4,FileOverwrite,Serialize),"---")</f>
        <v>---</v>
      </c>
      <c r="G4" s="68" t="str">
        <f>_xll.ohRangeRetrieveError(F4)</f>
        <v/>
      </c>
      <c r="H4" s="67"/>
      <c r="N4" s="116"/>
      <c r="O4" s="285"/>
      <c r="P4" s="165"/>
      <c r="Q4" s="165"/>
      <c r="R4" s="165"/>
      <c r="S4" s="218" t="str">
        <f>_xll.RData(S5:S42,T4:U4,"RTFEED:IDN",ReutersRtMode,,T5)</f>
        <v>Paused at 15:28:02</v>
      </c>
      <c r="T4" s="284" t="s">
        <v>207</v>
      </c>
      <c r="U4" s="284" t="s">
        <v>206</v>
      </c>
      <c r="V4" s="284" t="s">
        <v>263</v>
      </c>
      <c r="W4" s="284"/>
      <c r="X4" s="249" t="s">
        <v>262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  <c r="AI4" s="19"/>
      <c r="AJ4" s="282" t="s">
        <v>264</v>
      </c>
    </row>
    <row r="5" spans="1:36" x14ac:dyDescent="0.2">
      <c r="A5" s="73"/>
      <c r="B5" s="83" t="s">
        <v>15</v>
      </c>
      <c r="C5" s="71" t="str">
        <f>VLOOKUP(Currency,$J$10:$L$14,2)</f>
        <v>6L</v>
      </c>
      <c r="D5" s="70" t="str">
        <f>VLOOKUP(Currency,$J$10:$L$14,3)</f>
        <v>3L</v>
      </c>
      <c r="E5" s="69" t="str">
        <f t="shared" ref="E5:E42" si="0">IF(ISBLANK(C5),"#",Currency&amp;$C5&amp;$D5&amp;$B5&amp;QuoteSuffix)</f>
        <v>USD6L3L6M_Quote</v>
      </c>
      <c r="F5" s="69" t="str">
        <f>_xll.qlSimpleQuote(E5,,RateTickValue,Permanent,Trigger,ObjectOverwrite)</f>
        <v>USD6L3L6M_Quote#0000</v>
      </c>
      <c r="G5" s="68" t="str">
        <f>_xll.ohRangeRetrieveError(F5)</f>
        <v/>
      </c>
      <c r="H5" s="67"/>
      <c r="N5" s="348">
        <v>0.5</v>
      </c>
      <c r="O5" s="227" t="s">
        <v>15</v>
      </c>
      <c r="P5" s="276" t="str">
        <f t="array" ref="P5:P42">VLOOKUP(Currency,Conventions,2)</f>
        <v>6L</v>
      </c>
      <c r="Q5" s="276" t="str">
        <f t="array" ref="Q5:Q42">VLOOKUP(Currency,Conventions,3)</f>
        <v>3L</v>
      </c>
      <c r="R5" s="274" t="str">
        <f t="shared" ref="R5:R42" si="1">Currency&amp;$P5&amp;$Q5&amp;$O5</f>
        <v>USD6L3L6M</v>
      </c>
      <c r="S5" s="226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46">
        <v>9</v>
      </c>
      <c r="U5" s="346">
        <v>0</v>
      </c>
      <c r="V5" s="346">
        <f>_xll.qlMidEquivalent(T5,U5)</f>
        <v>9</v>
      </c>
      <c r="W5" s="221" t="b">
        <f t="shared" ref="W5:W42" si="2">IF(ISNUMBER(V5),TRUE,FALSE)</f>
        <v>1</v>
      </c>
      <c r="X5" s="347">
        <f t="array" ref="X5:X38">_xll.qlInterpolationInterpolate(S3,N5:N42)</f>
        <v>9</v>
      </c>
      <c r="Y5" s="223"/>
      <c r="Z5" s="344">
        <v>10.4</v>
      </c>
      <c r="AA5" s="223"/>
      <c r="AB5" s="456">
        <f t="array" ref="AB5:AB42">QuoteLive</f>
        <v>9</v>
      </c>
      <c r="AC5" s="220">
        <f>_xll.qlSimpleQuoteSetValue(F5,AB5/10000,Trigger)</f>
        <v>9.9999999999999178E-6</v>
      </c>
      <c r="AD5" s="189"/>
      <c r="AE5" s="19"/>
      <c r="AF5" s="82" t="s">
        <v>110</v>
      </c>
      <c r="AG5" s="81" t="s">
        <v>103</v>
      </c>
      <c r="AH5" s="80" t="s">
        <v>104</v>
      </c>
      <c r="AI5" s="19" t="str">
        <f t="shared" ref="AI5:AI42" si="3">O5</f>
        <v>6M</v>
      </c>
      <c r="AJ5" s="340" t="e">
        <f>((Swap6M!AB5-Swap3M!AB5)*100-AB5)/10000</f>
        <v>#NUM!</v>
      </c>
    </row>
    <row r="6" spans="1:36" x14ac:dyDescent="0.2">
      <c r="A6" s="73"/>
      <c r="B6" s="83" t="s">
        <v>9</v>
      </c>
      <c r="C6" s="71" t="str">
        <f t="shared" ref="C6:C42" si="4">C5</f>
        <v>6L</v>
      </c>
      <c r="D6" s="70" t="str">
        <f t="shared" ref="D6:D42" si="5">D5</f>
        <v>3L</v>
      </c>
      <c r="E6" s="69" t="str">
        <f t="shared" si="0"/>
        <v>USD6L3L1Y_Quote</v>
      </c>
      <c r="F6" s="69" t="str">
        <f>_xll.qlSimpleQuote(E6,,RateTickValue,Permanent,Trigger,ObjectOverwrite)</f>
        <v>USD6L3L1Y_Quote#0000</v>
      </c>
      <c r="G6" s="68" t="str">
        <f>_xll.ohRangeRetrieveError(F6)</f>
        <v/>
      </c>
      <c r="H6" s="67"/>
      <c r="N6" s="348">
        <v>1</v>
      </c>
      <c r="O6" s="227" t="s">
        <v>9</v>
      </c>
      <c r="P6" s="276" t="str">
        <v>6L</v>
      </c>
      <c r="Q6" s="276" t="str">
        <v>3L</v>
      </c>
      <c r="R6" s="274" t="str">
        <f t="shared" si="1"/>
        <v>USD6L3L1Y</v>
      </c>
      <c r="S6" s="226" t="str">
        <v>USD6L3L1Y=ICAP</v>
      </c>
      <c r="T6" s="346">
        <v>9</v>
      </c>
      <c r="U6" s="346">
        <v>0</v>
      </c>
      <c r="V6" s="346">
        <f>_xll.qlMidEquivalent(T6,U6)</f>
        <v>9</v>
      </c>
      <c r="W6" s="221" t="b">
        <f t="shared" si="2"/>
        <v>1</v>
      </c>
      <c r="X6" s="347">
        <v>9</v>
      </c>
      <c r="Y6" s="223"/>
      <c r="Z6" s="344">
        <v>10.199999999999999</v>
      </c>
      <c r="AA6" s="223"/>
      <c r="AB6" s="456">
        <v>9</v>
      </c>
      <c r="AC6" s="220">
        <f>_xll.qlSimpleQuoteSetValue(F6,AB6/10000,Trigger)</f>
        <v>9.9999999999999178E-6</v>
      </c>
      <c r="AD6" s="189"/>
      <c r="AE6" s="19"/>
      <c r="AF6" s="79" t="s">
        <v>109</v>
      </c>
      <c r="AG6" s="78" t="s">
        <v>115</v>
      </c>
      <c r="AH6" s="77" t="s">
        <v>107</v>
      </c>
      <c r="AI6" s="19" t="str">
        <f t="shared" si="3"/>
        <v>1Y</v>
      </c>
      <c r="AJ6" s="340" t="e">
        <f>((Swap6M!AB6-Swap3M!AB6)*100-AB6)/10000</f>
        <v>#NUM!</v>
      </c>
    </row>
    <row r="7" spans="1:36" x14ac:dyDescent="0.2">
      <c r="A7" s="73"/>
      <c r="B7" s="83" t="s">
        <v>113</v>
      </c>
      <c r="C7" s="71" t="str">
        <f t="shared" si="4"/>
        <v>6L</v>
      </c>
      <c r="D7" s="70" t="str">
        <f t="shared" si="5"/>
        <v>3L</v>
      </c>
      <c r="E7" s="69" t="str">
        <f t="shared" si="0"/>
        <v>USD6L3L15M_Quote</v>
      </c>
      <c r="F7" s="69" t="str">
        <f>_xll.qlSimpleQuote(E7,,RateTickValue,Permanent,Trigger,ObjectOverwrite)</f>
        <v>USD6L3L15M_Quote#0000</v>
      </c>
      <c r="G7" s="68" t="str">
        <f>_xll.ohRangeRetrieveError(F7)</f>
        <v/>
      </c>
      <c r="H7" s="67"/>
      <c r="N7" s="348">
        <v>1.25</v>
      </c>
      <c r="O7" s="227" t="s">
        <v>113</v>
      </c>
      <c r="P7" s="276" t="str">
        <v>6L</v>
      </c>
      <c r="Q7" s="276" t="str">
        <v>3L</v>
      </c>
      <c r="R7" s="274" t="str">
        <f t="shared" si="1"/>
        <v>USD6L3L15M</v>
      </c>
      <c r="S7" s="226" t="str">
        <v>USD6L3L15M=ICAP</v>
      </c>
      <c r="T7" s="346" t="s">
        <v>219</v>
      </c>
      <c r="U7" s="346" t="s">
        <v>219</v>
      </c>
      <c r="V7" s="346" t="e">
        <f>_xll.qlMidEquivalent(T7,U7)</f>
        <v>#NUM!</v>
      </c>
      <c r="W7" s="221" t="b">
        <f t="shared" si="2"/>
        <v>0</v>
      </c>
      <c r="X7" s="347">
        <v>8.984375</v>
      </c>
      <c r="Y7" s="223"/>
      <c r="Z7" s="344">
        <v>10.186508208428252</v>
      </c>
      <c r="AA7" s="223"/>
      <c r="AB7" s="456">
        <v>8.984375</v>
      </c>
      <c r="AC7" s="220">
        <f>_xll.qlSimpleQuoteSetValue(F7,AB7/10000,Trigger)</f>
        <v>8.4374999999999815E-6</v>
      </c>
      <c r="AD7" s="189"/>
      <c r="AE7" s="19"/>
      <c r="AF7" s="79" t="s">
        <v>106</v>
      </c>
      <c r="AG7" s="78" t="s">
        <v>103</v>
      </c>
      <c r="AH7" s="77" t="s">
        <v>104</v>
      </c>
      <c r="AI7" s="19" t="str">
        <f t="shared" si="3"/>
        <v>15M</v>
      </c>
      <c r="AJ7" s="340" t="e">
        <f>((Swap6M!AB7-Swap3M!AB7)*100-AB7)/10000</f>
        <v>#NUM!</v>
      </c>
    </row>
    <row r="8" spans="1:36" x14ac:dyDescent="0.2">
      <c r="A8" s="73"/>
      <c r="B8" s="83" t="s">
        <v>112</v>
      </c>
      <c r="C8" s="71" t="str">
        <f t="shared" si="4"/>
        <v>6L</v>
      </c>
      <c r="D8" s="70" t="str">
        <f t="shared" si="5"/>
        <v>3L</v>
      </c>
      <c r="E8" s="69" t="str">
        <f t="shared" si="0"/>
        <v>USD6L3L18M_Quote</v>
      </c>
      <c r="F8" s="69" t="str">
        <f>_xll.qlSimpleQuote(E8,,RateTickValue,Permanent,Trigger,ObjectOverwrite)</f>
        <v>USD6L3L18M_Quote#0000</v>
      </c>
      <c r="G8" s="68" t="str">
        <f>_xll.ohRangeRetrieveError(F8)</f>
        <v/>
      </c>
      <c r="H8" s="67"/>
      <c r="N8" s="348">
        <v>1.5</v>
      </c>
      <c r="O8" s="227" t="s">
        <v>112</v>
      </c>
      <c r="P8" s="276" t="str">
        <v>6L</v>
      </c>
      <c r="Q8" s="276" t="str">
        <v>3L</v>
      </c>
      <c r="R8" s="274" t="str">
        <f t="shared" si="1"/>
        <v>USD6L3L18M</v>
      </c>
      <c r="S8" s="226" t="str">
        <v>USD6L3L18M=ICAP</v>
      </c>
      <c r="T8" s="346" t="s">
        <v>219</v>
      </c>
      <c r="U8" s="346" t="s">
        <v>219</v>
      </c>
      <c r="V8" s="346" t="e">
        <f>_xll.qlMidEquivalent(T8,U8)</f>
        <v>#NUM!</v>
      </c>
      <c r="W8" s="221" t="b">
        <f t="shared" si="2"/>
        <v>0</v>
      </c>
      <c r="X8" s="347">
        <v>8.9499999999999993</v>
      </c>
      <c r="Y8" s="223"/>
      <c r="Z8" s="344">
        <v>10.229266416856504</v>
      </c>
      <c r="AA8" s="223"/>
      <c r="AB8" s="456">
        <v>8.9499999999999993</v>
      </c>
      <c r="AC8" s="220">
        <f>_xll.qlSimpleQuoteSetValue(F8,AB8/10000,Trigger)</f>
        <v>4.9999999999999047E-6</v>
      </c>
      <c r="AD8" s="189"/>
      <c r="AE8" s="19"/>
      <c r="AF8" s="79" t="s">
        <v>105</v>
      </c>
      <c r="AG8" s="78" t="s">
        <v>103</v>
      </c>
      <c r="AH8" s="77" t="s">
        <v>104</v>
      </c>
      <c r="AI8" s="19" t="str">
        <f t="shared" si="3"/>
        <v>18M</v>
      </c>
      <c r="AJ8" s="340" t="e">
        <f>((Swap6M!AB8-Swap3M!AB8)*100-AB8)/10000</f>
        <v>#NUM!</v>
      </c>
    </row>
    <row r="9" spans="1:36" ht="13.5" thickBot="1" x14ac:dyDescent="0.25">
      <c r="A9" s="73"/>
      <c r="B9" s="83" t="s">
        <v>111</v>
      </c>
      <c r="C9" s="71" t="str">
        <f t="shared" si="4"/>
        <v>6L</v>
      </c>
      <c r="D9" s="70" t="str">
        <f t="shared" si="5"/>
        <v>3L</v>
      </c>
      <c r="E9" s="69" t="str">
        <f t="shared" si="0"/>
        <v>USD6L3L21M_Quote</v>
      </c>
      <c r="F9" s="69" t="str">
        <f>_xll.qlSimpleQuote(E9,,RateTickValue,Permanent,Trigger,ObjectOverwrite)</f>
        <v>USD6L3L21M_Quote#0000</v>
      </c>
      <c r="G9" s="68" t="str">
        <f>_xll.ohRangeRetrieveError(F9)</f>
        <v/>
      </c>
      <c r="H9" s="67"/>
      <c r="N9" s="348">
        <v>1.75</v>
      </c>
      <c r="O9" s="227" t="s">
        <v>111</v>
      </c>
      <c r="P9" s="276" t="str">
        <v>6L</v>
      </c>
      <c r="Q9" s="276" t="str">
        <v>3L</v>
      </c>
      <c r="R9" s="274" t="str">
        <f t="shared" si="1"/>
        <v>USD6L3L21M</v>
      </c>
      <c r="S9" s="226" t="str">
        <v>USD6L3L21M=ICAP</v>
      </c>
      <c r="T9" s="346" t="s">
        <v>219</v>
      </c>
      <c r="U9" s="346" t="s">
        <v>219</v>
      </c>
      <c r="V9" s="346" t="e">
        <f>_xll.qlMidEquivalent(T9,U9)</f>
        <v>#NUM!</v>
      </c>
      <c r="W9" s="221" t="b">
        <f t="shared" si="2"/>
        <v>0</v>
      </c>
      <c r="X9" s="347">
        <v>8.9156250000000004</v>
      </c>
      <c r="Y9" s="223"/>
      <c r="Z9" s="344">
        <v>10.307391416856504</v>
      </c>
      <c r="AA9" s="223"/>
      <c r="AB9" s="456">
        <v>8.9156250000000004</v>
      </c>
      <c r="AC9" s="220">
        <f>_xll.qlSimpleQuoteSetValue(F9,AB9/10000,Trigger)</f>
        <v>1.5624999999999363E-6</v>
      </c>
      <c r="AD9" s="189"/>
      <c r="AE9" s="19"/>
      <c r="AF9" s="76" t="s">
        <v>100</v>
      </c>
      <c r="AG9" s="75" t="s">
        <v>104</v>
      </c>
      <c r="AH9" s="74" t="s">
        <v>103</v>
      </c>
      <c r="AI9" s="19" t="str">
        <f t="shared" si="3"/>
        <v>21M</v>
      </c>
      <c r="AJ9" s="340" t="e">
        <f>((Swap6M!AB9-Swap3M!AB9)*100-AB9)/10000</f>
        <v>#NUM!</v>
      </c>
    </row>
    <row r="10" spans="1:36" x14ac:dyDescent="0.2">
      <c r="A10" s="73"/>
      <c r="B10" s="72" t="s">
        <v>87</v>
      </c>
      <c r="C10" s="71" t="str">
        <f t="shared" si="4"/>
        <v>6L</v>
      </c>
      <c r="D10" s="70" t="str">
        <f t="shared" si="5"/>
        <v>3L</v>
      </c>
      <c r="E10" s="69" t="str">
        <f t="shared" si="0"/>
        <v>USD6L3L2Y_Quote</v>
      </c>
      <c r="F10" s="69" t="str">
        <f>_xll.qlSimpleQuote(E10,,RateTickValue,Permanent,Trigger,ObjectOverwrite)</f>
        <v>USD6L3L2Y_Quote#0000</v>
      </c>
      <c r="G10" s="68" t="str">
        <f>_xll.ohRangeRetrieveError(F10)</f>
        <v/>
      </c>
      <c r="H10" s="67"/>
      <c r="J10" s="82" t="s">
        <v>110</v>
      </c>
      <c r="K10" s="81" t="s">
        <v>103</v>
      </c>
      <c r="L10" s="80" t="s">
        <v>104</v>
      </c>
      <c r="N10" s="116">
        <v>2</v>
      </c>
      <c r="O10" s="227" t="s">
        <v>87</v>
      </c>
      <c r="P10" s="276" t="str">
        <v>6L</v>
      </c>
      <c r="Q10" s="276" t="str">
        <v>3L</v>
      </c>
      <c r="R10" s="274" t="str">
        <f t="shared" si="1"/>
        <v>USD6L3L2Y</v>
      </c>
      <c r="S10" s="226" t="str">
        <v>USD6L3L2Y=ICAP</v>
      </c>
      <c r="T10" s="346">
        <v>8.9</v>
      </c>
      <c r="U10" s="346">
        <v>0</v>
      </c>
      <c r="V10" s="346">
        <f>_xll.qlMidEquivalent(T10,U10)</f>
        <v>8.9</v>
      </c>
      <c r="W10" s="221" t="b">
        <f t="shared" si="2"/>
        <v>1</v>
      </c>
      <c r="X10" s="347">
        <v>8.9</v>
      </c>
      <c r="Y10" s="223"/>
      <c r="Z10" s="344">
        <v>10.4</v>
      </c>
      <c r="AA10" s="223"/>
      <c r="AB10" s="456">
        <v>8.9</v>
      </c>
      <c r="AC10" s="220">
        <f>_xll.qlSimpleQuoteSetValue(F10,AB10/10000,Trigger)</f>
        <v>0</v>
      </c>
      <c r="AD10" s="189"/>
      <c r="AE10" s="19"/>
      <c r="AF10" s="19"/>
      <c r="AG10" s="19"/>
      <c r="AH10" s="19"/>
      <c r="AI10" s="19" t="str">
        <f t="shared" si="3"/>
        <v>2Y</v>
      </c>
      <c r="AJ10" s="340" t="e">
        <f>((Swap6M!AB10-Swap3M!AB10)*100-AB10)/10000</f>
        <v>#NUM!</v>
      </c>
    </row>
    <row r="11" spans="1:36" x14ac:dyDescent="0.2">
      <c r="A11" s="73"/>
      <c r="B11" s="72" t="s">
        <v>86</v>
      </c>
      <c r="C11" s="71" t="str">
        <f t="shared" si="4"/>
        <v>6L</v>
      </c>
      <c r="D11" s="70" t="str">
        <f t="shared" si="5"/>
        <v>3L</v>
      </c>
      <c r="E11" s="69" t="str">
        <f t="shared" si="0"/>
        <v>USD6L3L3Y_Quote</v>
      </c>
      <c r="F11" s="69" t="str">
        <f>_xll.qlSimpleQuote(E11,,RateTickValue,Permanent,Trigger,ObjectOverwrite)</f>
        <v>USD6L3L3Y_Quote#0000</v>
      </c>
      <c r="G11" s="68" t="str">
        <f>_xll.ohRangeRetrieveError(F11)</f>
        <v/>
      </c>
      <c r="H11" s="67"/>
      <c r="J11" s="79" t="s">
        <v>109</v>
      </c>
      <c r="K11" s="78" t="s">
        <v>115</v>
      </c>
      <c r="L11" s="77" t="s">
        <v>107</v>
      </c>
      <c r="N11" s="116">
        <v>3</v>
      </c>
      <c r="O11" s="227" t="s">
        <v>86</v>
      </c>
      <c r="P11" s="276" t="str">
        <v>6L</v>
      </c>
      <c r="Q11" s="276" t="str">
        <v>3L</v>
      </c>
      <c r="R11" s="274" t="str">
        <f t="shared" si="1"/>
        <v>USD6L3L3Y</v>
      </c>
      <c r="S11" s="226" t="str">
        <v>USD6L3L3Y=ICAP</v>
      </c>
      <c r="T11" s="346">
        <v>8.9</v>
      </c>
      <c r="U11" s="346">
        <v>0</v>
      </c>
      <c r="V11" s="346">
        <f>_xll.qlMidEquivalent(T11,U11)</f>
        <v>8.9</v>
      </c>
      <c r="W11" s="221" t="b">
        <f t="shared" si="2"/>
        <v>1</v>
      </c>
      <c r="X11" s="347">
        <v>8.9</v>
      </c>
      <c r="Y11" s="223"/>
      <c r="Z11" s="344">
        <v>10.7</v>
      </c>
      <c r="AA11" s="223"/>
      <c r="AB11" s="456">
        <v>8.9</v>
      </c>
      <c r="AC11" s="220">
        <f>_xll.qlSimpleQuoteSetValue(F11,AB11/10000,Trigger)</f>
        <v>0</v>
      </c>
      <c r="AD11" s="189"/>
      <c r="AE11" s="19"/>
      <c r="AF11" s="19"/>
      <c r="AG11" s="19"/>
      <c r="AH11" s="19"/>
      <c r="AI11" s="19" t="str">
        <f t="shared" si="3"/>
        <v>3Y</v>
      </c>
      <c r="AJ11" s="340" t="e">
        <f>((Swap6M!AB11-Swap3M!AB11)*100-AB11)/10000</f>
        <v>#NUM!</v>
      </c>
    </row>
    <row r="12" spans="1:36" x14ac:dyDescent="0.2">
      <c r="A12" s="73"/>
      <c r="B12" s="72" t="s">
        <v>85</v>
      </c>
      <c r="C12" s="71" t="str">
        <f t="shared" si="4"/>
        <v>6L</v>
      </c>
      <c r="D12" s="70" t="str">
        <f t="shared" si="5"/>
        <v>3L</v>
      </c>
      <c r="E12" s="69" t="str">
        <f t="shared" si="0"/>
        <v>USD6L3L4Y_Quote</v>
      </c>
      <c r="F12" s="69" t="str">
        <f>_xll.qlSimpleQuote(E12,,RateTickValue,Permanent,Trigger,ObjectOverwrite)</f>
        <v>USD6L3L4Y_Quote#0000</v>
      </c>
      <c r="G12" s="68" t="str">
        <f>_xll.ohRangeRetrieveError(F12)</f>
        <v/>
      </c>
      <c r="H12" s="67"/>
      <c r="J12" s="79" t="s">
        <v>106</v>
      </c>
      <c r="K12" s="78" t="s">
        <v>103</v>
      </c>
      <c r="L12" s="77" t="s">
        <v>104</v>
      </c>
      <c r="N12" s="116">
        <v>4</v>
      </c>
      <c r="O12" s="227" t="s">
        <v>85</v>
      </c>
      <c r="P12" s="276" t="str">
        <v>6L</v>
      </c>
      <c r="Q12" s="276" t="str">
        <v>3L</v>
      </c>
      <c r="R12" s="274" t="str">
        <f t="shared" si="1"/>
        <v>USD6L3L4Y</v>
      </c>
      <c r="S12" s="226" t="str">
        <v>USD6L3L4Y=ICAP</v>
      </c>
      <c r="T12" s="346">
        <v>8.9</v>
      </c>
      <c r="U12" s="346">
        <v>0</v>
      </c>
      <c r="V12" s="346">
        <f>_xll.qlMidEquivalent(T12,U12)</f>
        <v>8.9</v>
      </c>
      <c r="W12" s="221" t="b">
        <f t="shared" si="2"/>
        <v>1</v>
      </c>
      <c r="X12" s="347">
        <v>8.9</v>
      </c>
      <c r="Y12" s="223"/>
      <c r="Z12" s="344">
        <v>10.8</v>
      </c>
      <c r="AA12" s="223"/>
      <c r="AB12" s="456">
        <v>8.9</v>
      </c>
      <c r="AC12" s="220">
        <f>_xll.qlSimpleQuoteSetValue(F12,AB12/10000,Trigger)</f>
        <v>0</v>
      </c>
      <c r="AD12" s="189"/>
      <c r="AE12" s="19"/>
      <c r="AF12" s="19"/>
      <c r="AG12" s="19"/>
      <c r="AH12" s="19"/>
      <c r="AI12" s="19" t="str">
        <f t="shared" si="3"/>
        <v>4Y</v>
      </c>
      <c r="AJ12" s="340" t="e">
        <f>((Swap6M!AB12-Swap3M!AB12)*100-AB12)/10000</f>
        <v>#NUM!</v>
      </c>
    </row>
    <row r="13" spans="1:36" x14ac:dyDescent="0.2">
      <c r="A13" s="73"/>
      <c r="B13" s="72" t="s">
        <v>84</v>
      </c>
      <c r="C13" s="71" t="str">
        <f t="shared" si="4"/>
        <v>6L</v>
      </c>
      <c r="D13" s="70" t="str">
        <f t="shared" si="5"/>
        <v>3L</v>
      </c>
      <c r="E13" s="69" t="str">
        <f t="shared" si="0"/>
        <v>USD6L3L5Y_Quote</v>
      </c>
      <c r="F13" s="69" t="str">
        <f>_xll.qlSimpleQuote(E13,,RateTickValue,Permanent,Trigger,ObjectOverwrite)</f>
        <v>USD6L3L5Y_Quote#0000</v>
      </c>
      <c r="G13" s="68" t="str">
        <f>_xll.ohRangeRetrieveError(F13)</f>
        <v/>
      </c>
      <c r="H13" s="67"/>
      <c r="J13" s="79" t="s">
        <v>105</v>
      </c>
      <c r="K13" s="78" t="s">
        <v>103</v>
      </c>
      <c r="L13" s="77" t="s">
        <v>104</v>
      </c>
      <c r="N13" s="116">
        <v>5</v>
      </c>
      <c r="O13" s="227" t="s">
        <v>84</v>
      </c>
      <c r="P13" s="276" t="str">
        <v>6L</v>
      </c>
      <c r="Q13" s="276" t="str">
        <v>3L</v>
      </c>
      <c r="R13" s="274" t="str">
        <f t="shared" si="1"/>
        <v>USD6L3L5Y</v>
      </c>
      <c r="S13" s="226" t="str">
        <v>USD6L3L5Y=ICAP</v>
      </c>
      <c r="T13" s="346">
        <v>9</v>
      </c>
      <c r="U13" s="346">
        <v>0</v>
      </c>
      <c r="V13" s="346">
        <f>_xll.qlMidEquivalent(T13,U13)</f>
        <v>9</v>
      </c>
      <c r="W13" s="221" t="b">
        <f t="shared" si="2"/>
        <v>1</v>
      </c>
      <c r="X13" s="347">
        <v>9</v>
      </c>
      <c r="Y13" s="223"/>
      <c r="Z13" s="344">
        <v>10.8</v>
      </c>
      <c r="AA13" s="223"/>
      <c r="AB13" s="456">
        <v>9</v>
      </c>
      <c r="AC13" s="220">
        <f>_xll.qlSimpleQuoteSetValue(F13,AB13/10000,Trigger)</f>
        <v>9.9999999999999178E-6</v>
      </c>
      <c r="AD13" s="189"/>
      <c r="AE13" s="19"/>
      <c r="AF13" s="19"/>
      <c r="AG13" s="19"/>
      <c r="AH13" s="19"/>
      <c r="AI13" s="19" t="str">
        <f t="shared" si="3"/>
        <v>5Y</v>
      </c>
      <c r="AJ13" s="340" t="e">
        <f>((Swap6M!AB13-Swap3M!AB13)*100-AB13)/10000</f>
        <v>#NUM!</v>
      </c>
    </row>
    <row r="14" spans="1:36" ht="13.5" thickBot="1" x14ac:dyDescent="0.25">
      <c r="A14" s="73"/>
      <c r="B14" s="72" t="s">
        <v>83</v>
      </c>
      <c r="C14" s="71" t="str">
        <f t="shared" si="4"/>
        <v>6L</v>
      </c>
      <c r="D14" s="70" t="str">
        <f t="shared" si="5"/>
        <v>3L</v>
      </c>
      <c r="E14" s="69" t="str">
        <f t="shared" si="0"/>
        <v>USD6L3L6Y_Quote</v>
      </c>
      <c r="F14" s="69" t="str">
        <f>_xll.qlSimpleQuote(E14,,RateTickValue,Permanent,Trigger,ObjectOverwrite)</f>
        <v>USD6L3L6Y_Quote#0000</v>
      </c>
      <c r="G14" s="68" t="str">
        <f>_xll.ohRangeRetrieveError(F14)</f>
        <v/>
      </c>
      <c r="H14" s="67"/>
      <c r="J14" s="76" t="s">
        <v>100</v>
      </c>
      <c r="K14" s="75" t="s">
        <v>104</v>
      </c>
      <c r="L14" s="74" t="s">
        <v>103</v>
      </c>
      <c r="N14" s="116">
        <v>6</v>
      </c>
      <c r="O14" s="227" t="s">
        <v>83</v>
      </c>
      <c r="P14" s="276" t="str">
        <v>6L</v>
      </c>
      <c r="Q14" s="276" t="str">
        <v>3L</v>
      </c>
      <c r="R14" s="274" t="str">
        <f t="shared" si="1"/>
        <v>USD6L3L6Y</v>
      </c>
      <c r="S14" s="226" t="str">
        <v>USD6L3L6Y=ICAP</v>
      </c>
      <c r="T14" s="346">
        <v>9.1</v>
      </c>
      <c r="U14" s="346">
        <v>0</v>
      </c>
      <c r="V14" s="346">
        <f>_xll.qlMidEquivalent(T14,U14)</f>
        <v>9.1</v>
      </c>
      <c r="W14" s="221" t="b">
        <f t="shared" si="2"/>
        <v>1</v>
      </c>
      <c r="X14" s="347">
        <v>9.1</v>
      </c>
      <c r="Y14" s="223"/>
      <c r="Z14" s="344">
        <v>11</v>
      </c>
      <c r="AA14" s="223"/>
      <c r="AB14" s="456">
        <v>9.1</v>
      </c>
      <c r="AC14" s="220">
        <f>_xll.qlSimpleQuoteSetValue(F14,AB14/10000,Trigger)</f>
        <v>0</v>
      </c>
      <c r="AD14" s="189"/>
      <c r="AE14" s="19"/>
      <c r="AF14" s="19"/>
      <c r="AG14" s="19"/>
      <c r="AH14" s="19"/>
      <c r="AI14" s="19" t="str">
        <f t="shared" si="3"/>
        <v>6Y</v>
      </c>
      <c r="AJ14" s="340" t="e">
        <f>((Swap6M!AB14-Swap3M!AB14)*100-AB14)/10000</f>
        <v>#NUM!</v>
      </c>
    </row>
    <row r="15" spans="1:36" x14ac:dyDescent="0.2">
      <c r="A15" s="73"/>
      <c r="B15" s="72" t="s">
        <v>82</v>
      </c>
      <c r="C15" s="71" t="str">
        <f t="shared" si="4"/>
        <v>6L</v>
      </c>
      <c r="D15" s="70" t="str">
        <f t="shared" si="5"/>
        <v>3L</v>
      </c>
      <c r="E15" s="69" t="str">
        <f t="shared" si="0"/>
        <v>USD6L3L7Y_Quote</v>
      </c>
      <c r="F15" s="69" t="str">
        <f>_xll.qlSimpleQuote(E15,,RateTickValue,Permanent,Trigger,ObjectOverwrite)</f>
        <v>USD6L3L7Y_Quote#0000</v>
      </c>
      <c r="G15" s="68" t="str">
        <f>_xll.ohRangeRetrieveError(F15)</f>
        <v/>
      </c>
      <c r="H15" s="67"/>
      <c r="N15" s="116">
        <v>7</v>
      </c>
      <c r="O15" s="227" t="s">
        <v>82</v>
      </c>
      <c r="P15" s="276" t="str">
        <v>6L</v>
      </c>
      <c r="Q15" s="276" t="str">
        <v>3L</v>
      </c>
      <c r="R15" s="274" t="str">
        <f t="shared" si="1"/>
        <v>USD6L3L7Y</v>
      </c>
      <c r="S15" s="226" t="str">
        <v>USD6L3L7Y=ICAP</v>
      </c>
      <c r="T15" s="346">
        <v>9.3000000000000007</v>
      </c>
      <c r="U15" s="346">
        <v>0</v>
      </c>
      <c r="V15" s="346">
        <f>_xll.qlMidEquivalent(T15,U15)</f>
        <v>9.3000000000000007</v>
      </c>
      <c r="W15" s="221" t="b">
        <f t="shared" si="2"/>
        <v>1</v>
      </c>
      <c r="X15" s="347">
        <v>9.3000000000000007</v>
      </c>
      <c r="Y15" s="223"/>
      <c r="Z15" s="344">
        <v>11.1</v>
      </c>
      <c r="AA15" s="223"/>
      <c r="AB15" s="456">
        <v>9.3000000000000007</v>
      </c>
      <c r="AC15" s="220">
        <f>_xll.qlSimpleQuoteSetValue(F15,AB15/10000,Trigger)</f>
        <v>0</v>
      </c>
      <c r="AD15" s="189"/>
      <c r="AE15" s="19"/>
      <c r="AF15" s="19"/>
      <c r="AG15" s="19"/>
      <c r="AH15" s="19"/>
      <c r="AI15" s="19" t="str">
        <f t="shared" si="3"/>
        <v>7Y</v>
      </c>
      <c r="AJ15" s="340" t="e">
        <f>((Swap6M!AB15-Swap3M!AB15)*100-AB15)/10000</f>
        <v>#NUM!</v>
      </c>
    </row>
    <row r="16" spans="1:36" x14ac:dyDescent="0.2">
      <c r="A16" s="73"/>
      <c r="B16" s="72" t="s">
        <v>81</v>
      </c>
      <c r="C16" s="71" t="str">
        <f t="shared" si="4"/>
        <v>6L</v>
      </c>
      <c r="D16" s="70" t="str">
        <f t="shared" si="5"/>
        <v>3L</v>
      </c>
      <c r="E16" s="69" t="str">
        <f t="shared" si="0"/>
        <v>USD6L3L8Y_Quote</v>
      </c>
      <c r="F16" s="69" t="str">
        <f>_xll.qlSimpleQuote(E16,,RateTickValue,Permanent,Trigger,ObjectOverwrite)</f>
        <v>USD6L3L8Y_Quote#0000</v>
      </c>
      <c r="G16" s="68" t="str">
        <f>_xll.ohRangeRetrieveError(F16)</f>
        <v/>
      </c>
      <c r="H16" s="67"/>
      <c r="N16" s="116">
        <v>8</v>
      </c>
      <c r="O16" s="227" t="s">
        <v>81</v>
      </c>
      <c r="P16" s="276" t="str">
        <v>6L</v>
      </c>
      <c r="Q16" s="276" t="str">
        <v>3L</v>
      </c>
      <c r="R16" s="274" t="str">
        <f t="shared" si="1"/>
        <v>USD6L3L8Y</v>
      </c>
      <c r="S16" s="226" t="str">
        <v>USD6L3L8Y=ICAP</v>
      </c>
      <c r="T16" s="346">
        <v>9.5</v>
      </c>
      <c r="U16" s="346">
        <v>0</v>
      </c>
      <c r="V16" s="346">
        <f>_xll.qlMidEquivalent(T16,U16)</f>
        <v>9.5</v>
      </c>
      <c r="W16" s="221" t="b">
        <f t="shared" si="2"/>
        <v>1</v>
      </c>
      <c r="X16" s="347">
        <v>9.5</v>
      </c>
      <c r="Y16" s="223"/>
      <c r="Z16" s="344">
        <v>11.2</v>
      </c>
      <c r="AA16" s="223"/>
      <c r="AB16" s="456">
        <v>9.5</v>
      </c>
      <c r="AC16" s="220">
        <f>_xll.qlSimpleQuoteSetValue(F16,AB16/10000,Trigger)</f>
        <v>0</v>
      </c>
      <c r="AD16" s="189"/>
      <c r="AE16" s="19"/>
      <c r="AF16" s="19"/>
      <c r="AG16" s="19"/>
      <c r="AH16" s="19"/>
      <c r="AI16" s="19" t="str">
        <f t="shared" si="3"/>
        <v>8Y</v>
      </c>
      <c r="AJ16" s="340" t="e">
        <f>((Swap6M!AB16-Swap3M!AB16)*100-AB16)/10000</f>
        <v>#NUM!</v>
      </c>
    </row>
    <row r="17" spans="1:36" x14ac:dyDescent="0.2">
      <c r="A17" s="73"/>
      <c r="B17" s="72" t="s">
        <v>80</v>
      </c>
      <c r="C17" s="71" t="str">
        <f t="shared" si="4"/>
        <v>6L</v>
      </c>
      <c r="D17" s="70" t="str">
        <f t="shared" si="5"/>
        <v>3L</v>
      </c>
      <c r="E17" s="69" t="str">
        <f t="shared" si="0"/>
        <v>USD6L3L9Y_Quote</v>
      </c>
      <c r="F17" s="69" t="str">
        <f>_xll.qlSimpleQuote(E17,,RateTickValue,Permanent,Trigger,ObjectOverwrite)</f>
        <v>USD6L3L9Y_Quote#0000</v>
      </c>
      <c r="G17" s="68" t="str">
        <f>_xll.ohRangeRetrieveError(F17)</f>
        <v/>
      </c>
      <c r="H17" s="67"/>
      <c r="N17" s="116">
        <v>9</v>
      </c>
      <c r="O17" s="227" t="s">
        <v>80</v>
      </c>
      <c r="P17" s="276" t="str">
        <v>6L</v>
      </c>
      <c r="Q17" s="276" t="str">
        <v>3L</v>
      </c>
      <c r="R17" s="274" t="str">
        <f t="shared" si="1"/>
        <v>USD6L3L9Y</v>
      </c>
      <c r="S17" s="226" t="str">
        <v>USD6L3L9Y=ICAP</v>
      </c>
      <c r="T17" s="346">
        <v>9.6999999999999993</v>
      </c>
      <c r="U17" s="346">
        <v>0</v>
      </c>
      <c r="V17" s="346">
        <f>_xll.qlMidEquivalent(T17,U17)</f>
        <v>9.6999999999999993</v>
      </c>
      <c r="W17" s="221" t="b">
        <f t="shared" si="2"/>
        <v>1</v>
      </c>
      <c r="X17" s="347">
        <v>9.6999999999999993</v>
      </c>
      <c r="Y17" s="223"/>
      <c r="Z17" s="344">
        <v>11.2</v>
      </c>
      <c r="AA17" s="223"/>
      <c r="AB17" s="456">
        <v>9.6999999999999993</v>
      </c>
      <c r="AC17" s="220">
        <f>_xll.qlSimpleQuoteSetValue(F17,AB17/10000,Trigger)</f>
        <v>0</v>
      </c>
      <c r="AD17" s="189"/>
      <c r="AE17" s="19"/>
      <c r="AF17" s="19"/>
      <c r="AG17" s="19"/>
      <c r="AH17" s="19"/>
      <c r="AI17" s="19" t="str">
        <f t="shared" si="3"/>
        <v>9Y</v>
      </c>
      <c r="AJ17" s="340" t="e">
        <f>((Swap6M!AB17-Swap3M!AB17)*100-AB17)/10000</f>
        <v>#NUM!</v>
      </c>
    </row>
    <row r="18" spans="1:36" x14ac:dyDescent="0.2">
      <c r="A18" s="73"/>
      <c r="B18" s="72" t="s">
        <v>79</v>
      </c>
      <c r="C18" s="71" t="str">
        <f t="shared" si="4"/>
        <v>6L</v>
      </c>
      <c r="D18" s="70" t="str">
        <f t="shared" si="5"/>
        <v>3L</v>
      </c>
      <c r="E18" s="69" t="str">
        <f t="shared" si="0"/>
        <v>USD6L3L10Y_Quote</v>
      </c>
      <c r="F18" s="69" t="str">
        <f>_xll.qlSimpleQuote(E18,,RateTickValue,Permanent,Trigger,ObjectOverwrite)</f>
        <v>USD6L3L10Y_Quote#0000</v>
      </c>
      <c r="G18" s="68" t="str">
        <f>_xll.ohRangeRetrieveError(F18)</f>
        <v/>
      </c>
      <c r="H18" s="67"/>
      <c r="N18" s="116">
        <v>10</v>
      </c>
      <c r="O18" s="227" t="s">
        <v>79</v>
      </c>
      <c r="P18" s="276" t="str">
        <v>6L</v>
      </c>
      <c r="Q18" s="276" t="str">
        <v>3L</v>
      </c>
      <c r="R18" s="274" t="str">
        <f t="shared" si="1"/>
        <v>USD6L3L10Y</v>
      </c>
      <c r="S18" s="226" t="str">
        <v>USD6L3L10Y=ICAP</v>
      </c>
      <c r="T18" s="346">
        <v>9.8000000000000007</v>
      </c>
      <c r="U18" s="346">
        <v>0</v>
      </c>
      <c r="V18" s="346">
        <f>_xll.qlMidEquivalent(T18,U18)</f>
        <v>9.8000000000000007</v>
      </c>
      <c r="W18" s="221" t="b">
        <f t="shared" si="2"/>
        <v>1</v>
      </c>
      <c r="X18" s="347">
        <v>9.8000000000000007</v>
      </c>
      <c r="Y18" s="223"/>
      <c r="Z18" s="344">
        <v>11.3</v>
      </c>
      <c r="AA18" s="223"/>
      <c r="AB18" s="456">
        <v>9.8000000000000007</v>
      </c>
      <c r="AC18" s="220">
        <f>_xll.qlSimpleQuoteSetValue(F18,AB18/10000,Trigger)</f>
        <v>0</v>
      </c>
      <c r="AD18" s="189"/>
      <c r="AE18" s="19"/>
      <c r="AF18" s="19"/>
      <c r="AG18" s="19"/>
      <c r="AH18" s="19"/>
      <c r="AI18" s="19" t="str">
        <f t="shared" si="3"/>
        <v>10Y</v>
      </c>
      <c r="AJ18" s="340" t="e">
        <f>((Swap6M!AB18-Swap3M!AB18)*100-AB18)/10000</f>
        <v>#NUM!</v>
      </c>
    </row>
    <row r="19" spans="1:36" x14ac:dyDescent="0.2">
      <c r="A19" s="73"/>
      <c r="B19" s="72" t="s">
        <v>78</v>
      </c>
      <c r="C19" s="71" t="str">
        <f t="shared" si="4"/>
        <v>6L</v>
      </c>
      <c r="D19" s="70" t="str">
        <f t="shared" si="5"/>
        <v>3L</v>
      </c>
      <c r="E19" s="69" t="str">
        <f t="shared" si="0"/>
        <v>USD6L3L11Y_Quote</v>
      </c>
      <c r="F19" s="69" t="str">
        <f>_xll.qlSimpleQuote(E19,,RateTickValue,Permanent,Trigger,ObjectOverwrite)</f>
        <v>USD6L3L11Y_Quote#0000</v>
      </c>
      <c r="G19" s="68" t="str">
        <f>_xll.ohRangeRetrieveError(F19)</f>
        <v/>
      </c>
      <c r="H19" s="67"/>
      <c r="N19" s="116">
        <v>11</v>
      </c>
      <c r="O19" s="227" t="s">
        <v>78</v>
      </c>
      <c r="P19" s="276" t="str">
        <v>6L</v>
      </c>
      <c r="Q19" s="276" t="str">
        <v>3L</v>
      </c>
      <c r="R19" s="274" t="str">
        <f t="shared" si="1"/>
        <v>USD6L3L11Y</v>
      </c>
      <c r="S19" s="226" t="str">
        <v>USD6L3L11Y=ICAP</v>
      </c>
      <c r="T19" s="346" t="s">
        <v>219</v>
      </c>
      <c r="U19" s="346" t="s">
        <v>219</v>
      </c>
      <c r="V19" s="346" t="e">
        <f>_xll.qlMidEquivalent(T19,U19)</f>
        <v>#NUM!</v>
      </c>
      <c r="W19" s="221" t="b">
        <f t="shared" si="2"/>
        <v>0</v>
      </c>
      <c r="X19" s="347">
        <v>9.9013782561474493</v>
      </c>
      <c r="Y19" s="223"/>
      <c r="Z19" s="344">
        <v>11.3</v>
      </c>
      <c r="AA19" s="223"/>
      <c r="AB19" s="456">
        <v>9.9013782561474493</v>
      </c>
      <c r="AC19" s="220">
        <f>_xll.qlSimpleQuoteSetValue(F19,AB19/10000,Trigger)</f>
        <v>-1.8516985917033449E-8</v>
      </c>
      <c r="AD19" s="189"/>
      <c r="AE19" s="19"/>
      <c r="AF19" s="19"/>
      <c r="AG19" s="19"/>
      <c r="AH19" s="19"/>
      <c r="AI19" s="19" t="str">
        <f t="shared" si="3"/>
        <v>11Y</v>
      </c>
      <c r="AJ19" s="340" t="e">
        <f>((Swap6M!AB19-Swap3M!AB19)*100-AB19)/10000</f>
        <v>#NUM!</v>
      </c>
    </row>
    <row r="20" spans="1:36" x14ac:dyDescent="0.2">
      <c r="A20" s="73"/>
      <c r="B20" s="72" t="s">
        <v>77</v>
      </c>
      <c r="C20" s="71" t="str">
        <f t="shared" si="4"/>
        <v>6L</v>
      </c>
      <c r="D20" s="70" t="str">
        <f t="shared" si="5"/>
        <v>3L</v>
      </c>
      <c r="E20" s="69" t="str">
        <f t="shared" si="0"/>
        <v>USD6L3L12Y_Quote</v>
      </c>
      <c r="F20" s="69" t="str">
        <f>_xll.qlSimpleQuote(E20,,RateTickValue,Permanent,Trigger,ObjectOverwrite)</f>
        <v>USD6L3L12Y_Quote#0000</v>
      </c>
      <c r="G20" s="68" t="str">
        <f>_xll.ohRangeRetrieveError(F20)</f>
        <v/>
      </c>
      <c r="H20" s="67"/>
      <c r="N20" s="116">
        <v>12</v>
      </c>
      <c r="O20" s="227" t="s">
        <v>77</v>
      </c>
      <c r="P20" s="276" t="str">
        <v>6L</v>
      </c>
      <c r="Q20" s="276" t="str">
        <v>3L</v>
      </c>
      <c r="R20" s="274" t="str">
        <f t="shared" si="1"/>
        <v>USD6L3L12Y</v>
      </c>
      <c r="S20" s="226" t="str">
        <v>USD6L3L12Y=ICAP</v>
      </c>
      <c r="T20" s="346">
        <v>10</v>
      </c>
      <c r="U20" s="346">
        <v>0</v>
      </c>
      <c r="V20" s="346">
        <f>_xll.qlMidEquivalent(T20,U20)</f>
        <v>10</v>
      </c>
      <c r="W20" s="221" t="b">
        <f t="shared" si="2"/>
        <v>1</v>
      </c>
      <c r="X20" s="347">
        <v>10</v>
      </c>
      <c r="Y20" s="223"/>
      <c r="Z20" s="344">
        <v>11.3</v>
      </c>
      <c r="AA20" s="223"/>
      <c r="AB20" s="456">
        <v>10</v>
      </c>
      <c r="AC20" s="220">
        <f>_xll.qlSimpleQuoteSetValue(F20,AB20/10000,Trigger)</f>
        <v>0</v>
      </c>
      <c r="AD20" s="189"/>
      <c r="AE20" s="19"/>
      <c r="AF20" s="19"/>
      <c r="AG20" s="19"/>
      <c r="AH20" s="19"/>
      <c r="AI20" s="19" t="str">
        <f t="shared" si="3"/>
        <v>12Y</v>
      </c>
      <c r="AJ20" s="340" t="e">
        <f>((Swap6M!AB20-Swap3M!AB20)*100-AB20)/10000</f>
        <v>#NUM!</v>
      </c>
    </row>
    <row r="21" spans="1:36" x14ac:dyDescent="0.2">
      <c r="A21" s="73"/>
      <c r="B21" s="72" t="s">
        <v>76</v>
      </c>
      <c r="C21" s="71" t="str">
        <f t="shared" si="4"/>
        <v>6L</v>
      </c>
      <c r="D21" s="70" t="str">
        <f t="shared" si="5"/>
        <v>3L</v>
      </c>
      <c r="E21" s="69" t="str">
        <f t="shared" si="0"/>
        <v>USD6L3L13Y_Quote</v>
      </c>
      <c r="F21" s="69" t="str">
        <f>_xll.qlSimpleQuote(E21,,RateTickValue,Permanent,Trigger,ObjectOverwrite)</f>
        <v>USD6L3L13Y_Quote#0000</v>
      </c>
      <c r="G21" s="68" t="str">
        <f>_xll.ohRangeRetrieveError(F21)</f>
        <v/>
      </c>
      <c r="H21" s="67"/>
      <c r="N21" s="116">
        <v>13</v>
      </c>
      <c r="O21" s="227" t="s">
        <v>76</v>
      </c>
      <c r="P21" s="276" t="str">
        <v>6L</v>
      </c>
      <c r="Q21" s="276" t="str">
        <v>3L</v>
      </c>
      <c r="R21" s="274" t="str">
        <f t="shared" si="1"/>
        <v>USD6L3L13Y</v>
      </c>
      <c r="S21" s="226" t="str">
        <v>USD6L3L13Y=ICAP</v>
      </c>
      <c r="T21" s="346" t="s">
        <v>219</v>
      </c>
      <c r="U21" s="346" t="s">
        <v>219</v>
      </c>
      <c r="V21" s="346" t="e">
        <f>_xll.qlMidEquivalent(T21,U21)</f>
        <v>#NUM!</v>
      </c>
      <c r="W21" s="221" t="b">
        <f t="shared" si="2"/>
        <v>0</v>
      </c>
      <c r="X21" s="347">
        <v>10.057941609214001</v>
      </c>
      <c r="Y21" s="223"/>
      <c r="Z21" s="344">
        <v>11.325925925925926</v>
      </c>
      <c r="AA21" s="223"/>
      <c r="AB21" s="456">
        <v>10.057941609214001</v>
      </c>
      <c r="AC21" s="220">
        <f>_xll.qlSimpleQuoteSetValue(F21,AB21/10000,Trigger)</f>
        <v>9.3186335965375622E-9</v>
      </c>
      <c r="AD21" s="189"/>
      <c r="AE21" s="19"/>
      <c r="AF21" s="19"/>
      <c r="AG21" s="19"/>
      <c r="AH21" s="19"/>
      <c r="AI21" s="19" t="str">
        <f t="shared" si="3"/>
        <v>13Y</v>
      </c>
      <c r="AJ21" s="340" t="e">
        <f>((Swap6M!AB21-Swap3M!AB21)*100-AB21)/10000</f>
        <v>#NUM!</v>
      </c>
    </row>
    <row r="22" spans="1:36" x14ac:dyDescent="0.2">
      <c r="A22" s="73"/>
      <c r="B22" s="72" t="s">
        <v>75</v>
      </c>
      <c r="C22" s="71" t="str">
        <f t="shared" si="4"/>
        <v>6L</v>
      </c>
      <c r="D22" s="70" t="str">
        <f t="shared" si="5"/>
        <v>3L</v>
      </c>
      <c r="E22" s="69" t="str">
        <f t="shared" si="0"/>
        <v>USD6L3L14Y_Quote</v>
      </c>
      <c r="F22" s="69" t="str">
        <f>_xll.qlSimpleQuote(E22,,RateTickValue,Permanent,Trigger,ObjectOverwrite)</f>
        <v>USD6L3L14Y_Quote#0000</v>
      </c>
      <c r="G22" s="68" t="str">
        <f>_xll.ohRangeRetrieveError(F22)</f>
        <v/>
      </c>
      <c r="H22" s="67"/>
      <c r="N22" s="116">
        <v>14</v>
      </c>
      <c r="O22" s="227" t="s">
        <v>75</v>
      </c>
      <c r="P22" s="276" t="str">
        <v>6L</v>
      </c>
      <c r="Q22" s="276" t="str">
        <v>3L</v>
      </c>
      <c r="R22" s="274" t="str">
        <f t="shared" si="1"/>
        <v>USD6L3L14Y</v>
      </c>
      <c r="S22" s="226" t="str">
        <v>USD6L3L14Y=ICAP</v>
      </c>
      <c r="T22" s="346" t="s">
        <v>219</v>
      </c>
      <c r="U22" s="346" t="s">
        <v>219</v>
      </c>
      <c r="V22" s="346" t="e">
        <f>_xll.qlMidEquivalent(T22,U22)</f>
        <v>#NUM!</v>
      </c>
      <c r="W22" s="221" t="b">
        <f t="shared" si="2"/>
        <v>0</v>
      </c>
      <c r="X22" s="347">
        <v>10.084317123951273</v>
      </c>
      <c r="Y22" s="223"/>
      <c r="Z22" s="344">
        <v>11.374074074074075</v>
      </c>
      <c r="AA22" s="223"/>
      <c r="AB22" s="456">
        <v>10.084317123951273</v>
      </c>
      <c r="AC22" s="220">
        <f>_xll.qlSimpleQuoteSetValue(F22,AB22/10000,Trigger)</f>
        <v>6.6344619626627216E-9</v>
      </c>
      <c r="AD22" s="189"/>
      <c r="AE22" s="19"/>
      <c r="AF22" s="19"/>
      <c r="AG22" s="19"/>
      <c r="AH22" s="19"/>
      <c r="AI22" s="19" t="str">
        <f t="shared" si="3"/>
        <v>14Y</v>
      </c>
      <c r="AJ22" s="340" t="e">
        <f>((Swap6M!AB22-Swap3M!AB22)*100-AB22)/10000</f>
        <v>#NUM!</v>
      </c>
    </row>
    <row r="23" spans="1:36" x14ac:dyDescent="0.2">
      <c r="A23" s="73"/>
      <c r="B23" s="72" t="s">
        <v>74</v>
      </c>
      <c r="C23" s="71" t="str">
        <f t="shared" si="4"/>
        <v>6L</v>
      </c>
      <c r="D23" s="70" t="str">
        <f t="shared" si="5"/>
        <v>3L</v>
      </c>
      <c r="E23" s="69" t="str">
        <f t="shared" si="0"/>
        <v>USD6L3L15Y_Quote</v>
      </c>
      <c r="F23" s="69" t="str">
        <f>_xll.qlSimpleQuote(E23,,RateTickValue,Permanent,Trigger,ObjectOverwrite)</f>
        <v>USD6L3L15Y_Quote#0000</v>
      </c>
      <c r="G23" s="68" t="str">
        <f>_xll.ohRangeRetrieveError(F23)</f>
        <v/>
      </c>
      <c r="H23" s="67"/>
      <c r="N23" s="116">
        <v>15</v>
      </c>
      <c r="O23" s="227" t="s">
        <v>74</v>
      </c>
      <c r="P23" s="276" t="str">
        <v>6L</v>
      </c>
      <c r="Q23" s="276" t="str">
        <v>3L</v>
      </c>
      <c r="R23" s="274" t="str">
        <f t="shared" si="1"/>
        <v>USD6L3L15Y</v>
      </c>
      <c r="S23" s="226" t="str">
        <v>USD6L3L15Y=ICAP</v>
      </c>
      <c r="T23" s="346">
        <v>10.1</v>
      </c>
      <c r="U23" s="346">
        <v>0</v>
      </c>
      <c r="V23" s="346">
        <f>_xll.qlMidEquivalent(T23,U23)</f>
        <v>10.1</v>
      </c>
      <c r="W23" s="221" t="b">
        <f t="shared" si="2"/>
        <v>1</v>
      </c>
      <c r="X23" s="347">
        <v>10.1</v>
      </c>
      <c r="Y23" s="223"/>
      <c r="Z23" s="344">
        <v>11.4</v>
      </c>
      <c r="AA23" s="223"/>
      <c r="AB23" s="456">
        <v>10.1</v>
      </c>
      <c r="AC23" s="220">
        <f>_xll.qlSimpleQuoteSetValue(F23,AB23/10000,Trigger)</f>
        <v>0</v>
      </c>
      <c r="AD23" s="189"/>
      <c r="AE23" s="19"/>
      <c r="AF23" s="19"/>
      <c r="AG23" s="19"/>
      <c r="AH23" s="19"/>
      <c r="AI23" s="19" t="str">
        <f t="shared" si="3"/>
        <v>15Y</v>
      </c>
      <c r="AJ23" s="340" t="e">
        <f>((Swap6M!AB23-Swap3M!AB23)*100-AB23)/10000</f>
        <v>#NUM!</v>
      </c>
    </row>
    <row r="24" spans="1:36" x14ac:dyDescent="0.2">
      <c r="A24" s="73"/>
      <c r="B24" s="72" t="s">
        <v>73</v>
      </c>
      <c r="C24" s="71" t="str">
        <f t="shared" si="4"/>
        <v>6L</v>
      </c>
      <c r="D24" s="70" t="str">
        <f t="shared" si="5"/>
        <v>3L</v>
      </c>
      <c r="E24" s="69" t="str">
        <f t="shared" si="0"/>
        <v>USD6L3L16Y_Quote</v>
      </c>
      <c r="F24" s="69" t="str">
        <f>_xll.qlSimpleQuote(E24,,RateTickValue,Permanent,Trigger,ObjectOverwrite)</f>
        <v>USD6L3L16Y_Quote#0000</v>
      </c>
      <c r="G24" s="68" t="str">
        <f>_xll.ohRangeRetrieveError(F24)</f>
        <v/>
      </c>
      <c r="H24" s="67"/>
      <c r="N24" s="116">
        <v>16</v>
      </c>
      <c r="O24" s="227" t="s">
        <v>73</v>
      </c>
      <c r="P24" s="276" t="str">
        <v>6L</v>
      </c>
      <c r="Q24" s="276" t="str">
        <v>3L</v>
      </c>
      <c r="R24" s="274" t="str">
        <f t="shared" si="1"/>
        <v>USD6L3L16Y</v>
      </c>
      <c r="S24" s="226" t="str">
        <v>USD6L3L16Y=ICAP</v>
      </c>
      <c r="T24" s="346" t="s">
        <v>219</v>
      </c>
      <c r="U24" s="346" t="s">
        <v>219</v>
      </c>
      <c r="V24" s="346" t="e">
        <f>_xll.qlMidEquivalent(T24,U24)</f>
        <v>#NUM!</v>
      </c>
      <c r="W24" s="221" t="b">
        <f t="shared" si="2"/>
        <v>0</v>
      </c>
      <c r="X24" s="347">
        <v>10.121468400192331</v>
      </c>
      <c r="Y24" s="223"/>
      <c r="Z24" s="344">
        <v>11.4</v>
      </c>
      <c r="AA24" s="223"/>
      <c r="AB24" s="456">
        <v>10.121468400192331</v>
      </c>
      <c r="AC24" s="220">
        <f>_xll.qlSimpleQuoteSetValue(F24,AB24/10000,Trigger)</f>
        <v>-3.792278715879227E-9</v>
      </c>
      <c r="AD24" s="189"/>
      <c r="AE24" s="19"/>
      <c r="AF24" s="19"/>
      <c r="AG24" s="19"/>
      <c r="AH24" s="19"/>
      <c r="AI24" s="19" t="str">
        <f t="shared" si="3"/>
        <v>16Y</v>
      </c>
      <c r="AJ24" s="340" t="e">
        <f>((Swap6M!AB24-Swap3M!AB24)*100-AB24)/10000</f>
        <v>#NUM!</v>
      </c>
    </row>
    <row r="25" spans="1:36" x14ac:dyDescent="0.2">
      <c r="A25" s="73"/>
      <c r="B25" s="72" t="s">
        <v>72</v>
      </c>
      <c r="C25" s="71" t="str">
        <f t="shared" si="4"/>
        <v>6L</v>
      </c>
      <c r="D25" s="70" t="str">
        <f t="shared" si="5"/>
        <v>3L</v>
      </c>
      <c r="E25" s="69" t="str">
        <f t="shared" si="0"/>
        <v>USD6L3L17Y_Quote</v>
      </c>
      <c r="F25" s="69" t="str">
        <f>_xll.qlSimpleQuote(E25,,RateTickValue,Permanent,Trigger,ObjectOverwrite)</f>
        <v>USD6L3L17Y_Quote#0000</v>
      </c>
      <c r="G25" s="68" t="str">
        <f>_xll.ohRangeRetrieveError(F25)</f>
        <v/>
      </c>
      <c r="H25" s="67"/>
      <c r="N25" s="116">
        <v>17</v>
      </c>
      <c r="O25" s="227" t="s">
        <v>72</v>
      </c>
      <c r="P25" s="276" t="str">
        <v>6L</v>
      </c>
      <c r="Q25" s="276" t="str">
        <v>3L</v>
      </c>
      <c r="R25" s="274" t="str">
        <f t="shared" si="1"/>
        <v>USD6L3L17Y</v>
      </c>
      <c r="S25" s="226" t="str">
        <v>USD6L3L17Y=ICAP</v>
      </c>
      <c r="T25" s="346" t="s">
        <v>219</v>
      </c>
      <c r="U25" s="346" t="s">
        <v>219</v>
      </c>
      <c r="V25" s="346" t="e">
        <f>_xll.qlMidEquivalent(T25,U25)</f>
        <v>#NUM!</v>
      </c>
      <c r="W25" s="221" t="b">
        <f t="shared" si="2"/>
        <v>0</v>
      </c>
      <c r="X25" s="347">
        <v>10.147651950216371</v>
      </c>
      <c r="Y25" s="223"/>
      <c r="Z25" s="344">
        <v>11.4</v>
      </c>
      <c r="AA25" s="223"/>
      <c r="AB25" s="456">
        <v>10.147651950216371</v>
      </c>
      <c r="AC25" s="220">
        <f>_xll.qlSimpleQuoteSetValue(F25,AB25/10000,Trigger)</f>
        <v>-4.2663135552557102E-9</v>
      </c>
      <c r="AD25" s="189"/>
      <c r="AE25" s="19"/>
      <c r="AF25" s="19"/>
      <c r="AG25" s="19"/>
      <c r="AH25" s="19"/>
      <c r="AI25" s="19" t="str">
        <f t="shared" si="3"/>
        <v>17Y</v>
      </c>
      <c r="AJ25" s="340" t="e">
        <f>((Swap6M!AB25-Swap3M!AB25)*100-AB25)/10000</f>
        <v>#NUM!</v>
      </c>
    </row>
    <row r="26" spans="1:36" x14ac:dyDescent="0.2">
      <c r="A26" s="73"/>
      <c r="B26" s="72" t="s">
        <v>71</v>
      </c>
      <c r="C26" s="71" t="str">
        <f t="shared" si="4"/>
        <v>6L</v>
      </c>
      <c r="D26" s="70" t="str">
        <f t="shared" si="5"/>
        <v>3L</v>
      </c>
      <c r="E26" s="69" t="str">
        <f t="shared" si="0"/>
        <v>USD6L3L18Y_Quote</v>
      </c>
      <c r="F26" s="69" t="str">
        <f>_xll.qlSimpleQuote(E26,,RateTickValue,Permanent,Trigger,ObjectOverwrite)</f>
        <v>USD6L3L18Y_Quote#0000</v>
      </c>
      <c r="G26" s="68" t="str">
        <f>_xll.ohRangeRetrieveError(F26)</f>
        <v/>
      </c>
      <c r="H26" s="67"/>
      <c r="N26" s="116">
        <v>18</v>
      </c>
      <c r="O26" s="227" t="s">
        <v>71</v>
      </c>
      <c r="P26" s="276" t="str">
        <v>6L</v>
      </c>
      <c r="Q26" s="276" t="str">
        <v>3L</v>
      </c>
      <c r="R26" s="274" t="str">
        <f t="shared" si="1"/>
        <v>USD6L3L18Y</v>
      </c>
      <c r="S26" s="226" t="str">
        <v>USD6L3L18Y=ICAP</v>
      </c>
      <c r="T26" s="346" t="s">
        <v>219</v>
      </c>
      <c r="U26" s="346" t="s">
        <v>219</v>
      </c>
      <c r="V26" s="346" t="e">
        <f>_xll.qlMidEquivalent(T26,U26)</f>
        <v>#NUM!</v>
      </c>
      <c r="W26" s="221" t="b">
        <f t="shared" si="2"/>
        <v>0</v>
      </c>
      <c r="X26" s="347">
        <v>10.173101300144248</v>
      </c>
      <c r="Y26" s="223"/>
      <c r="Z26" s="344">
        <v>11.4</v>
      </c>
      <c r="AA26" s="223"/>
      <c r="AB26" s="456">
        <v>10.173101300144248</v>
      </c>
      <c r="AC26" s="220">
        <f>_xll.qlSimpleQuoteSetValue(F26,AB26/10000,Trigger)</f>
        <v>-2.8442090369094203E-9</v>
      </c>
      <c r="AD26" s="189"/>
      <c r="AE26" s="19"/>
      <c r="AF26" s="19"/>
      <c r="AG26" s="19"/>
      <c r="AH26" s="19"/>
      <c r="AI26" s="19" t="str">
        <f t="shared" si="3"/>
        <v>18Y</v>
      </c>
      <c r="AJ26" s="340" t="e">
        <f>((Swap6M!AB26-Swap3M!AB26)*100-AB26)/10000</f>
        <v>#NUM!</v>
      </c>
    </row>
    <row r="27" spans="1:36" x14ac:dyDescent="0.2">
      <c r="A27" s="73"/>
      <c r="B27" s="72" t="s">
        <v>70</v>
      </c>
      <c r="C27" s="71" t="str">
        <f t="shared" si="4"/>
        <v>6L</v>
      </c>
      <c r="D27" s="70" t="str">
        <f t="shared" si="5"/>
        <v>3L</v>
      </c>
      <c r="E27" s="69" t="str">
        <f t="shared" si="0"/>
        <v>USD6L3L19Y_Quote</v>
      </c>
      <c r="F27" s="69" t="str">
        <f>_xll.qlSimpleQuote(E27,,RateTickValue,Permanent,Trigger,ObjectOverwrite)</f>
        <v>USD6L3L19Y_Quote#0000</v>
      </c>
      <c r="G27" s="68" t="str">
        <f>_xll.ohRangeRetrieveError(F27)</f>
        <v/>
      </c>
      <c r="H27" s="67"/>
      <c r="N27" s="116">
        <v>19</v>
      </c>
      <c r="O27" s="227" t="s">
        <v>70</v>
      </c>
      <c r="P27" s="276" t="str">
        <v>6L</v>
      </c>
      <c r="Q27" s="276" t="str">
        <v>3L</v>
      </c>
      <c r="R27" s="274" t="str">
        <f t="shared" si="1"/>
        <v>USD6L3L19Y</v>
      </c>
      <c r="S27" s="226" t="str">
        <v>USD6L3L19Y=ICAP</v>
      </c>
      <c r="T27" s="346" t="s">
        <v>219</v>
      </c>
      <c r="U27" s="346" t="s">
        <v>219</v>
      </c>
      <c r="V27" s="346" t="e">
        <f>_xll.qlMidEquivalent(T27,U27)</f>
        <v>#NUM!</v>
      </c>
      <c r="W27" s="221" t="b">
        <f t="shared" si="2"/>
        <v>0</v>
      </c>
      <c r="X27" s="347">
        <v>10.192367100048083</v>
      </c>
      <c r="Y27" s="223"/>
      <c r="Z27" s="344">
        <v>11.4</v>
      </c>
      <c r="AA27" s="223"/>
      <c r="AB27" s="456">
        <v>10.192367100048083</v>
      </c>
      <c r="AC27" s="220">
        <f>_xll.qlSimpleQuoteSetValue(F27,AB27/10000,Trigger)</f>
        <v>-9.4806967896980676E-10</v>
      </c>
      <c r="AD27" s="189"/>
      <c r="AE27" s="19"/>
      <c r="AF27" s="19"/>
      <c r="AG27" s="19"/>
      <c r="AH27" s="19"/>
      <c r="AI27" s="19" t="str">
        <f t="shared" si="3"/>
        <v>19Y</v>
      </c>
      <c r="AJ27" s="340" t="e">
        <f>((Swap6M!AB27-Swap3M!AB27)*100-AB27)/10000</f>
        <v>#NUM!</v>
      </c>
    </row>
    <row r="28" spans="1:36" x14ac:dyDescent="0.2">
      <c r="A28" s="73"/>
      <c r="B28" s="72" t="s">
        <v>69</v>
      </c>
      <c r="C28" s="71" t="str">
        <f t="shared" si="4"/>
        <v>6L</v>
      </c>
      <c r="D28" s="70" t="str">
        <f t="shared" si="5"/>
        <v>3L</v>
      </c>
      <c r="E28" s="69" t="str">
        <f t="shared" si="0"/>
        <v>USD6L3L20Y_Quote</v>
      </c>
      <c r="F28" s="69" t="str">
        <f>_xll.qlSimpleQuote(E28,,RateTickValue,Permanent,Trigger,ObjectOverwrite)</f>
        <v>USD6L3L20Y_Quote#0000</v>
      </c>
      <c r="G28" s="68" t="str">
        <f>_xll.ohRangeRetrieveError(F28)</f>
        <v/>
      </c>
      <c r="H28" s="67"/>
      <c r="N28" s="116">
        <v>20</v>
      </c>
      <c r="O28" s="227" t="s">
        <v>69</v>
      </c>
      <c r="P28" s="276" t="str">
        <v>6L</v>
      </c>
      <c r="Q28" s="276" t="str">
        <v>3L</v>
      </c>
      <c r="R28" s="274" t="str">
        <f t="shared" si="1"/>
        <v>USD6L3L20Y</v>
      </c>
      <c r="S28" s="226" t="str">
        <v>USD6L3L20Y=ICAP</v>
      </c>
      <c r="T28" s="346">
        <v>10.199999999999999</v>
      </c>
      <c r="U28" s="346">
        <v>0</v>
      </c>
      <c r="V28" s="346">
        <f>_xll.qlMidEquivalent(T28,U28)</f>
        <v>10.199999999999999</v>
      </c>
      <c r="W28" s="221" t="b">
        <f t="shared" si="2"/>
        <v>1</v>
      </c>
      <c r="X28" s="347">
        <v>10.199999999999999</v>
      </c>
      <c r="Y28" s="223"/>
      <c r="Z28" s="344">
        <v>11.4</v>
      </c>
      <c r="AA28" s="223"/>
      <c r="AB28" s="456">
        <v>10.199999999999999</v>
      </c>
      <c r="AC28" s="220">
        <f>_xll.qlSimpleQuoteSetValue(F28,AB28/10000,Trigger)</f>
        <v>0</v>
      </c>
      <c r="AD28" s="189"/>
      <c r="AE28" s="19"/>
      <c r="AF28" s="19"/>
      <c r="AG28" s="19"/>
      <c r="AH28" s="19"/>
      <c r="AI28" s="19" t="str">
        <f t="shared" si="3"/>
        <v>20Y</v>
      </c>
      <c r="AJ28" s="340" t="e">
        <f>((Swap6M!AB28-Swap3M!AB28)*100-AB28)/10000</f>
        <v>#NUM!</v>
      </c>
    </row>
    <row r="29" spans="1:36" x14ac:dyDescent="0.2">
      <c r="A29" s="73"/>
      <c r="B29" s="72" t="s">
        <v>68</v>
      </c>
      <c r="C29" s="71" t="str">
        <f t="shared" si="4"/>
        <v>6L</v>
      </c>
      <c r="D29" s="70" t="str">
        <f t="shared" si="5"/>
        <v>3L</v>
      </c>
      <c r="E29" s="69" t="str">
        <f t="shared" si="0"/>
        <v>USD6L3L21Y_Quote</v>
      </c>
      <c r="F29" s="69" t="str">
        <f>_xll.qlSimpleQuote(E29,,RateTickValue,Permanent,Trigger,ObjectOverwrite)</f>
        <v>USD6L3L21Y_Quote#0000</v>
      </c>
      <c r="G29" s="68" t="str">
        <f>_xll.ohRangeRetrieveError(F29)</f>
        <v/>
      </c>
      <c r="H29" s="67"/>
      <c r="N29" s="116">
        <v>21</v>
      </c>
      <c r="O29" s="227" t="s">
        <v>68</v>
      </c>
      <c r="P29" s="276" t="str">
        <v>6L</v>
      </c>
      <c r="Q29" s="276" t="str">
        <v>3L</v>
      </c>
      <c r="R29" s="274" t="str">
        <f t="shared" si="1"/>
        <v>USD6L3L21Y</v>
      </c>
      <c r="S29" s="226" t="str">
        <v>USD6L3L21Y=ICAP</v>
      </c>
      <c r="T29" s="346" t="s">
        <v>219</v>
      </c>
      <c r="U29" s="346" t="s">
        <v>219</v>
      </c>
      <c r="V29" s="346" t="e">
        <f>_xll.qlMidEquivalent(T29,U29)</f>
        <v>#NUM!</v>
      </c>
      <c r="W29" s="221" t="b">
        <f t="shared" si="2"/>
        <v>0</v>
      </c>
      <c r="X29" s="347">
        <v>10.189599999999999</v>
      </c>
      <c r="Y29" s="223"/>
      <c r="Z29" s="344">
        <v>11.4</v>
      </c>
      <c r="AA29" s="223"/>
      <c r="AB29" s="456">
        <v>10.189599999999999</v>
      </c>
      <c r="AC29" s="220">
        <f>_xll.qlSimpleQuoteSetValue(F29,AB29/10000,Trigger)</f>
        <v>0</v>
      </c>
      <c r="AD29" s="189"/>
      <c r="AE29" s="19"/>
      <c r="AF29" s="19"/>
      <c r="AG29" s="19"/>
      <c r="AH29" s="19"/>
      <c r="AI29" s="19" t="str">
        <f t="shared" si="3"/>
        <v>21Y</v>
      </c>
      <c r="AJ29" s="340" t="e">
        <f>((Swap6M!AB29-Swap3M!AB29)*100-AB29)/10000</f>
        <v>#NUM!</v>
      </c>
    </row>
    <row r="30" spans="1:36" x14ac:dyDescent="0.2">
      <c r="A30" s="73"/>
      <c r="B30" s="72" t="s">
        <v>67</v>
      </c>
      <c r="C30" s="71" t="str">
        <f t="shared" si="4"/>
        <v>6L</v>
      </c>
      <c r="D30" s="70" t="str">
        <f t="shared" si="5"/>
        <v>3L</v>
      </c>
      <c r="E30" s="69" t="str">
        <f t="shared" si="0"/>
        <v>USD6L3L22Y_Quote</v>
      </c>
      <c r="F30" s="69" t="str">
        <f>_xll.qlSimpleQuote(E30,,RateTickValue,Permanent,Trigger,ObjectOverwrite)</f>
        <v>USD6L3L22Y_Quote#0000</v>
      </c>
      <c r="G30" s="68" t="str">
        <f>_xll.ohRangeRetrieveError(F30)</f>
        <v/>
      </c>
      <c r="H30" s="67"/>
      <c r="N30" s="116">
        <v>22</v>
      </c>
      <c r="O30" s="227" t="s">
        <v>67</v>
      </c>
      <c r="P30" s="276" t="str">
        <v>6L</v>
      </c>
      <c r="Q30" s="276" t="str">
        <v>3L</v>
      </c>
      <c r="R30" s="274" t="str">
        <f t="shared" si="1"/>
        <v>USD6L3L22Y</v>
      </c>
      <c r="S30" s="226" t="str">
        <v>USD6L3L22Y=ICAP</v>
      </c>
      <c r="T30" s="346" t="s">
        <v>219</v>
      </c>
      <c r="U30" s="346" t="s">
        <v>219</v>
      </c>
      <c r="V30" s="346" t="e">
        <f>_xll.qlMidEquivalent(T30,U30)</f>
        <v>#NUM!</v>
      </c>
      <c r="W30" s="221" t="b">
        <f t="shared" si="2"/>
        <v>0</v>
      </c>
      <c r="X30" s="347">
        <v>10.1648</v>
      </c>
      <c r="Y30" s="223"/>
      <c r="Z30" s="344">
        <v>11.4</v>
      </c>
      <c r="AA30" s="223"/>
      <c r="AB30" s="456">
        <v>10.1648</v>
      </c>
      <c r="AC30" s="220">
        <f>_xll.qlSimpleQuoteSetValue(F30,AB30/10000,Trigger)</f>
        <v>0</v>
      </c>
      <c r="AD30" s="189"/>
      <c r="AE30" s="19"/>
      <c r="AF30" s="19"/>
      <c r="AG30" s="19"/>
      <c r="AH30" s="19"/>
      <c r="AI30" s="19" t="str">
        <f t="shared" si="3"/>
        <v>22Y</v>
      </c>
      <c r="AJ30" s="340" t="e">
        <f>((Swap6M!AB30-Swap3M!AB30)*100-AB30)/10000</f>
        <v>#NUM!</v>
      </c>
    </row>
    <row r="31" spans="1:36" x14ac:dyDescent="0.2">
      <c r="A31" s="73"/>
      <c r="B31" s="72" t="s">
        <v>66</v>
      </c>
      <c r="C31" s="71" t="str">
        <f t="shared" si="4"/>
        <v>6L</v>
      </c>
      <c r="D31" s="70" t="str">
        <f t="shared" si="5"/>
        <v>3L</v>
      </c>
      <c r="E31" s="69" t="str">
        <f t="shared" si="0"/>
        <v>USD6L3L23Y_Quote</v>
      </c>
      <c r="F31" s="69" t="str">
        <f>_xll.qlSimpleQuote(E31,,RateTickValue,Permanent,Trigger,ObjectOverwrite)</f>
        <v>USD6L3L23Y_Quote#0000</v>
      </c>
      <c r="G31" s="68" t="str">
        <f>_xll.ohRangeRetrieveError(F31)</f>
        <v/>
      </c>
      <c r="H31" s="67"/>
      <c r="N31" s="116">
        <v>23</v>
      </c>
      <c r="O31" s="227" t="s">
        <v>66</v>
      </c>
      <c r="P31" s="276" t="str">
        <v>6L</v>
      </c>
      <c r="Q31" s="276" t="str">
        <v>3L</v>
      </c>
      <c r="R31" s="274" t="str">
        <f t="shared" si="1"/>
        <v>USD6L3L23Y</v>
      </c>
      <c r="S31" s="226" t="str">
        <v>USD6L3L23Y=ICAP</v>
      </c>
      <c r="T31" s="346" t="s">
        <v>219</v>
      </c>
      <c r="U31" s="346" t="s">
        <v>219</v>
      </c>
      <c r="V31" s="346" t="e">
        <f>_xll.qlMidEquivalent(T31,U31)</f>
        <v>#NUM!</v>
      </c>
      <c r="W31" s="221" t="b">
        <f t="shared" si="2"/>
        <v>0</v>
      </c>
      <c r="X31" s="347">
        <v>10.135199999999999</v>
      </c>
      <c r="Y31" s="223"/>
      <c r="Z31" s="344">
        <v>11.4</v>
      </c>
      <c r="AA31" s="223"/>
      <c r="AB31" s="456">
        <v>10.135199999999999</v>
      </c>
      <c r="AC31" s="220">
        <f>_xll.qlSimpleQuoteSetValue(F31,AB31/10000,Trigger)</f>
        <v>0</v>
      </c>
      <c r="AD31" s="189"/>
      <c r="AE31" s="19"/>
      <c r="AF31" s="19"/>
      <c r="AG31" s="19"/>
      <c r="AH31" s="19"/>
      <c r="AI31" s="19" t="str">
        <f t="shared" si="3"/>
        <v>23Y</v>
      </c>
      <c r="AJ31" s="340" t="e">
        <f>((Swap6M!AB31-Swap3M!AB31)*100-AB31)/10000</f>
        <v>#NUM!</v>
      </c>
    </row>
    <row r="32" spans="1:36" x14ac:dyDescent="0.2">
      <c r="A32" s="73"/>
      <c r="B32" s="72" t="s">
        <v>65</v>
      </c>
      <c r="C32" s="71" t="str">
        <f t="shared" si="4"/>
        <v>6L</v>
      </c>
      <c r="D32" s="70" t="str">
        <f t="shared" si="5"/>
        <v>3L</v>
      </c>
      <c r="E32" s="69" t="str">
        <f t="shared" si="0"/>
        <v>USD6L3L24Y_Quote</v>
      </c>
      <c r="F32" s="69" t="str">
        <f>_xll.qlSimpleQuote(E32,,RateTickValue,Permanent,Trigger,ObjectOverwrite)</f>
        <v>USD6L3L24Y_Quote#0000</v>
      </c>
      <c r="G32" s="68" t="str">
        <f>_xll.ohRangeRetrieveError(F32)</f>
        <v/>
      </c>
      <c r="H32" s="67"/>
      <c r="N32" s="116">
        <v>24</v>
      </c>
      <c r="O32" s="227" t="s">
        <v>65</v>
      </c>
      <c r="P32" s="276" t="str">
        <v>6L</v>
      </c>
      <c r="Q32" s="276" t="str">
        <v>3L</v>
      </c>
      <c r="R32" s="274" t="str">
        <f t="shared" si="1"/>
        <v>USD6L3L24Y</v>
      </c>
      <c r="S32" s="226" t="str">
        <v>USD6L3L24Y=ICAP</v>
      </c>
      <c r="T32" s="346" t="s">
        <v>219</v>
      </c>
      <c r="U32" s="346" t="s">
        <v>219</v>
      </c>
      <c r="V32" s="346" t="e">
        <f>_xll.qlMidEquivalent(T32,U32)</f>
        <v>#NUM!</v>
      </c>
      <c r="W32" s="221" t="b">
        <f t="shared" si="2"/>
        <v>0</v>
      </c>
      <c r="X32" s="347">
        <v>10.1104</v>
      </c>
      <c r="Y32" s="223"/>
      <c r="Z32" s="344">
        <v>11.4</v>
      </c>
      <c r="AA32" s="223"/>
      <c r="AB32" s="456">
        <v>10.1104</v>
      </c>
      <c r="AC32" s="220">
        <f>_xll.qlSimpleQuoteSetValue(F32,AB32/10000,Trigger)</f>
        <v>0</v>
      </c>
      <c r="AD32" s="189"/>
      <c r="AE32" s="19"/>
      <c r="AF32" s="19"/>
      <c r="AG32" s="19"/>
      <c r="AH32" s="19"/>
      <c r="AI32" s="19" t="str">
        <f t="shared" si="3"/>
        <v>24Y</v>
      </c>
      <c r="AJ32" s="340" t="e">
        <f>((Swap6M!AB32-Swap3M!AB32)*100-AB32)/10000</f>
        <v>#NUM!</v>
      </c>
    </row>
    <row r="33" spans="1:36" x14ac:dyDescent="0.2">
      <c r="A33" s="73"/>
      <c r="B33" s="72" t="s">
        <v>64</v>
      </c>
      <c r="C33" s="71" t="str">
        <f t="shared" si="4"/>
        <v>6L</v>
      </c>
      <c r="D33" s="70" t="str">
        <f t="shared" si="5"/>
        <v>3L</v>
      </c>
      <c r="E33" s="69" t="str">
        <f t="shared" si="0"/>
        <v>USD6L3L25Y_Quote</v>
      </c>
      <c r="F33" s="69" t="str">
        <f>_xll.qlSimpleQuote(E33,,RateTickValue,Permanent,Trigger,ObjectOverwrite)</f>
        <v>USD6L3L25Y_Quote#0000</v>
      </c>
      <c r="G33" s="68" t="str">
        <f>_xll.ohRangeRetrieveError(F33)</f>
        <v/>
      </c>
      <c r="H33" s="67"/>
      <c r="N33" s="116">
        <v>25</v>
      </c>
      <c r="O33" s="227" t="s">
        <v>64</v>
      </c>
      <c r="P33" s="276" t="str">
        <v>6L</v>
      </c>
      <c r="Q33" s="276" t="str">
        <v>3L</v>
      </c>
      <c r="R33" s="274" t="str">
        <f t="shared" si="1"/>
        <v>USD6L3L25Y</v>
      </c>
      <c r="S33" s="226" t="str">
        <v>USD6L3L25Y=ICAP</v>
      </c>
      <c r="T33" s="346">
        <v>10.1</v>
      </c>
      <c r="U33" s="346">
        <v>0</v>
      </c>
      <c r="V33" s="346">
        <f>_xll.qlMidEquivalent(T33,U33)</f>
        <v>10.1</v>
      </c>
      <c r="W33" s="221" t="b">
        <f t="shared" si="2"/>
        <v>1</v>
      </c>
      <c r="X33" s="347">
        <v>10.1</v>
      </c>
      <c r="Y33" s="223"/>
      <c r="Z33" s="344">
        <v>11.4</v>
      </c>
      <c r="AA33" s="223"/>
      <c r="AB33" s="456">
        <v>10.1</v>
      </c>
      <c r="AC33" s="220">
        <f>_xll.qlSimpleQuoteSetValue(F33,AB33/10000,Trigger)</f>
        <v>0</v>
      </c>
      <c r="AD33" s="189"/>
      <c r="AE33" s="19"/>
      <c r="AF33" s="19"/>
      <c r="AG33" s="19"/>
      <c r="AH33" s="19"/>
      <c r="AI33" s="19" t="str">
        <f t="shared" si="3"/>
        <v>25Y</v>
      </c>
      <c r="AJ33" s="340" t="e">
        <f>((Swap6M!AB33-Swap3M!AB33)*100-AB33)/10000</f>
        <v>#NUM!</v>
      </c>
    </row>
    <row r="34" spans="1:36" x14ac:dyDescent="0.2">
      <c r="A34" s="73"/>
      <c r="B34" s="72" t="s">
        <v>63</v>
      </c>
      <c r="C34" s="71" t="str">
        <f t="shared" si="4"/>
        <v>6L</v>
      </c>
      <c r="D34" s="70" t="str">
        <f t="shared" si="5"/>
        <v>3L</v>
      </c>
      <c r="E34" s="69" t="str">
        <f t="shared" si="0"/>
        <v>USD6L3L26Y_Quote</v>
      </c>
      <c r="F34" s="69" t="str">
        <f>_xll.qlSimpleQuote(E34,,RateTickValue,Permanent,Trigger,ObjectOverwrite)</f>
        <v>USD6L3L26Y_Quote#0000</v>
      </c>
      <c r="G34" s="68" t="str">
        <f>_xll.ohRangeRetrieveError(F34)</f>
        <v/>
      </c>
      <c r="H34" s="67"/>
      <c r="N34" s="116">
        <v>26</v>
      </c>
      <c r="O34" s="227" t="s">
        <v>63</v>
      </c>
      <c r="P34" s="276" t="str">
        <v>6L</v>
      </c>
      <c r="Q34" s="276" t="str">
        <v>3L</v>
      </c>
      <c r="R34" s="274" t="str">
        <f t="shared" si="1"/>
        <v>USD6L3L26Y</v>
      </c>
      <c r="S34" s="226" t="str">
        <v>USD6L3L26Y=ICAP</v>
      </c>
      <c r="T34" s="346" t="s">
        <v>219</v>
      </c>
      <c r="U34" s="346" t="s">
        <v>219</v>
      </c>
      <c r="V34" s="346" t="e">
        <f>_xll.qlMidEquivalent(T34,U34)</f>
        <v>#NUM!</v>
      </c>
      <c r="W34" s="221" t="b">
        <f t="shared" si="2"/>
        <v>0</v>
      </c>
      <c r="X34" s="347">
        <v>10.1</v>
      </c>
      <c r="Y34" s="223"/>
      <c r="Z34" s="344">
        <v>11.4</v>
      </c>
      <c r="AA34" s="223"/>
      <c r="AB34" s="456">
        <v>10.1</v>
      </c>
      <c r="AC34" s="220">
        <f>_xll.qlSimpleQuoteSetValue(F34,AB34/10000,Trigger)</f>
        <v>0</v>
      </c>
      <c r="AD34" s="189"/>
      <c r="AE34" s="19"/>
      <c r="AF34" s="19"/>
      <c r="AG34" s="19"/>
      <c r="AH34" s="19"/>
      <c r="AI34" s="19" t="str">
        <f t="shared" si="3"/>
        <v>26Y</v>
      </c>
      <c r="AJ34" s="340" t="e">
        <f>((Swap6M!AB34-Swap3M!AB34)*100-AB34)/10000</f>
        <v>#NUM!</v>
      </c>
    </row>
    <row r="35" spans="1:36" x14ac:dyDescent="0.2">
      <c r="A35" s="73"/>
      <c r="B35" s="72" t="s">
        <v>62</v>
      </c>
      <c r="C35" s="71" t="str">
        <f t="shared" si="4"/>
        <v>6L</v>
      </c>
      <c r="D35" s="70" t="str">
        <f t="shared" si="5"/>
        <v>3L</v>
      </c>
      <c r="E35" s="69" t="str">
        <f t="shared" si="0"/>
        <v>USD6L3L27Y_Quote</v>
      </c>
      <c r="F35" s="69" t="str">
        <f>_xll.qlSimpleQuote(E35,,RateTickValue,Permanent,Trigger,ObjectOverwrite)</f>
        <v>USD6L3L27Y_Quote#0000</v>
      </c>
      <c r="G35" s="68" t="str">
        <f>_xll.ohRangeRetrieveError(F35)</f>
        <v/>
      </c>
      <c r="H35" s="67"/>
      <c r="N35" s="116">
        <v>27</v>
      </c>
      <c r="O35" s="227" t="s">
        <v>62</v>
      </c>
      <c r="P35" s="276" t="str">
        <v>6L</v>
      </c>
      <c r="Q35" s="276" t="str">
        <v>3L</v>
      </c>
      <c r="R35" s="274" t="str">
        <f t="shared" si="1"/>
        <v>USD6L3L27Y</v>
      </c>
      <c r="S35" s="226" t="str">
        <v>USD6L3L27Y=ICAP</v>
      </c>
      <c r="T35" s="346" t="s">
        <v>219</v>
      </c>
      <c r="U35" s="346" t="s">
        <v>219</v>
      </c>
      <c r="V35" s="346" t="e">
        <f>_xll.qlMidEquivalent(T35,U35)</f>
        <v>#NUM!</v>
      </c>
      <c r="W35" s="221" t="b">
        <f t="shared" si="2"/>
        <v>0</v>
      </c>
      <c r="X35" s="347">
        <v>10.1</v>
      </c>
      <c r="Y35" s="223"/>
      <c r="Z35" s="344">
        <v>11.4</v>
      </c>
      <c r="AA35" s="223"/>
      <c r="AB35" s="456">
        <v>10.1</v>
      </c>
      <c r="AC35" s="220">
        <f>_xll.qlSimpleQuoteSetValue(F35,AB35/10000,Trigger)</f>
        <v>0</v>
      </c>
      <c r="AD35" s="189"/>
      <c r="AE35" s="19"/>
      <c r="AF35" s="19"/>
      <c r="AG35" s="19"/>
      <c r="AH35" s="19"/>
      <c r="AI35" s="19" t="str">
        <f t="shared" si="3"/>
        <v>27Y</v>
      </c>
      <c r="AJ35" s="340" t="e">
        <f>((Swap6M!AB35-Swap3M!AB35)*100-AB35)/10000</f>
        <v>#NUM!</v>
      </c>
    </row>
    <row r="36" spans="1:36" x14ac:dyDescent="0.2">
      <c r="A36" s="73"/>
      <c r="B36" s="72" t="s">
        <v>61</v>
      </c>
      <c r="C36" s="71" t="str">
        <f t="shared" si="4"/>
        <v>6L</v>
      </c>
      <c r="D36" s="70" t="str">
        <f t="shared" si="5"/>
        <v>3L</v>
      </c>
      <c r="E36" s="69" t="str">
        <f t="shared" si="0"/>
        <v>USD6L3L28Y_Quote</v>
      </c>
      <c r="F36" s="69" t="str">
        <f>_xll.qlSimpleQuote(E36,,RateTickValue,Permanent,Trigger,ObjectOverwrite)</f>
        <v>USD6L3L28Y_Quote#0000</v>
      </c>
      <c r="G36" s="68" t="str">
        <f>_xll.ohRangeRetrieveError(F36)</f>
        <v/>
      </c>
      <c r="H36" s="67"/>
      <c r="N36" s="116">
        <v>28</v>
      </c>
      <c r="O36" s="227" t="s">
        <v>61</v>
      </c>
      <c r="P36" s="276" t="str">
        <v>6L</v>
      </c>
      <c r="Q36" s="276" t="str">
        <v>3L</v>
      </c>
      <c r="R36" s="274" t="str">
        <f t="shared" si="1"/>
        <v>USD6L3L28Y</v>
      </c>
      <c r="S36" s="226" t="str">
        <v>USD6L3L28Y=ICAP</v>
      </c>
      <c r="T36" s="346" t="s">
        <v>219</v>
      </c>
      <c r="U36" s="346" t="s">
        <v>219</v>
      </c>
      <c r="V36" s="346" t="e">
        <f>_xll.qlMidEquivalent(T36,U36)</f>
        <v>#NUM!</v>
      </c>
      <c r="W36" s="221" t="b">
        <f t="shared" si="2"/>
        <v>0</v>
      </c>
      <c r="X36" s="347">
        <v>10.1</v>
      </c>
      <c r="Y36" s="223"/>
      <c r="Z36" s="344">
        <v>11.4</v>
      </c>
      <c r="AA36" s="223"/>
      <c r="AB36" s="456">
        <v>10.1</v>
      </c>
      <c r="AC36" s="220">
        <f>_xll.qlSimpleQuoteSetValue(F36,AB36/10000,Trigger)</f>
        <v>0</v>
      </c>
      <c r="AD36" s="189"/>
      <c r="AE36" s="19"/>
      <c r="AF36" s="19"/>
      <c r="AG36" s="19"/>
      <c r="AH36" s="19"/>
      <c r="AI36" s="19" t="str">
        <f t="shared" si="3"/>
        <v>28Y</v>
      </c>
      <c r="AJ36" s="340" t="e">
        <f>((Swap6M!AB36-Swap3M!AB36)*100-AB36)/10000</f>
        <v>#NUM!</v>
      </c>
    </row>
    <row r="37" spans="1:36" x14ac:dyDescent="0.2">
      <c r="A37" s="73"/>
      <c r="B37" s="72" t="s">
        <v>60</v>
      </c>
      <c r="C37" s="71" t="str">
        <f t="shared" si="4"/>
        <v>6L</v>
      </c>
      <c r="D37" s="70" t="str">
        <f t="shared" si="5"/>
        <v>3L</v>
      </c>
      <c r="E37" s="69" t="str">
        <f t="shared" si="0"/>
        <v>USD6L3L29Y_Quote</v>
      </c>
      <c r="F37" s="69" t="str">
        <f>_xll.qlSimpleQuote(E37,,RateTickValue,Permanent,Trigger,ObjectOverwrite)</f>
        <v>USD6L3L29Y_Quote#0000</v>
      </c>
      <c r="G37" s="68" t="str">
        <f>_xll.ohRangeRetrieveError(F37)</f>
        <v/>
      </c>
      <c r="H37" s="67"/>
      <c r="N37" s="116">
        <v>29</v>
      </c>
      <c r="O37" s="227" t="s">
        <v>60</v>
      </c>
      <c r="P37" s="276" t="str">
        <v>6L</v>
      </c>
      <c r="Q37" s="276" t="str">
        <v>3L</v>
      </c>
      <c r="R37" s="274" t="str">
        <f t="shared" si="1"/>
        <v>USD6L3L29Y</v>
      </c>
      <c r="S37" s="226" t="str">
        <v>USD6L3L29Y=ICAP</v>
      </c>
      <c r="T37" s="346" t="s">
        <v>219</v>
      </c>
      <c r="U37" s="346" t="s">
        <v>219</v>
      </c>
      <c r="V37" s="346" t="e">
        <f>_xll.qlMidEquivalent(T37,U37)</f>
        <v>#NUM!</v>
      </c>
      <c r="W37" s="221" t="b">
        <f t="shared" si="2"/>
        <v>0</v>
      </c>
      <c r="X37" s="347">
        <v>10.1</v>
      </c>
      <c r="Y37" s="223"/>
      <c r="Z37" s="344">
        <v>11.4</v>
      </c>
      <c r="AA37" s="223"/>
      <c r="AB37" s="456">
        <v>10.1</v>
      </c>
      <c r="AC37" s="220">
        <f>_xll.qlSimpleQuoteSetValue(F37,AB37/10000,Trigger)</f>
        <v>0</v>
      </c>
      <c r="AD37" s="189"/>
      <c r="AE37" s="19"/>
      <c r="AF37" s="19"/>
      <c r="AG37" s="19"/>
      <c r="AH37" s="19"/>
      <c r="AI37" s="19" t="str">
        <f t="shared" si="3"/>
        <v>29Y</v>
      </c>
      <c r="AJ37" s="340" t="e">
        <f>((Swap6M!AB37-Swap3M!AB37)*100-AB37)/10000</f>
        <v>#NUM!</v>
      </c>
    </row>
    <row r="38" spans="1:36" x14ac:dyDescent="0.2">
      <c r="A38" s="73"/>
      <c r="B38" s="72" t="s">
        <v>59</v>
      </c>
      <c r="C38" s="71" t="str">
        <f t="shared" si="4"/>
        <v>6L</v>
      </c>
      <c r="D38" s="70" t="str">
        <f t="shared" si="5"/>
        <v>3L</v>
      </c>
      <c r="E38" s="69" t="str">
        <f t="shared" si="0"/>
        <v>USD6L3L30Y_Quote</v>
      </c>
      <c r="F38" s="69" t="str">
        <f>_xll.qlSimpleQuote(E38,,RateTickValue,Permanent,Trigger,ObjectOverwrite)</f>
        <v>USD6L3L30Y_Quote#0000</v>
      </c>
      <c r="G38" s="68" t="str">
        <f>_xll.ohRangeRetrieveError(F38)</f>
        <v/>
      </c>
      <c r="H38" s="67"/>
      <c r="N38" s="116">
        <v>30</v>
      </c>
      <c r="O38" s="227" t="s">
        <v>59</v>
      </c>
      <c r="P38" s="276" t="str">
        <v>6L</v>
      </c>
      <c r="Q38" s="276" t="str">
        <v>3L</v>
      </c>
      <c r="R38" s="274" t="str">
        <f t="shared" si="1"/>
        <v>USD6L3L30Y</v>
      </c>
      <c r="S38" s="226" t="str">
        <v>USD6L3L30Y=ICAP</v>
      </c>
      <c r="T38" s="346">
        <v>10.1</v>
      </c>
      <c r="U38" s="346">
        <v>0</v>
      </c>
      <c r="V38" s="346">
        <f>_xll.qlMidEquivalent(T38,U38)</f>
        <v>10.1</v>
      </c>
      <c r="W38" s="221" t="b">
        <f t="shared" si="2"/>
        <v>1</v>
      </c>
      <c r="X38" s="347">
        <v>10.1</v>
      </c>
      <c r="Y38" s="223"/>
      <c r="Z38" s="344">
        <v>11.4</v>
      </c>
      <c r="AA38" s="223"/>
      <c r="AB38" s="456">
        <v>10.1</v>
      </c>
      <c r="AC38" s="220">
        <f>_xll.qlSimpleQuoteSetValue(F38,AB38/10000,Trigger)</f>
        <v>0</v>
      </c>
      <c r="AD38" s="189"/>
      <c r="AE38" s="19"/>
      <c r="AF38" s="19"/>
      <c r="AG38" s="19"/>
      <c r="AH38" s="19"/>
      <c r="AI38" s="19" t="str">
        <f t="shared" si="3"/>
        <v>30Y</v>
      </c>
      <c r="AJ38" s="340" t="e">
        <f>((Swap6M!AB38-Swap3M!AB38)*100-AB38)/10000</f>
        <v>#NUM!</v>
      </c>
    </row>
    <row r="39" spans="1:36" x14ac:dyDescent="0.2">
      <c r="A39" s="73"/>
      <c r="B39" s="72" t="s">
        <v>54</v>
      </c>
      <c r="C39" s="71" t="str">
        <f t="shared" si="4"/>
        <v>6L</v>
      </c>
      <c r="D39" s="70" t="str">
        <f t="shared" si="5"/>
        <v>3L</v>
      </c>
      <c r="E39" s="69" t="str">
        <f t="shared" si="0"/>
        <v>USD6L3L35Y_Quote</v>
      </c>
      <c r="F39" s="69" t="str">
        <f>_xll.qlSimpleQuote(E39,,RateTickValue,Permanent,Trigger,ObjectOverwrite)</f>
        <v>USD6L3L35Y_Quote#0000</v>
      </c>
      <c r="G39" s="68" t="str">
        <f>_xll.ohRangeRetrieveError(F39)</f>
        <v/>
      </c>
      <c r="H39" s="67"/>
      <c r="N39" s="116">
        <v>35</v>
      </c>
      <c r="O39" s="227" t="s">
        <v>54</v>
      </c>
      <c r="P39" s="276" t="str">
        <v>6L</v>
      </c>
      <c r="Q39" s="276" t="str">
        <v>3L</v>
      </c>
      <c r="R39" s="274" t="str">
        <f t="shared" si="1"/>
        <v>USD6L3L35Y</v>
      </c>
      <c r="S39" s="226" t="str">
        <v>USD6L3L35Y=ICAP</v>
      </c>
      <c r="T39" s="346" t="s">
        <v>219</v>
      </c>
      <c r="U39" s="346" t="s">
        <v>219</v>
      </c>
      <c r="V39" s="346" t="e">
        <f>_xll.qlMidEquivalent(T39,U39)</f>
        <v>#NUM!</v>
      </c>
      <c r="W39" s="221" t="b">
        <f t="shared" si="2"/>
        <v>0</v>
      </c>
      <c r="X39" s="345">
        <f>X38</f>
        <v>10.1</v>
      </c>
      <c r="Y39" s="223"/>
      <c r="Z39" s="344">
        <v>11.4</v>
      </c>
      <c r="AA39" s="223"/>
      <c r="AB39" s="456">
        <v>10.1</v>
      </c>
      <c r="AC39" s="220">
        <f>_xll.qlSimpleQuoteSetValue(F39,AB39/10000,Trigger)</f>
        <v>0</v>
      </c>
      <c r="AD39" s="189"/>
      <c r="AE39" s="19"/>
      <c r="AF39" s="19"/>
      <c r="AG39" s="19"/>
      <c r="AH39" s="19"/>
      <c r="AI39" s="19" t="str">
        <f t="shared" si="3"/>
        <v>35Y</v>
      </c>
      <c r="AJ39" s="340" t="e">
        <f>((Swap6M!AB39-Swap3M!AB39)*100-AB39)/10000</f>
        <v>#NUM!</v>
      </c>
    </row>
    <row r="40" spans="1:36" x14ac:dyDescent="0.2">
      <c r="A40" s="73"/>
      <c r="B40" s="72" t="s">
        <v>49</v>
      </c>
      <c r="C40" s="71" t="str">
        <f t="shared" si="4"/>
        <v>6L</v>
      </c>
      <c r="D40" s="70" t="str">
        <f t="shared" si="5"/>
        <v>3L</v>
      </c>
      <c r="E40" s="69" t="str">
        <f t="shared" si="0"/>
        <v>USD6L3L40Y_Quote</v>
      </c>
      <c r="F40" s="69" t="str">
        <f>_xll.qlSimpleQuote(E40,,RateTickValue,Permanent,Trigger,ObjectOverwrite)</f>
        <v>USD6L3L40Y_Quote#0000</v>
      </c>
      <c r="G40" s="68" t="str">
        <f>_xll.ohRangeRetrieveError(F40)</f>
        <v/>
      </c>
      <c r="H40" s="67"/>
      <c r="N40" s="116">
        <v>40</v>
      </c>
      <c r="O40" s="227" t="s">
        <v>49</v>
      </c>
      <c r="P40" s="276" t="str">
        <v>6L</v>
      </c>
      <c r="Q40" s="276" t="str">
        <v>3L</v>
      </c>
      <c r="R40" s="274" t="str">
        <f t="shared" si="1"/>
        <v>USD6L3L40Y</v>
      </c>
      <c r="S40" s="226" t="str">
        <v>USD6L3L40Y=ICAP</v>
      </c>
      <c r="T40" s="346" t="s">
        <v>219</v>
      </c>
      <c r="U40" s="346" t="s">
        <v>219</v>
      </c>
      <c r="V40" s="346" t="e">
        <f>_xll.qlMidEquivalent(T40,U40)</f>
        <v>#NUM!</v>
      </c>
      <c r="W40" s="221" t="b">
        <f t="shared" si="2"/>
        <v>0</v>
      </c>
      <c r="X40" s="345">
        <f>X39</f>
        <v>10.1</v>
      </c>
      <c r="Y40" s="223"/>
      <c r="Z40" s="344">
        <v>11.4</v>
      </c>
      <c r="AA40" s="223"/>
      <c r="AB40" s="456">
        <v>10.1</v>
      </c>
      <c r="AC40" s="220">
        <f>_xll.qlSimpleQuoteSetValue(F40,AB40/10000,Trigger)</f>
        <v>0</v>
      </c>
      <c r="AD40" s="189"/>
      <c r="AE40" s="19"/>
      <c r="AF40" s="19"/>
      <c r="AG40" s="19"/>
      <c r="AH40" s="19"/>
      <c r="AI40" s="19" t="str">
        <f t="shared" si="3"/>
        <v>40Y</v>
      </c>
      <c r="AJ40" s="340" t="e">
        <f>((Swap6M!AB40-Swap3M!AB40)*100-AB40)/10000</f>
        <v>#NUM!</v>
      </c>
    </row>
    <row r="41" spans="1:36" x14ac:dyDescent="0.2">
      <c r="A41" s="73"/>
      <c r="B41" s="72" t="s">
        <v>39</v>
      </c>
      <c r="C41" s="71" t="str">
        <f t="shared" si="4"/>
        <v>6L</v>
      </c>
      <c r="D41" s="70" t="str">
        <f t="shared" si="5"/>
        <v>3L</v>
      </c>
      <c r="E41" s="69" t="str">
        <f t="shared" si="0"/>
        <v>USD6L3L50Y_Quote</v>
      </c>
      <c r="F41" s="69" t="str">
        <f>_xll.qlSimpleQuote(E41,,RateTickValue,Permanent,Trigger,ObjectOverwrite)</f>
        <v>USD6L3L50Y_Quote#0000</v>
      </c>
      <c r="G41" s="68" t="str">
        <f>_xll.ohRangeRetrieveError(F41)</f>
        <v/>
      </c>
      <c r="H41" s="67"/>
      <c r="N41" s="116">
        <v>50</v>
      </c>
      <c r="O41" s="227" t="s">
        <v>39</v>
      </c>
      <c r="P41" s="276" t="str">
        <v>6L</v>
      </c>
      <c r="Q41" s="276" t="str">
        <v>3L</v>
      </c>
      <c r="R41" s="274" t="str">
        <f t="shared" si="1"/>
        <v>USD6L3L50Y</v>
      </c>
      <c r="S41" s="226" t="str">
        <v>USD6L3L50Y=ICAP</v>
      </c>
      <c r="T41" s="346" t="s">
        <v>219</v>
      </c>
      <c r="U41" s="346" t="s">
        <v>219</v>
      </c>
      <c r="V41" s="346" t="e">
        <f>_xll.qlMidEquivalent(T41,U41)</f>
        <v>#NUM!</v>
      </c>
      <c r="W41" s="221" t="b">
        <f t="shared" si="2"/>
        <v>0</v>
      </c>
      <c r="X41" s="345">
        <f>X40</f>
        <v>10.1</v>
      </c>
      <c r="Y41" s="223"/>
      <c r="Z41" s="344">
        <v>11.4</v>
      </c>
      <c r="AA41" s="223"/>
      <c r="AB41" s="456">
        <v>10.1</v>
      </c>
      <c r="AC41" s="220">
        <f>_xll.qlSimpleQuoteSetValue(F41,AB41/10000,Trigger)</f>
        <v>0</v>
      </c>
      <c r="AD41" s="189"/>
      <c r="AE41" s="19"/>
      <c r="AF41" s="19"/>
      <c r="AG41" s="19"/>
      <c r="AH41" s="19"/>
      <c r="AI41" s="19" t="str">
        <f t="shared" si="3"/>
        <v>50Y</v>
      </c>
      <c r="AJ41" s="340" t="e">
        <f>((Swap6M!AB41-Swap3M!AB41)*100-AB41)/10000</f>
        <v>#NUM!</v>
      </c>
    </row>
    <row r="42" spans="1:36" x14ac:dyDescent="0.2">
      <c r="A42" s="73"/>
      <c r="B42" s="72" t="s">
        <v>29</v>
      </c>
      <c r="C42" s="71" t="str">
        <f t="shared" si="4"/>
        <v>6L</v>
      </c>
      <c r="D42" s="70" t="str">
        <f t="shared" si="5"/>
        <v>3L</v>
      </c>
      <c r="E42" s="69" t="str">
        <f t="shared" si="0"/>
        <v>USD6L3L60Y_Quote</v>
      </c>
      <c r="F42" s="69" t="str">
        <f>_xll.qlSimpleQuote(E42,,RateTickValue,Permanent,Trigger,ObjectOverwrite)</f>
        <v>USD6L3L60Y_Quote#0000</v>
      </c>
      <c r="G42" s="68" t="str">
        <f>_xll.ohRangeRetrieveError(F42)</f>
        <v/>
      </c>
      <c r="H42" s="67"/>
      <c r="N42" s="116">
        <v>60</v>
      </c>
      <c r="O42" s="239" t="s">
        <v>29</v>
      </c>
      <c r="P42" s="271" t="str">
        <v>6L</v>
      </c>
      <c r="Q42" s="271" t="str">
        <v>3L</v>
      </c>
      <c r="R42" s="274" t="str">
        <f t="shared" si="1"/>
        <v>USD6L3L60Y</v>
      </c>
      <c r="S42" s="238" t="str">
        <v>USD6L3L60Y=ICAP</v>
      </c>
      <c r="T42" s="343" t="s">
        <v>219</v>
      </c>
      <c r="U42" s="343" t="s">
        <v>219</v>
      </c>
      <c r="V42" s="343" t="e">
        <f>_xll.qlMidEquivalent(T42,U42)</f>
        <v>#NUM!</v>
      </c>
      <c r="W42" s="234" t="b">
        <f t="shared" si="2"/>
        <v>0</v>
      </c>
      <c r="X42" s="342">
        <f>X41</f>
        <v>10.1</v>
      </c>
      <c r="Y42" s="223"/>
      <c r="Z42" s="341">
        <v>11.4</v>
      </c>
      <c r="AA42" s="223"/>
      <c r="AB42" s="457">
        <v>10.1</v>
      </c>
      <c r="AC42" s="233">
        <f>_xll.qlSimpleQuoteSetValue(F42,AB42/10000,Trigger)</f>
        <v>0</v>
      </c>
      <c r="AD42" s="189"/>
      <c r="AE42" s="19"/>
      <c r="AF42" s="19"/>
      <c r="AG42" s="19"/>
      <c r="AH42" s="19"/>
      <c r="AI42" s="19" t="str">
        <f t="shared" si="3"/>
        <v>60Y</v>
      </c>
      <c r="AJ42" s="340" t="e">
        <f>((Swap6M!AB42-Swap3M!AB42)*100-AB42)/10000</f>
        <v>#NUM!</v>
      </c>
    </row>
    <row r="43" spans="1:36" ht="13.5" thickBot="1" x14ac:dyDescent="0.25">
      <c r="A43" s="66"/>
      <c r="B43" s="65"/>
      <c r="C43" s="65"/>
      <c r="D43" s="65"/>
      <c r="E43" s="65"/>
      <c r="F43" s="64"/>
      <c r="G43" s="64"/>
      <c r="H43" s="63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  <c r="AE43" s="19"/>
      <c r="AF43" s="19"/>
      <c r="AG43" s="19"/>
      <c r="AH43" s="19"/>
      <c r="AI43" s="19"/>
      <c r="AJ43" s="19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8" customWidth="1"/>
    <col min="2" max="2" width="6.5703125" style="18" bestFit="1" customWidth="1"/>
    <col min="3" max="3" width="3.5703125" style="18" bestFit="1" customWidth="1"/>
    <col min="4" max="4" width="2.7109375" style="18" bestFit="1" customWidth="1"/>
    <col min="5" max="5" width="18.7109375" style="18" bestFit="1" customWidth="1"/>
    <col min="6" max="6" width="20.5703125" style="18" bestFit="1" customWidth="1"/>
    <col min="7" max="7" width="34.42578125" style="18" customWidth="1"/>
    <col min="8" max="9" width="2.7109375" style="18" customWidth="1"/>
    <col min="10" max="10" width="4" style="18" bestFit="1" customWidth="1"/>
    <col min="11" max="11" width="3.5703125" style="18" customWidth="1"/>
    <col min="12" max="12" width="3.5703125" style="18" bestFit="1" customWidth="1"/>
    <col min="13" max="13" width="2.7109375" style="18" customWidth="1"/>
    <col min="14" max="24" width="9.140625" style="18"/>
    <col min="25" max="25" width="2.7109375" style="18" customWidth="1"/>
    <col min="26" max="26" width="9.140625" style="18"/>
    <col min="27" max="27" width="2.7109375" style="18" customWidth="1"/>
    <col min="28" max="29" width="9.140625" style="18"/>
    <col min="30" max="31" width="2.7109375" style="18" customWidth="1"/>
    <col min="32" max="16384" width="9.140625" style="18"/>
  </cols>
  <sheetData>
    <row r="1" spans="1:34" x14ac:dyDescent="0.2">
      <c r="N1" s="287" t="s">
        <v>286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</row>
    <row r="2" spans="1:34" x14ac:dyDescent="0.2">
      <c r="N2" s="256"/>
      <c r="O2" s="131"/>
      <c r="P2" s="223"/>
      <c r="Q2" s="223"/>
      <c r="R2" s="223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</row>
    <row r="3" spans="1:34" x14ac:dyDescent="0.2">
      <c r="A3" s="96" t="s">
        <v>123</v>
      </c>
      <c r="B3" s="91"/>
      <c r="C3" s="91"/>
      <c r="D3" s="91"/>
      <c r="E3" s="92"/>
      <c r="F3" s="93"/>
      <c r="G3" s="92"/>
      <c r="H3" s="88"/>
      <c r="N3" s="116"/>
      <c r="O3" s="223"/>
      <c r="P3" s="131"/>
      <c r="Q3" s="131"/>
      <c r="R3" s="131"/>
      <c r="S3" s="131" t="str">
        <f>_xll.qlInterpolation(,InterpolationType,_xll.ohFilter(N5:N42,W5:W42),_xll.ohFilter(V5:V42,W5:W42))</f>
        <v>obj_00423#0016</v>
      </c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18</v>
      </c>
      <c r="AD3" s="189"/>
      <c r="AE3" s="19"/>
      <c r="AF3" s="19"/>
      <c r="AG3" s="19"/>
      <c r="AH3" s="19"/>
    </row>
    <row r="4" spans="1:34" ht="23.25" thickBot="1" x14ac:dyDescent="0.25">
      <c r="A4" s="73"/>
      <c r="B4" s="86" t="s">
        <v>114</v>
      </c>
      <c r="C4" s="87"/>
      <c r="D4" s="86"/>
      <c r="E4" s="85" t="str">
        <f>Currency&amp;"_010_Sw"&amp;$C$9&amp;$D$9&amp;".xml"</f>
        <v>USD_010_Sw12L3L.xml</v>
      </c>
      <c r="F4" s="84" t="str">
        <f>IF(Serialize,_xll.ohObjectSave(F5:F42,SerializationPath&amp;E4,FileOverwrite,Serialize),"---")</f>
        <v>---</v>
      </c>
      <c r="G4" s="68" t="str">
        <f>_xll.ohRangeRetrieveError(F4)</f>
        <v/>
      </c>
      <c r="H4" s="67"/>
      <c r="N4" s="116"/>
      <c r="O4" s="285"/>
      <c r="P4" s="165"/>
      <c r="Q4" s="165"/>
      <c r="R4" s="165"/>
      <c r="S4" s="218" t="str">
        <f>_xll.RData(S5:S42,T4:U4,"RTFEED:IDN",ReutersRtMode,,T5)</f>
        <v>Paused at 15:28:02</v>
      </c>
      <c r="T4" s="284" t="s">
        <v>207</v>
      </c>
      <c r="U4" s="284" t="s">
        <v>206</v>
      </c>
      <c r="V4" s="284" t="s">
        <v>263</v>
      </c>
      <c r="W4" s="284"/>
      <c r="X4" s="249" t="s">
        <v>262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</row>
    <row r="5" spans="1:34" x14ac:dyDescent="0.2">
      <c r="A5" s="73"/>
      <c r="B5" s="83" t="s">
        <v>15</v>
      </c>
      <c r="C5" s="71" t="str">
        <f>VLOOKUP(Currency,$J$10:$L$14,2)</f>
        <v>12L</v>
      </c>
      <c r="D5" s="70" t="str">
        <f>VLOOKUP(Currency,$J$10:$L$14,3)</f>
        <v>3L</v>
      </c>
      <c r="E5" s="69" t="str">
        <f t="shared" ref="E5:E42" si="0">IF(ISBLANK(C5),"#",Currency&amp;$C5&amp;$D5&amp;$B5&amp;QuoteSuffix)</f>
        <v>USD12L3L6M_Quote</v>
      </c>
      <c r="F5" s="69" t="str">
        <f>_xll.qlSimpleQuote(E5,,RateTickValue,Permanent,Trigger,ObjectOverwrite)</f>
        <v>USD12L3L6M_Quote#0000</v>
      </c>
      <c r="G5" s="68" t="str">
        <f>_xll.ohRangeRetrieveError(F5)</f>
        <v/>
      </c>
      <c r="H5" s="67"/>
      <c r="N5" s="348">
        <v>0.5</v>
      </c>
      <c r="O5" s="227" t="s">
        <v>15</v>
      </c>
      <c r="P5" s="276" t="str">
        <f t="array" ref="P5:P42">VLOOKUP(Currency,Conventions,2)</f>
        <v>12L</v>
      </c>
      <c r="Q5" s="276" t="str">
        <f t="array" ref="Q5:Q42">VLOOKUP(Currency,Conventions,3)</f>
        <v>3L</v>
      </c>
      <c r="R5" s="274" t="str">
        <f t="shared" ref="R5:R42" si="1">Currency&amp;$P5&amp;$Q5&amp;$O5</f>
        <v>USD12L3L6M</v>
      </c>
      <c r="S5" s="226" t="str">
        <f t="array" ref="S5:S42">Instruments&amp;"="&amp;VLOOKUP(Contributor,ContributorTable,2,FALSE)</f>
        <v>USD12L3L6M=ICAP</v>
      </c>
      <c r="T5" s="346" t="s">
        <v>219</v>
      </c>
      <c r="U5" s="346" t="s">
        <v>219</v>
      </c>
      <c r="V5" s="346" t="e">
        <f>_xll.qlMidEquivalent(T5,U5)</f>
        <v>#NUM!</v>
      </c>
      <c r="W5" s="221" t="b">
        <f t="shared" ref="W5:W42" si="2">IF(ISNUMBER(V5),TRUE,FALSE)</f>
        <v>0</v>
      </c>
      <c r="X5" s="347" t="e">
        <f t="array" ref="X5:X38">_xll.qlInterpolationInterpolate(S3,N5:N42)</f>
        <v>#NUM!</v>
      </c>
      <c r="Y5" s="223"/>
      <c r="Z5" s="344" t="e">
        <v>#NUM!</v>
      </c>
      <c r="AA5" s="223"/>
      <c r="AB5" s="456" t="e">
        <f t="array" ref="AB5:AB42">QuoteLive</f>
        <v>#NUM!</v>
      </c>
      <c r="AC5" s="220" t="e">
        <f>_xll.qlSimpleQuoteSetValue(F5,AB5/10000,Trigger)</f>
        <v>#NUM!</v>
      </c>
      <c r="AD5" s="189"/>
      <c r="AE5" s="19"/>
      <c r="AF5" s="82" t="s">
        <v>110</v>
      </c>
      <c r="AG5" s="81" t="s">
        <v>104</v>
      </c>
      <c r="AH5" s="80" t="s">
        <v>116</v>
      </c>
    </row>
    <row r="6" spans="1:34" x14ac:dyDescent="0.2">
      <c r="A6" s="73"/>
      <c r="B6" s="83" t="s">
        <v>9</v>
      </c>
      <c r="C6" s="71" t="str">
        <f t="shared" ref="C6:C42" si="3">C5</f>
        <v>12L</v>
      </c>
      <c r="D6" s="70" t="str">
        <f t="shared" ref="D6:D42" si="4">D5</f>
        <v>3L</v>
      </c>
      <c r="E6" s="69" t="str">
        <f t="shared" si="0"/>
        <v>USD12L3L1Y_Quote</v>
      </c>
      <c r="F6" s="69" t="str">
        <f>_xll.qlSimpleQuote(E6,,RateTickValue,Permanent,Trigger,ObjectOverwrite)</f>
        <v>USD12L3L1Y_Quote#0000</v>
      </c>
      <c r="G6" s="68" t="str">
        <f>_xll.ohRangeRetrieveError(F6)</f>
        <v/>
      </c>
      <c r="H6" s="67"/>
      <c r="N6" s="348">
        <v>1</v>
      </c>
      <c r="O6" s="227" t="s">
        <v>9</v>
      </c>
      <c r="P6" s="276" t="str">
        <v>12L</v>
      </c>
      <c r="Q6" s="276" t="str">
        <v>3L</v>
      </c>
      <c r="R6" s="274" t="str">
        <f t="shared" si="1"/>
        <v>USD12L3L1Y</v>
      </c>
      <c r="S6" s="226" t="str">
        <v>USD12L3L1Y=ICAP</v>
      </c>
      <c r="T6" s="346">
        <v>28.8</v>
      </c>
      <c r="U6" s="346">
        <v>0</v>
      </c>
      <c r="V6" s="346">
        <f>_xll.qlMidEquivalent(T6,U6)</f>
        <v>28.8</v>
      </c>
      <c r="W6" s="221" t="b">
        <f t="shared" si="2"/>
        <v>1</v>
      </c>
      <c r="X6" s="347">
        <v>28.8</v>
      </c>
      <c r="Y6" s="223"/>
      <c r="Z6" s="344">
        <v>31.4</v>
      </c>
      <c r="AA6" s="223"/>
      <c r="AB6" s="456">
        <v>28.8</v>
      </c>
      <c r="AC6" s="220">
        <f>_xll.qlSimpleQuoteSetValue(F6,AB6/10000,Trigger)</f>
        <v>0</v>
      </c>
      <c r="AD6" s="189"/>
      <c r="AE6" s="19"/>
      <c r="AF6" s="79" t="s">
        <v>109</v>
      </c>
      <c r="AG6" s="78" t="s">
        <v>107</v>
      </c>
      <c r="AH6" s="77" t="s">
        <v>117</v>
      </c>
    </row>
    <row r="7" spans="1:34" x14ac:dyDescent="0.2">
      <c r="A7" s="73"/>
      <c r="B7" s="83" t="s">
        <v>113</v>
      </c>
      <c r="C7" s="71" t="str">
        <f t="shared" si="3"/>
        <v>12L</v>
      </c>
      <c r="D7" s="70" t="str">
        <f t="shared" si="4"/>
        <v>3L</v>
      </c>
      <c r="E7" s="69" t="str">
        <f t="shared" si="0"/>
        <v>USD12L3L15M_Quote</v>
      </c>
      <c r="F7" s="69" t="str">
        <f>_xll.qlSimpleQuote(E7,,RateTickValue,Permanent,Trigger,ObjectOverwrite)</f>
        <v>USD12L3L15M_Quote#0000</v>
      </c>
      <c r="G7" s="68" t="str">
        <f>_xll.ohRangeRetrieveError(F7)</f>
        <v/>
      </c>
      <c r="H7" s="67"/>
      <c r="N7" s="348">
        <v>1.25</v>
      </c>
      <c r="O7" s="227" t="s">
        <v>113</v>
      </c>
      <c r="P7" s="276" t="str">
        <v>12L</v>
      </c>
      <c r="Q7" s="276" t="str">
        <v>3L</v>
      </c>
      <c r="R7" s="274" t="str">
        <f t="shared" si="1"/>
        <v>USD12L3L15M</v>
      </c>
      <c r="S7" s="226" t="str">
        <v>USD12L3L15M=ICAP</v>
      </c>
      <c r="T7" s="346" t="s">
        <v>219</v>
      </c>
      <c r="U7" s="346" t="s">
        <v>219</v>
      </c>
      <c r="V7" s="346" t="e">
        <f>_xll.qlMidEquivalent(T7,U7)</f>
        <v>#NUM!</v>
      </c>
      <c r="W7" s="221" t="b">
        <f t="shared" si="2"/>
        <v>0</v>
      </c>
      <c r="X7" s="347">
        <v>28.847713123044564</v>
      </c>
      <c r="Y7" s="223"/>
      <c r="Z7" s="344">
        <v>31.176530133774591</v>
      </c>
      <c r="AA7" s="223"/>
      <c r="AB7" s="456">
        <v>28.847713123044564</v>
      </c>
      <c r="AC7" s="220">
        <f>_xll.qlSimpleQuoteSetValue(F7,AB7/10000,Trigger)</f>
        <v>-2.7053276558178241E-7</v>
      </c>
      <c r="AD7" s="189"/>
      <c r="AE7" s="19"/>
      <c r="AF7" s="79" t="s">
        <v>106</v>
      </c>
      <c r="AG7" s="78" t="s">
        <v>104</v>
      </c>
      <c r="AH7" s="77" t="s">
        <v>116</v>
      </c>
    </row>
    <row r="8" spans="1:34" x14ac:dyDescent="0.2">
      <c r="A8" s="73"/>
      <c r="B8" s="83" t="s">
        <v>112</v>
      </c>
      <c r="C8" s="71" t="str">
        <f t="shared" si="3"/>
        <v>12L</v>
      </c>
      <c r="D8" s="70" t="str">
        <f t="shared" si="4"/>
        <v>3L</v>
      </c>
      <c r="E8" s="69" t="str">
        <f t="shared" si="0"/>
        <v>USD12L3L18M_Quote</v>
      </c>
      <c r="F8" s="69" t="str">
        <f>_xll.qlSimpleQuote(E8,,RateTickValue,Permanent,Trigger,ObjectOverwrite)</f>
        <v>USD12L3L18M_Quote#0000</v>
      </c>
      <c r="G8" s="68" t="str">
        <f>_xll.ohRangeRetrieveError(F8)</f>
        <v/>
      </c>
      <c r="H8" s="67"/>
      <c r="N8" s="348">
        <v>1.5</v>
      </c>
      <c r="O8" s="227" t="s">
        <v>112</v>
      </c>
      <c r="P8" s="276" t="str">
        <v>12L</v>
      </c>
      <c r="Q8" s="276" t="str">
        <v>3L</v>
      </c>
      <c r="R8" s="274" t="str">
        <f t="shared" si="1"/>
        <v>USD12L3L18M</v>
      </c>
      <c r="S8" s="226" t="str">
        <v>USD12L3L18M=ICAP</v>
      </c>
      <c r="T8" s="346" t="s">
        <v>219</v>
      </c>
      <c r="U8" s="346" t="s">
        <v>219</v>
      </c>
      <c r="V8" s="346" t="e">
        <f>_xll.qlMidEquivalent(T8,U8)</f>
        <v>#NUM!</v>
      </c>
      <c r="W8" s="221" t="b">
        <f t="shared" si="2"/>
        <v>0</v>
      </c>
      <c r="X8" s="347">
        <v>28.886340996871297</v>
      </c>
      <c r="Y8" s="223"/>
      <c r="Z8" s="344">
        <v>30.962448214039345</v>
      </c>
      <c r="AA8" s="223"/>
      <c r="AB8" s="456">
        <v>28.886340996871297</v>
      </c>
      <c r="AC8" s="220">
        <f>_xll.qlSimpleQuoteSetValue(F8,AB8/10000,Trigger)</f>
        <v>-4.3285242493128553E-7</v>
      </c>
      <c r="AD8" s="189"/>
      <c r="AE8" s="19"/>
      <c r="AF8" s="79" t="s">
        <v>105</v>
      </c>
      <c r="AG8" s="78" t="s">
        <v>104</v>
      </c>
      <c r="AH8" s="77" t="s">
        <v>116</v>
      </c>
    </row>
    <row r="9" spans="1:34" ht="13.5" thickBot="1" x14ac:dyDescent="0.25">
      <c r="A9" s="73"/>
      <c r="B9" s="83" t="s">
        <v>111</v>
      </c>
      <c r="C9" s="71" t="str">
        <f t="shared" si="3"/>
        <v>12L</v>
      </c>
      <c r="D9" s="70" t="str">
        <f t="shared" si="4"/>
        <v>3L</v>
      </c>
      <c r="E9" s="69" t="str">
        <f t="shared" si="0"/>
        <v>USD12L3L21M_Quote</v>
      </c>
      <c r="F9" s="69" t="str">
        <f>_xll.qlSimpleQuote(E9,,RateTickValue,Permanent,Trigger,ObjectOverwrite)</f>
        <v>USD12L3L21M_Quote#0000</v>
      </c>
      <c r="G9" s="68" t="str">
        <f>_xll.ohRangeRetrieveError(F9)</f>
        <v/>
      </c>
      <c r="H9" s="67"/>
      <c r="N9" s="348">
        <v>1.75</v>
      </c>
      <c r="O9" s="227" t="s">
        <v>111</v>
      </c>
      <c r="P9" s="276" t="str">
        <v>12L</v>
      </c>
      <c r="Q9" s="276" t="str">
        <v>3L</v>
      </c>
      <c r="R9" s="274" t="str">
        <f t="shared" si="1"/>
        <v>USD12L3L21M</v>
      </c>
      <c r="S9" s="226" t="str">
        <v>USD12L3L21M=ICAP</v>
      </c>
      <c r="T9" s="346" t="s">
        <v>219</v>
      </c>
      <c r="U9" s="346" t="s">
        <v>219</v>
      </c>
      <c r="V9" s="346" t="e">
        <f>_xll.qlMidEquivalent(T9,U9)</f>
        <v>#NUM!</v>
      </c>
      <c r="W9" s="221" t="b">
        <f t="shared" si="2"/>
        <v>0</v>
      </c>
      <c r="X9" s="347">
        <v>28.906798372262386</v>
      </c>
      <c r="Y9" s="223"/>
      <c r="Z9" s="344">
        <v>30.767142187284428</v>
      </c>
      <c r="AA9" s="223"/>
      <c r="AB9" s="456">
        <v>28.906798372262386</v>
      </c>
      <c r="AC9" s="220">
        <f>_xll.qlSimpleQuoteSetValue(F9,AB9/10000,Trigger)</f>
        <v>-3.7874587181492905E-7</v>
      </c>
      <c r="AD9" s="189"/>
      <c r="AE9" s="19"/>
      <c r="AF9" s="76" t="s">
        <v>100</v>
      </c>
      <c r="AG9" s="75" t="s">
        <v>116</v>
      </c>
      <c r="AH9" s="74" t="s">
        <v>103</v>
      </c>
    </row>
    <row r="10" spans="1:34" x14ac:dyDescent="0.2">
      <c r="A10" s="73"/>
      <c r="B10" s="72" t="s">
        <v>87</v>
      </c>
      <c r="C10" s="71" t="str">
        <f t="shared" si="3"/>
        <v>12L</v>
      </c>
      <c r="D10" s="70" t="str">
        <f t="shared" si="4"/>
        <v>3L</v>
      </c>
      <c r="E10" s="69" t="str">
        <f t="shared" si="0"/>
        <v>USD12L3L2Y_Quote</v>
      </c>
      <c r="F10" s="69" t="str">
        <f>_xll.qlSimpleQuote(E10,,RateTickValue,Permanent,Trigger,ObjectOverwrite)</f>
        <v>USD12L3L2Y_Quote#0000</v>
      </c>
      <c r="G10" s="68" t="str">
        <f>_xll.ohRangeRetrieveError(F10)</f>
        <v/>
      </c>
      <c r="H10" s="67"/>
      <c r="J10" s="82" t="s">
        <v>110</v>
      </c>
      <c r="K10" s="81" t="s">
        <v>104</v>
      </c>
      <c r="L10" s="80" t="s">
        <v>116</v>
      </c>
      <c r="N10" s="116">
        <v>2</v>
      </c>
      <c r="O10" s="227" t="s">
        <v>87</v>
      </c>
      <c r="P10" s="276" t="str">
        <v>12L</v>
      </c>
      <c r="Q10" s="276" t="str">
        <v>3L</v>
      </c>
      <c r="R10" s="274" t="str">
        <f t="shared" si="1"/>
        <v>USD12L3L2Y</v>
      </c>
      <c r="S10" s="226" t="str">
        <v>USD12L3L2Y=ICAP</v>
      </c>
      <c r="T10" s="346">
        <v>28.9</v>
      </c>
      <c r="U10" s="346">
        <v>0</v>
      </c>
      <c r="V10" s="346">
        <f>_xll.qlMidEquivalent(T10,U10)</f>
        <v>28.9</v>
      </c>
      <c r="W10" s="221" t="b">
        <f t="shared" si="2"/>
        <v>1</v>
      </c>
      <c r="X10" s="347">
        <v>28.9</v>
      </c>
      <c r="Y10" s="223"/>
      <c r="Z10" s="344">
        <v>30.6</v>
      </c>
      <c r="AA10" s="223"/>
      <c r="AB10" s="456">
        <v>28.9</v>
      </c>
      <c r="AC10" s="220">
        <f>_xll.qlSimpleQuoteSetValue(F10,AB10/10000,Trigger)</f>
        <v>0</v>
      </c>
      <c r="AD10" s="189"/>
      <c r="AE10" s="19"/>
      <c r="AF10" s="19"/>
      <c r="AG10" s="19"/>
      <c r="AH10" s="19"/>
    </row>
    <row r="11" spans="1:34" x14ac:dyDescent="0.2">
      <c r="A11" s="73"/>
      <c r="B11" s="72" t="s">
        <v>86</v>
      </c>
      <c r="C11" s="71" t="str">
        <f t="shared" si="3"/>
        <v>12L</v>
      </c>
      <c r="D11" s="70" t="str">
        <f t="shared" si="4"/>
        <v>3L</v>
      </c>
      <c r="E11" s="69" t="str">
        <f t="shared" si="0"/>
        <v>USD12L3L3Y_Quote</v>
      </c>
      <c r="F11" s="69" t="str">
        <f>_xll.qlSimpleQuote(E11,,RateTickValue,Permanent,Trigger,ObjectOverwrite)</f>
        <v>USD12L3L3Y_Quote#0000</v>
      </c>
      <c r="G11" s="68" t="str">
        <f>_xll.ohRangeRetrieveError(F11)</f>
        <v/>
      </c>
      <c r="H11" s="67"/>
      <c r="J11" s="79" t="s">
        <v>109</v>
      </c>
      <c r="K11" s="78" t="s">
        <v>107</v>
      </c>
      <c r="L11" s="77" t="s">
        <v>117</v>
      </c>
      <c r="N11" s="116">
        <v>3</v>
      </c>
      <c r="O11" s="227" t="s">
        <v>86</v>
      </c>
      <c r="P11" s="276" t="str">
        <v>12L</v>
      </c>
      <c r="Q11" s="276" t="str">
        <v>3L</v>
      </c>
      <c r="R11" s="274" t="str">
        <f t="shared" si="1"/>
        <v>USD12L3L3Y</v>
      </c>
      <c r="S11" s="226" t="str">
        <v>USD12L3L3Y=ICAP</v>
      </c>
      <c r="T11" s="346">
        <v>28.6</v>
      </c>
      <c r="U11" s="346">
        <v>0</v>
      </c>
      <c r="V11" s="346">
        <f>_xll.qlMidEquivalent(T11,U11)</f>
        <v>28.6</v>
      </c>
      <c r="W11" s="221" t="b">
        <f t="shared" si="2"/>
        <v>1</v>
      </c>
      <c r="X11" s="347">
        <v>28.6</v>
      </c>
      <c r="Y11" s="223"/>
      <c r="Z11" s="344">
        <v>30.2</v>
      </c>
      <c r="AA11" s="223"/>
      <c r="AB11" s="456">
        <v>28.6</v>
      </c>
      <c r="AC11" s="220">
        <f>_xll.qlSimpleQuoteSetValue(F11,AB11/10000,Trigger)</f>
        <v>0</v>
      </c>
      <c r="AD11" s="189"/>
      <c r="AE11" s="19"/>
      <c r="AF11" s="19"/>
      <c r="AG11" s="19"/>
      <c r="AH11" s="19"/>
    </row>
    <row r="12" spans="1:34" x14ac:dyDescent="0.2">
      <c r="A12" s="73"/>
      <c r="B12" s="72" t="s">
        <v>85</v>
      </c>
      <c r="C12" s="71" t="str">
        <f t="shared" si="3"/>
        <v>12L</v>
      </c>
      <c r="D12" s="70" t="str">
        <f t="shared" si="4"/>
        <v>3L</v>
      </c>
      <c r="E12" s="69" t="str">
        <f t="shared" si="0"/>
        <v>USD12L3L4Y_Quote</v>
      </c>
      <c r="F12" s="69" t="str">
        <f>_xll.qlSimpleQuote(E12,,RateTickValue,Permanent,Trigger,ObjectOverwrite)</f>
        <v>USD12L3L4Y_Quote#0000</v>
      </c>
      <c r="G12" s="68" t="str">
        <f>_xll.ohRangeRetrieveError(F12)</f>
        <v/>
      </c>
      <c r="H12" s="67"/>
      <c r="J12" s="79" t="s">
        <v>106</v>
      </c>
      <c r="K12" s="78" t="s">
        <v>104</v>
      </c>
      <c r="L12" s="77" t="s">
        <v>116</v>
      </c>
      <c r="N12" s="116">
        <v>4</v>
      </c>
      <c r="O12" s="227" t="s">
        <v>85</v>
      </c>
      <c r="P12" s="276" t="str">
        <v>12L</v>
      </c>
      <c r="Q12" s="276" t="str">
        <v>3L</v>
      </c>
      <c r="R12" s="274" t="str">
        <f t="shared" si="1"/>
        <v>USD12L3L4Y</v>
      </c>
      <c r="S12" s="226" t="str">
        <v>USD12L3L4Y=ICAP</v>
      </c>
      <c r="T12" s="346">
        <v>28.2</v>
      </c>
      <c r="U12" s="346">
        <v>0</v>
      </c>
      <c r="V12" s="346">
        <f>_xll.qlMidEquivalent(T12,U12)</f>
        <v>28.2</v>
      </c>
      <c r="W12" s="221" t="b">
        <f t="shared" si="2"/>
        <v>1</v>
      </c>
      <c r="X12" s="347">
        <v>28.2</v>
      </c>
      <c r="Y12" s="223"/>
      <c r="Z12" s="344">
        <v>29.9</v>
      </c>
      <c r="AA12" s="223"/>
      <c r="AB12" s="456">
        <v>28.2</v>
      </c>
      <c r="AC12" s="220">
        <f>_xll.qlSimpleQuoteSetValue(F12,AB12/10000,Trigger)</f>
        <v>-1.0000000000000026E-5</v>
      </c>
      <c r="AD12" s="189"/>
      <c r="AE12" s="19"/>
      <c r="AF12" s="19"/>
      <c r="AG12" s="19"/>
      <c r="AH12" s="19"/>
    </row>
    <row r="13" spans="1:34" x14ac:dyDescent="0.2">
      <c r="A13" s="73"/>
      <c r="B13" s="72" t="s">
        <v>84</v>
      </c>
      <c r="C13" s="71" t="str">
        <f t="shared" si="3"/>
        <v>12L</v>
      </c>
      <c r="D13" s="70" t="str">
        <f t="shared" si="4"/>
        <v>3L</v>
      </c>
      <c r="E13" s="69" t="str">
        <f t="shared" si="0"/>
        <v>USD12L3L5Y_Quote</v>
      </c>
      <c r="F13" s="69" t="str">
        <f>_xll.qlSimpleQuote(E13,,RateTickValue,Permanent,Trigger,ObjectOverwrite)</f>
        <v>USD12L3L5Y_Quote#0000</v>
      </c>
      <c r="G13" s="68" t="str">
        <f>_xll.ohRangeRetrieveError(F13)</f>
        <v/>
      </c>
      <c r="H13" s="67"/>
      <c r="J13" s="79" t="s">
        <v>105</v>
      </c>
      <c r="K13" s="78" t="s">
        <v>104</v>
      </c>
      <c r="L13" s="77" t="s">
        <v>116</v>
      </c>
      <c r="N13" s="116">
        <v>5</v>
      </c>
      <c r="O13" s="227" t="s">
        <v>84</v>
      </c>
      <c r="P13" s="276" t="str">
        <v>12L</v>
      </c>
      <c r="Q13" s="276" t="str">
        <v>3L</v>
      </c>
      <c r="R13" s="274" t="str">
        <f t="shared" si="1"/>
        <v>USD12L3L5Y</v>
      </c>
      <c r="S13" s="226" t="str">
        <v>USD12L3L5Y=ICAP</v>
      </c>
      <c r="T13" s="346">
        <v>27.9</v>
      </c>
      <c r="U13" s="346">
        <v>0</v>
      </c>
      <c r="V13" s="346">
        <f>_xll.qlMidEquivalent(T13,U13)</f>
        <v>27.9</v>
      </c>
      <c r="W13" s="221" t="b">
        <f t="shared" si="2"/>
        <v>1</v>
      </c>
      <c r="X13" s="347">
        <v>27.9</v>
      </c>
      <c r="Y13" s="223"/>
      <c r="Z13" s="344">
        <v>29.6</v>
      </c>
      <c r="AA13" s="223"/>
      <c r="AB13" s="456">
        <v>27.9</v>
      </c>
      <c r="AC13" s="220">
        <f>_xll.qlSimpleQuoteSetValue(F13,AB13/10000,Trigger)</f>
        <v>0</v>
      </c>
      <c r="AD13" s="189"/>
      <c r="AE13" s="19"/>
      <c r="AF13" s="19"/>
      <c r="AG13" s="19"/>
      <c r="AH13" s="19"/>
    </row>
    <row r="14" spans="1:34" ht="13.5" thickBot="1" x14ac:dyDescent="0.25">
      <c r="A14" s="73"/>
      <c r="B14" s="72" t="s">
        <v>83</v>
      </c>
      <c r="C14" s="71" t="str">
        <f t="shared" si="3"/>
        <v>12L</v>
      </c>
      <c r="D14" s="70" t="str">
        <f t="shared" si="4"/>
        <v>3L</v>
      </c>
      <c r="E14" s="69" t="str">
        <f t="shared" si="0"/>
        <v>USD12L3L6Y_Quote</v>
      </c>
      <c r="F14" s="69" t="str">
        <f>_xll.qlSimpleQuote(E14,,RateTickValue,Permanent,Trigger,ObjectOverwrite)</f>
        <v>USD12L3L6Y_Quote#0000</v>
      </c>
      <c r="G14" s="68" t="str">
        <f>_xll.ohRangeRetrieveError(F14)</f>
        <v/>
      </c>
      <c r="H14" s="67"/>
      <c r="J14" s="76" t="s">
        <v>100</v>
      </c>
      <c r="K14" s="75" t="s">
        <v>116</v>
      </c>
      <c r="L14" s="74" t="s">
        <v>103</v>
      </c>
      <c r="N14" s="116">
        <v>6</v>
      </c>
      <c r="O14" s="227" t="s">
        <v>83</v>
      </c>
      <c r="P14" s="276" t="str">
        <v>12L</v>
      </c>
      <c r="Q14" s="276" t="str">
        <v>3L</v>
      </c>
      <c r="R14" s="274" t="str">
        <f t="shared" si="1"/>
        <v>USD12L3L6Y</v>
      </c>
      <c r="S14" s="226" t="str">
        <v>USD12L3L6Y=ICAP</v>
      </c>
      <c r="T14" s="346">
        <v>27.4</v>
      </c>
      <c r="U14" s="346">
        <v>0</v>
      </c>
      <c r="V14" s="346">
        <f>_xll.qlMidEquivalent(T14,U14)</f>
        <v>27.4</v>
      </c>
      <c r="W14" s="221" t="b">
        <f t="shared" si="2"/>
        <v>1</v>
      </c>
      <c r="X14" s="347">
        <v>27.4</v>
      </c>
      <c r="Y14" s="223"/>
      <c r="Z14" s="344">
        <v>29.3</v>
      </c>
      <c r="AA14" s="223"/>
      <c r="AB14" s="456">
        <v>27.4</v>
      </c>
      <c r="AC14" s="220">
        <f>_xll.qlSimpleQuoteSetValue(F14,AB14/10000,Trigger)</f>
        <v>0</v>
      </c>
      <c r="AD14" s="189"/>
      <c r="AE14" s="19"/>
      <c r="AF14" s="19"/>
      <c r="AG14" s="19"/>
      <c r="AH14" s="19"/>
    </row>
    <row r="15" spans="1:34" x14ac:dyDescent="0.2">
      <c r="A15" s="73"/>
      <c r="B15" s="72" t="s">
        <v>82</v>
      </c>
      <c r="C15" s="71" t="str">
        <f t="shared" si="3"/>
        <v>12L</v>
      </c>
      <c r="D15" s="70" t="str">
        <f t="shared" si="4"/>
        <v>3L</v>
      </c>
      <c r="E15" s="69" t="str">
        <f t="shared" si="0"/>
        <v>USD12L3L7Y_Quote</v>
      </c>
      <c r="F15" s="69" t="str">
        <f>_xll.qlSimpleQuote(E15,,RateTickValue,Permanent,Trigger,ObjectOverwrite)</f>
        <v>USD12L3L7Y_Quote#0000</v>
      </c>
      <c r="G15" s="68" t="str">
        <f>_xll.ohRangeRetrieveError(F15)</f>
        <v/>
      </c>
      <c r="H15" s="67"/>
      <c r="N15" s="116">
        <v>7</v>
      </c>
      <c r="O15" s="227" t="s">
        <v>82</v>
      </c>
      <c r="P15" s="276" t="str">
        <v>12L</v>
      </c>
      <c r="Q15" s="276" t="str">
        <v>3L</v>
      </c>
      <c r="R15" s="274" t="str">
        <f t="shared" si="1"/>
        <v>USD12L3L7Y</v>
      </c>
      <c r="S15" s="226" t="str">
        <v>USD12L3L7Y=ICAP</v>
      </c>
      <c r="T15" s="346">
        <v>27</v>
      </c>
      <c r="U15" s="346">
        <v>0</v>
      </c>
      <c r="V15" s="346">
        <f>_xll.qlMidEquivalent(T15,U15)</f>
        <v>27</v>
      </c>
      <c r="W15" s="221" t="b">
        <f t="shared" si="2"/>
        <v>1</v>
      </c>
      <c r="X15" s="347">
        <v>27</v>
      </c>
      <c r="Y15" s="223"/>
      <c r="Z15" s="344">
        <v>29.1</v>
      </c>
      <c r="AA15" s="223"/>
      <c r="AB15" s="456">
        <v>27</v>
      </c>
      <c r="AC15" s="220">
        <f>_xll.qlSimpleQuoteSetValue(F15,AB15/10000,Trigger)</f>
        <v>0</v>
      </c>
      <c r="AD15" s="189"/>
      <c r="AE15" s="19"/>
      <c r="AF15" s="19"/>
      <c r="AG15" s="19"/>
      <c r="AH15" s="19"/>
    </row>
    <row r="16" spans="1:34" x14ac:dyDescent="0.2">
      <c r="A16" s="73"/>
      <c r="B16" s="72" t="s">
        <v>81</v>
      </c>
      <c r="C16" s="71" t="str">
        <f t="shared" si="3"/>
        <v>12L</v>
      </c>
      <c r="D16" s="70" t="str">
        <f t="shared" si="4"/>
        <v>3L</v>
      </c>
      <c r="E16" s="69" t="str">
        <f t="shared" si="0"/>
        <v>USD12L3L8Y_Quote</v>
      </c>
      <c r="F16" s="69" t="str">
        <f>_xll.qlSimpleQuote(E16,,RateTickValue,Permanent,Trigger,ObjectOverwrite)</f>
        <v>USD12L3L8Y_Quote#0000</v>
      </c>
      <c r="G16" s="68" t="str">
        <f>_xll.ohRangeRetrieveError(F16)</f>
        <v/>
      </c>
      <c r="H16" s="67"/>
      <c r="N16" s="116">
        <v>8</v>
      </c>
      <c r="O16" s="227" t="s">
        <v>81</v>
      </c>
      <c r="P16" s="276" t="str">
        <v>12L</v>
      </c>
      <c r="Q16" s="276" t="str">
        <v>3L</v>
      </c>
      <c r="R16" s="274" t="str">
        <f t="shared" si="1"/>
        <v>USD12L3L8Y</v>
      </c>
      <c r="S16" s="226" t="str">
        <v>USD12L3L8Y=ICAP</v>
      </c>
      <c r="T16" s="346">
        <v>26.6</v>
      </c>
      <c r="U16" s="346">
        <v>0</v>
      </c>
      <c r="V16" s="346">
        <f>_xll.qlMidEquivalent(T16,U16)</f>
        <v>26.6</v>
      </c>
      <c r="W16" s="221" t="b">
        <f t="shared" si="2"/>
        <v>1</v>
      </c>
      <c r="X16" s="347">
        <v>26.6</v>
      </c>
      <c r="Y16" s="223"/>
      <c r="Z16" s="344">
        <v>28.9</v>
      </c>
      <c r="AA16" s="223"/>
      <c r="AB16" s="456">
        <v>26.6</v>
      </c>
      <c r="AC16" s="220">
        <f>_xll.qlSimpleQuoteSetValue(F16,AB16/10000,Trigger)</f>
        <v>0</v>
      </c>
      <c r="AD16" s="189"/>
      <c r="AE16" s="19"/>
      <c r="AF16" s="19"/>
      <c r="AG16" s="19"/>
      <c r="AH16" s="19"/>
    </row>
    <row r="17" spans="1:34" x14ac:dyDescent="0.2">
      <c r="A17" s="73"/>
      <c r="B17" s="72" t="s">
        <v>80</v>
      </c>
      <c r="C17" s="71" t="str">
        <f t="shared" si="3"/>
        <v>12L</v>
      </c>
      <c r="D17" s="70" t="str">
        <f t="shared" si="4"/>
        <v>3L</v>
      </c>
      <c r="E17" s="69" t="str">
        <f t="shared" si="0"/>
        <v>USD12L3L9Y_Quote</v>
      </c>
      <c r="F17" s="69" t="str">
        <f>_xll.qlSimpleQuote(E17,,RateTickValue,Permanent,Trigger,ObjectOverwrite)</f>
        <v>USD12L3L9Y_Quote#0000</v>
      </c>
      <c r="G17" s="68" t="str">
        <f>_xll.ohRangeRetrieveError(F17)</f>
        <v/>
      </c>
      <c r="H17" s="67"/>
      <c r="N17" s="116">
        <v>9</v>
      </c>
      <c r="O17" s="227" t="s">
        <v>80</v>
      </c>
      <c r="P17" s="276" t="str">
        <v>12L</v>
      </c>
      <c r="Q17" s="276" t="str">
        <v>3L</v>
      </c>
      <c r="R17" s="274" t="str">
        <f t="shared" si="1"/>
        <v>USD12L3L9Y</v>
      </c>
      <c r="S17" s="226" t="str">
        <v>USD12L3L9Y=ICAP</v>
      </c>
      <c r="T17" s="346">
        <v>26.2</v>
      </c>
      <c r="U17" s="346">
        <v>0</v>
      </c>
      <c r="V17" s="346">
        <f>_xll.qlMidEquivalent(T17,U17)</f>
        <v>26.2</v>
      </c>
      <c r="W17" s="221" t="b">
        <f t="shared" si="2"/>
        <v>1</v>
      </c>
      <c r="X17" s="347">
        <v>26.2</v>
      </c>
      <c r="Y17" s="223"/>
      <c r="Z17" s="344">
        <v>28.7</v>
      </c>
      <c r="AA17" s="223"/>
      <c r="AB17" s="456">
        <v>26.2</v>
      </c>
      <c r="AC17" s="220">
        <f>_xll.qlSimpleQuoteSetValue(F17,AB17/10000,Trigger)</f>
        <v>0</v>
      </c>
      <c r="AD17" s="189"/>
      <c r="AE17" s="19"/>
      <c r="AF17" s="19"/>
      <c r="AG17" s="19"/>
      <c r="AH17" s="19"/>
    </row>
    <row r="18" spans="1:34" x14ac:dyDescent="0.2">
      <c r="A18" s="73"/>
      <c r="B18" s="72" t="s">
        <v>79</v>
      </c>
      <c r="C18" s="71" t="str">
        <f t="shared" si="3"/>
        <v>12L</v>
      </c>
      <c r="D18" s="70" t="str">
        <f t="shared" si="4"/>
        <v>3L</v>
      </c>
      <c r="E18" s="69" t="str">
        <f t="shared" si="0"/>
        <v>USD12L3L10Y_Quote</v>
      </c>
      <c r="F18" s="69" t="str">
        <f>_xll.qlSimpleQuote(E18,,RateTickValue,Permanent,Trigger,ObjectOverwrite)</f>
        <v>USD12L3L10Y_Quote#0000</v>
      </c>
      <c r="G18" s="68" t="str">
        <f>_xll.ohRangeRetrieveError(F18)</f>
        <v/>
      </c>
      <c r="H18" s="67"/>
      <c r="N18" s="116">
        <v>10</v>
      </c>
      <c r="O18" s="227" t="s">
        <v>79</v>
      </c>
      <c r="P18" s="276" t="str">
        <v>12L</v>
      </c>
      <c r="Q18" s="276" t="str">
        <v>3L</v>
      </c>
      <c r="R18" s="274" t="str">
        <f t="shared" si="1"/>
        <v>USD12L3L10Y</v>
      </c>
      <c r="S18" s="226" t="str">
        <v>USD12L3L10Y=ICAP</v>
      </c>
      <c r="T18" s="346">
        <v>25.9</v>
      </c>
      <c r="U18" s="346">
        <v>0</v>
      </c>
      <c r="V18" s="346">
        <f>_xll.qlMidEquivalent(T18,U18)</f>
        <v>25.9</v>
      </c>
      <c r="W18" s="221" t="b">
        <f t="shared" si="2"/>
        <v>1</v>
      </c>
      <c r="X18" s="347">
        <v>25.9</v>
      </c>
      <c r="Y18" s="223"/>
      <c r="Z18" s="344">
        <v>28.5</v>
      </c>
      <c r="AA18" s="223"/>
      <c r="AB18" s="456">
        <v>25.9</v>
      </c>
      <c r="AC18" s="220">
        <f>_xll.qlSimpleQuoteSetValue(F18,AB18/10000,Trigger)</f>
        <v>0</v>
      </c>
      <c r="AD18" s="189"/>
      <c r="AE18" s="19"/>
      <c r="AF18" s="19"/>
      <c r="AG18" s="19"/>
      <c r="AH18" s="19"/>
    </row>
    <row r="19" spans="1:34" x14ac:dyDescent="0.2">
      <c r="A19" s="73"/>
      <c r="B19" s="72" t="s">
        <v>78</v>
      </c>
      <c r="C19" s="71" t="str">
        <f t="shared" si="3"/>
        <v>12L</v>
      </c>
      <c r="D19" s="70" t="str">
        <f t="shared" si="4"/>
        <v>3L</v>
      </c>
      <c r="E19" s="69" t="str">
        <f t="shared" si="0"/>
        <v>USD12L3L11Y_Quote</v>
      </c>
      <c r="F19" s="69" t="str">
        <f>_xll.qlSimpleQuote(E19,,RateTickValue,Permanent,Trigger,ObjectOverwrite)</f>
        <v>USD12L3L11Y_Quote#0000</v>
      </c>
      <c r="G19" s="68" t="str">
        <f>_xll.ohRangeRetrieveError(F19)</f>
        <v/>
      </c>
      <c r="H19" s="67"/>
      <c r="N19" s="116">
        <v>11</v>
      </c>
      <c r="O19" s="227" t="s">
        <v>78</v>
      </c>
      <c r="P19" s="276" t="str">
        <v>12L</v>
      </c>
      <c r="Q19" s="276" t="str">
        <v>3L</v>
      </c>
      <c r="R19" s="274" t="str">
        <f t="shared" si="1"/>
        <v>USD12L3L11Y</v>
      </c>
      <c r="S19" s="226" t="str">
        <v>USD12L3L11Y=ICAP</v>
      </c>
      <c r="T19" s="346" t="s">
        <v>219</v>
      </c>
      <c r="U19" s="346" t="s">
        <v>219</v>
      </c>
      <c r="V19" s="346" t="e">
        <f>_xll.qlMidEquivalent(T19,U19)</f>
        <v>#NUM!</v>
      </c>
      <c r="W19" s="221" t="b">
        <f t="shared" si="2"/>
        <v>0</v>
      </c>
      <c r="X19" s="347">
        <v>25.676434844804973</v>
      </c>
      <c r="Y19" s="223"/>
      <c r="Z19" s="344">
        <v>28.297088844695441</v>
      </c>
      <c r="AA19" s="223"/>
      <c r="AB19" s="456">
        <v>25.676434844804973</v>
      </c>
      <c r="AC19" s="220">
        <f>_xll.qlSimpleQuoteSetValue(F19,AB19/10000,Trigger)</f>
        <v>-4.9382225266424162E-9</v>
      </c>
      <c r="AD19" s="189"/>
      <c r="AE19" s="19"/>
      <c r="AF19" s="19"/>
      <c r="AG19" s="19"/>
      <c r="AH19" s="19"/>
    </row>
    <row r="20" spans="1:34" x14ac:dyDescent="0.2">
      <c r="A20" s="73"/>
      <c r="B20" s="72" t="s">
        <v>77</v>
      </c>
      <c r="C20" s="71" t="str">
        <f t="shared" si="3"/>
        <v>12L</v>
      </c>
      <c r="D20" s="70" t="str">
        <f t="shared" si="4"/>
        <v>3L</v>
      </c>
      <c r="E20" s="69" t="str">
        <f t="shared" si="0"/>
        <v>USD12L3L12Y_Quote</v>
      </c>
      <c r="F20" s="69" t="str">
        <f>_xll.qlSimpleQuote(E20,,RateTickValue,Permanent,Trigger,ObjectOverwrite)</f>
        <v>USD12L3L12Y_Quote#0000</v>
      </c>
      <c r="G20" s="68" t="str">
        <f>_xll.ohRangeRetrieveError(F20)</f>
        <v/>
      </c>
      <c r="H20" s="67"/>
      <c r="N20" s="116">
        <v>12</v>
      </c>
      <c r="O20" s="227" t="s">
        <v>77</v>
      </c>
      <c r="P20" s="276" t="str">
        <v>12L</v>
      </c>
      <c r="Q20" s="276" t="str">
        <v>3L</v>
      </c>
      <c r="R20" s="274" t="str">
        <f t="shared" si="1"/>
        <v>USD12L3L12Y</v>
      </c>
      <c r="S20" s="226" t="str">
        <v>USD12L3L12Y=ICAP</v>
      </c>
      <c r="T20" s="346">
        <v>25.5</v>
      </c>
      <c r="U20" s="346">
        <v>0</v>
      </c>
      <c r="V20" s="346">
        <f>_xll.qlMidEquivalent(T20,U20)</f>
        <v>25.5</v>
      </c>
      <c r="W20" s="221" t="b">
        <f t="shared" si="2"/>
        <v>1</v>
      </c>
      <c r="X20" s="347">
        <v>25.5</v>
      </c>
      <c r="Y20" s="223"/>
      <c r="Z20" s="344">
        <v>28.1</v>
      </c>
      <c r="AA20" s="223"/>
      <c r="AB20" s="456">
        <v>25.5</v>
      </c>
      <c r="AC20" s="220">
        <f>_xll.qlSimpleQuoteSetValue(F20,AB20/10000,Trigger)</f>
        <v>0</v>
      </c>
      <c r="AD20" s="189"/>
      <c r="AE20" s="19"/>
      <c r="AF20" s="19"/>
      <c r="AG20" s="19"/>
      <c r="AH20" s="19"/>
    </row>
    <row r="21" spans="1:34" x14ac:dyDescent="0.2">
      <c r="A21" s="73"/>
      <c r="B21" s="72" t="s">
        <v>76</v>
      </c>
      <c r="C21" s="71" t="str">
        <f t="shared" si="3"/>
        <v>12L</v>
      </c>
      <c r="D21" s="70" t="str">
        <f t="shared" si="4"/>
        <v>3L</v>
      </c>
      <c r="E21" s="69" t="str">
        <f t="shared" si="0"/>
        <v>USD12L3L13Y_Quote</v>
      </c>
      <c r="F21" s="69" t="str">
        <f>_xll.qlSimpleQuote(E21,,RateTickValue,Permanent,Trigger,ObjectOverwrite)</f>
        <v>USD12L3L13Y_Quote#0000</v>
      </c>
      <c r="G21" s="68" t="str">
        <f>_xll.ohRangeRetrieveError(F21)</f>
        <v/>
      </c>
      <c r="H21" s="67"/>
      <c r="N21" s="116">
        <v>13</v>
      </c>
      <c r="O21" s="227" t="s">
        <v>76</v>
      </c>
      <c r="P21" s="276" t="str">
        <v>12L</v>
      </c>
      <c r="Q21" s="276" t="str">
        <v>3L</v>
      </c>
      <c r="R21" s="274" t="str">
        <f t="shared" si="1"/>
        <v>USD12L3L13Y</v>
      </c>
      <c r="S21" s="226" t="str">
        <v>USD12L3L13Y=ICAP</v>
      </c>
      <c r="T21" s="346" t="s">
        <v>219</v>
      </c>
      <c r="U21" s="346" t="s">
        <v>219</v>
      </c>
      <c r="V21" s="346" t="e">
        <f>_xll.qlMidEquivalent(T21,U21)</f>
        <v>#NUM!</v>
      </c>
      <c r="W21" s="221" t="b">
        <f t="shared" si="2"/>
        <v>0</v>
      </c>
      <c r="X21" s="347">
        <v>25.351550054169941</v>
      </c>
      <c r="Y21" s="223"/>
      <c r="Z21" s="344">
        <v>27.91789306687464</v>
      </c>
      <c r="AA21" s="223"/>
      <c r="AB21" s="456">
        <v>25.351550054169941</v>
      </c>
      <c r="AC21" s="220">
        <f>_xll.qlSimpleQuoteSetValue(F21,AB21/10000,Trigger)</f>
        <v>2.4851499347972039E-9</v>
      </c>
      <c r="AD21" s="189"/>
      <c r="AE21" s="19"/>
      <c r="AF21" s="19"/>
      <c r="AG21" s="19"/>
      <c r="AH21" s="19"/>
    </row>
    <row r="22" spans="1:34" x14ac:dyDescent="0.2">
      <c r="A22" s="73"/>
      <c r="B22" s="72" t="s">
        <v>75</v>
      </c>
      <c r="C22" s="71" t="str">
        <f t="shared" si="3"/>
        <v>12L</v>
      </c>
      <c r="D22" s="70" t="str">
        <f t="shared" si="4"/>
        <v>3L</v>
      </c>
      <c r="E22" s="69" t="str">
        <f t="shared" si="0"/>
        <v>USD12L3L14Y_Quote</v>
      </c>
      <c r="F22" s="69" t="str">
        <f>_xll.qlSimpleQuote(E22,,RateTickValue,Permanent,Trigger,ObjectOverwrite)</f>
        <v>USD12L3L14Y_Quote#0000</v>
      </c>
      <c r="G22" s="68" t="str">
        <f>_xll.ohRangeRetrieveError(F22)</f>
        <v/>
      </c>
      <c r="H22" s="67"/>
      <c r="N22" s="116">
        <v>14</v>
      </c>
      <c r="O22" s="227" t="s">
        <v>75</v>
      </c>
      <c r="P22" s="276" t="str">
        <v>12L</v>
      </c>
      <c r="Q22" s="276" t="str">
        <v>3L</v>
      </c>
      <c r="R22" s="274" t="str">
        <f t="shared" si="1"/>
        <v>USD12L3L14Y</v>
      </c>
      <c r="S22" s="226" t="str">
        <v>USD12L3L14Y=ICAP</v>
      </c>
      <c r="T22" s="346" t="s">
        <v>219</v>
      </c>
      <c r="U22" s="346" t="s">
        <v>219</v>
      </c>
      <c r="V22" s="346" t="e">
        <f>_xll.qlMidEquivalent(T22,U22)</f>
        <v>#NUM!</v>
      </c>
      <c r="W22" s="221" t="b">
        <f t="shared" si="2"/>
        <v>0</v>
      </c>
      <c r="X22" s="347">
        <v>25.220875310305775</v>
      </c>
      <c r="Y22" s="223"/>
      <c r="Z22" s="344">
        <v>27.75163039000314</v>
      </c>
      <c r="AA22" s="223"/>
      <c r="AB22" s="456">
        <v>25.220875310305775</v>
      </c>
      <c r="AC22" s="220">
        <f>_xll.qlSimpleQuoteSetValue(F22,AB22/10000,Trigger)</f>
        <v>1.7693187037010061E-9</v>
      </c>
      <c r="AD22" s="189"/>
      <c r="AE22" s="19"/>
      <c r="AF22" s="19"/>
      <c r="AG22" s="19"/>
      <c r="AH22" s="19"/>
    </row>
    <row r="23" spans="1:34" x14ac:dyDescent="0.2">
      <c r="A23" s="73"/>
      <c r="B23" s="72" t="s">
        <v>74</v>
      </c>
      <c r="C23" s="71" t="str">
        <f t="shared" si="3"/>
        <v>12L</v>
      </c>
      <c r="D23" s="70" t="str">
        <f t="shared" si="4"/>
        <v>3L</v>
      </c>
      <c r="E23" s="69" t="str">
        <f t="shared" si="0"/>
        <v>USD12L3L15Y_Quote</v>
      </c>
      <c r="F23" s="69" t="str">
        <f>_xll.qlSimpleQuote(E23,,RateTickValue,Permanent,Trigger,ObjectOverwrite)</f>
        <v>USD12L3L15Y_Quote#0000</v>
      </c>
      <c r="G23" s="68" t="str">
        <f>_xll.ohRangeRetrieveError(F23)</f>
        <v/>
      </c>
      <c r="H23" s="67"/>
      <c r="N23" s="116">
        <v>15</v>
      </c>
      <c r="O23" s="227" t="s">
        <v>74</v>
      </c>
      <c r="P23" s="276" t="str">
        <v>12L</v>
      </c>
      <c r="Q23" s="276" t="str">
        <v>3L</v>
      </c>
      <c r="R23" s="274" t="str">
        <f t="shared" si="1"/>
        <v>USD12L3L15Y</v>
      </c>
      <c r="S23" s="226" t="str">
        <v>USD12L3L15Y=ICAP</v>
      </c>
      <c r="T23" s="346">
        <v>25.1</v>
      </c>
      <c r="U23" s="346">
        <v>0</v>
      </c>
      <c r="V23" s="346">
        <f>_xll.qlMidEquivalent(T23,U23)</f>
        <v>25.1</v>
      </c>
      <c r="W23" s="221" t="b">
        <f t="shared" si="2"/>
        <v>1</v>
      </c>
      <c r="X23" s="347">
        <v>25.1</v>
      </c>
      <c r="Y23" s="223"/>
      <c r="Z23" s="344">
        <v>27.6</v>
      </c>
      <c r="AA23" s="223"/>
      <c r="AB23" s="456">
        <v>25.1</v>
      </c>
      <c r="AC23" s="220">
        <f>_xll.qlSimpleQuoteSetValue(F23,AB23/10000,Trigger)</f>
        <v>0</v>
      </c>
      <c r="AD23" s="189"/>
      <c r="AE23" s="19"/>
      <c r="AF23" s="19"/>
      <c r="AG23" s="19"/>
      <c r="AH23" s="19"/>
    </row>
    <row r="24" spans="1:34" x14ac:dyDescent="0.2">
      <c r="A24" s="73"/>
      <c r="B24" s="72" t="s">
        <v>73</v>
      </c>
      <c r="C24" s="71" t="str">
        <f t="shared" si="3"/>
        <v>12L</v>
      </c>
      <c r="D24" s="70" t="str">
        <f t="shared" si="4"/>
        <v>3L</v>
      </c>
      <c r="E24" s="69" t="str">
        <f t="shared" si="0"/>
        <v>USD12L3L16Y_Quote</v>
      </c>
      <c r="F24" s="69" t="str">
        <f>_xll.qlSimpleQuote(E24,,RateTickValue,Permanent,Trigger,ObjectOverwrite)</f>
        <v>USD12L3L16Y_Quote#0000</v>
      </c>
      <c r="G24" s="68" t="str">
        <f>_xll.ohRangeRetrieveError(F24)</f>
        <v/>
      </c>
      <c r="H24" s="67"/>
      <c r="N24" s="116">
        <v>16</v>
      </c>
      <c r="O24" s="227" t="s">
        <v>73</v>
      </c>
      <c r="P24" s="276" t="str">
        <v>12L</v>
      </c>
      <c r="Q24" s="276" t="str">
        <v>3L</v>
      </c>
      <c r="R24" s="274" t="str">
        <f t="shared" si="1"/>
        <v>USD12L3L16Y</v>
      </c>
      <c r="S24" s="226" t="str">
        <v>USD12L3L16Y=ICAP</v>
      </c>
      <c r="T24" s="346" t="s">
        <v>219</v>
      </c>
      <c r="U24" s="346" t="s">
        <v>219</v>
      </c>
      <c r="V24" s="346" t="e">
        <f>_xll.qlMidEquivalent(T24,U24)</f>
        <v>#NUM!</v>
      </c>
      <c r="W24" s="221" t="b">
        <f t="shared" si="2"/>
        <v>0</v>
      </c>
      <c r="X24" s="347">
        <v>24.98284065038445</v>
      </c>
      <c r="Y24" s="223"/>
      <c r="Z24" s="344">
        <v>27.461638620083583</v>
      </c>
      <c r="AA24" s="223"/>
      <c r="AB24" s="456">
        <v>24.98284065038445</v>
      </c>
      <c r="AC24" s="220">
        <f>_xll.qlSimpleQuoteSetValue(F24,AB24/10000,Trigger)</f>
        <v>-1.0794194713406591E-9</v>
      </c>
      <c r="AD24" s="189"/>
      <c r="AE24" s="19"/>
      <c r="AF24" s="19"/>
      <c r="AG24" s="19"/>
      <c r="AH24" s="19"/>
    </row>
    <row r="25" spans="1:34" x14ac:dyDescent="0.2">
      <c r="A25" s="73"/>
      <c r="B25" s="72" t="s">
        <v>72</v>
      </c>
      <c r="C25" s="71" t="str">
        <f t="shared" si="3"/>
        <v>12L</v>
      </c>
      <c r="D25" s="70" t="str">
        <f t="shared" si="4"/>
        <v>3L</v>
      </c>
      <c r="E25" s="69" t="str">
        <f t="shared" si="0"/>
        <v>USD12L3L17Y_Quote</v>
      </c>
      <c r="F25" s="69" t="str">
        <f>_xll.qlSimpleQuote(E25,,RateTickValue,Permanent,Trigger,ObjectOverwrite)</f>
        <v>USD12L3L17Y_Quote#0000</v>
      </c>
      <c r="G25" s="68" t="str">
        <f>_xll.ohRangeRetrieveError(F25)</f>
        <v/>
      </c>
      <c r="H25" s="67"/>
      <c r="N25" s="116">
        <v>17</v>
      </c>
      <c r="O25" s="227" t="s">
        <v>72</v>
      </c>
      <c r="P25" s="276" t="str">
        <v>12L</v>
      </c>
      <c r="Q25" s="276" t="str">
        <v>3L</v>
      </c>
      <c r="R25" s="274" t="str">
        <f t="shared" si="1"/>
        <v>USD12L3L17Y</v>
      </c>
      <c r="S25" s="226" t="str">
        <v>USD12L3L17Y=ICAP</v>
      </c>
      <c r="T25" s="346" t="s">
        <v>219</v>
      </c>
      <c r="U25" s="346" t="s">
        <v>219</v>
      </c>
      <c r="V25" s="346" t="e">
        <f>_xll.qlMidEquivalent(T25,U25)</f>
        <v>#NUM!</v>
      </c>
      <c r="W25" s="221" t="b">
        <f t="shared" si="2"/>
        <v>0</v>
      </c>
      <c r="X25" s="347">
        <v>24.870882970748234</v>
      </c>
      <c r="Y25" s="223"/>
      <c r="Z25" s="344">
        <v>27.334577743887696</v>
      </c>
      <c r="AA25" s="223"/>
      <c r="AB25" s="456">
        <v>24.870882970748234</v>
      </c>
      <c r="AC25" s="220">
        <f>_xll.qlSimpleQuoteSetValue(F25,AB25/10000,Trigger)</f>
        <v>-1.3419809647211012E-9</v>
      </c>
      <c r="AD25" s="189"/>
      <c r="AE25" s="19"/>
      <c r="AF25" s="19"/>
      <c r="AG25" s="19"/>
      <c r="AH25" s="19"/>
    </row>
    <row r="26" spans="1:34" x14ac:dyDescent="0.2">
      <c r="A26" s="73"/>
      <c r="B26" s="72" t="s">
        <v>71</v>
      </c>
      <c r="C26" s="71" t="str">
        <f t="shared" si="3"/>
        <v>12L</v>
      </c>
      <c r="D26" s="70" t="str">
        <f t="shared" si="4"/>
        <v>3L</v>
      </c>
      <c r="E26" s="69" t="str">
        <f t="shared" si="0"/>
        <v>USD12L3L18Y_Quote</v>
      </c>
      <c r="F26" s="69" t="str">
        <f>_xll.qlSimpleQuote(E26,,RateTickValue,Permanent,Trigger,ObjectOverwrite)</f>
        <v>USD12L3L18Y_Quote#0000</v>
      </c>
      <c r="G26" s="68" t="str">
        <f>_xll.ohRangeRetrieveError(F26)</f>
        <v/>
      </c>
      <c r="H26" s="67"/>
      <c r="N26" s="116">
        <v>18</v>
      </c>
      <c r="O26" s="227" t="s">
        <v>71</v>
      </c>
      <c r="P26" s="276" t="str">
        <v>12L</v>
      </c>
      <c r="Q26" s="276" t="str">
        <v>3L</v>
      </c>
      <c r="R26" s="274" t="str">
        <f t="shared" si="1"/>
        <v>USD12L3L18Y</v>
      </c>
      <c r="S26" s="226" t="str">
        <v>USD12L3L18Y=ICAP</v>
      </c>
      <c r="T26" s="346" t="s">
        <v>219</v>
      </c>
      <c r="U26" s="346" t="s">
        <v>219</v>
      </c>
      <c r="V26" s="346" t="e">
        <f>_xll.qlMidEquivalent(T26,U26)</f>
        <v>#NUM!</v>
      </c>
      <c r="W26" s="221" t="b">
        <f t="shared" si="2"/>
        <v>0</v>
      </c>
      <c r="X26" s="347">
        <v>24.767504965919795</v>
      </c>
      <c r="Y26" s="223"/>
      <c r="Z26" s="344">
        <v>27.216697557650019</v>
      </c>
      <c r="AA26" s="223"/>
      <c r="AB26" s="456">
        <v>24.767504965919795</v>
      </c>
      <c r="AC26" s="220">
        <f>_xll.qlSimpleQuoteSetValue(F26,AB26/10000,Trigger)</f>
        <v>-1.0648327219975329E-9</v>
      </c>
      <c r="AD26" s="189"/>
      <c r="AE26" s="19"/>
      <c r="AF26" s="19"/>
      <c r="AG26" s="19"/>
      <c r="AH26" s="19"/>
    </row>
    <row r="27" spans="1:34" x14ac:dyDescent="0.2">
      <c r="A27" s="73"/>
      <c r="B27" s="72" t="s">
        <v>70</v>
      </c>
      <c r="C27" s="71" t="str">
        <f t="shared" si="3"/>
        <v>12L</v>
      </c>
      <c r="D27" s="70" t="str">
        <f t="shared" si="4"/>
        <v>3L</v>
      </c>
      <c r="E27" s="69" t="str">
        <f t="shared" si="0"/>
        <v>USD12L3L19Y_Quote</v>
      </c>
      <c r="F27" s="69" t="str">
        <f>_xll.qlSimpleQuote(E27,,RateTickValue,Permanent,Trigger,ObjectOverwrite)</f>
        <v>USD12L3L19Y_Quote#0000</v>
      </c>
      <c r="G27" s="68" t="str">
        <f>_xll.ohRangeRetrieveError(F27)</f>
        <v/>
      </c>
      <c r="H27" s="67"/>
      <c r="N27" s="116">
        <v>19</v>
      </c>
      <c r="O27" s="227" t="s">
        <v>70</v>
      </c>
      <c r="P27" s="276" t="str">
        <v>12L</v>
      </c>
      <c r="Q27" s="276" t="str">
        <v>3L</v>
      </c>
      <c r="R27" s="274" t="str">
        <f t="shared" si="1"/>
        <v>USD12L3L19Y</v>
      </c>
      <c r="S27" s="226" t="str">
        <v>USD12L3L19Y=ICAP</v>
      </c>
      <c r="T27" s="346" t="s">
        <v>219</v>
      </c>
      <c r="U27" s="346" t="s">
        <v>219</v>
      </c>
      <c r="V27" s="346" t="e">
        <f>_xll.qlMidEquivalent(T27,U27)</f>
        <v>#NUM!</v>
      </c>
      <c r="W27" s="221" t="b">
        <f t="shared" si="2"/>
        <v>0</v>
      </c>
      <c r="X27" s="347">
        <v>24.67608464072757</v>
      </c>
      <c r="Y27" s="223"/>
      <c r="Z27" s="344">
        <v>27.105878247608228</v>
      </c>
      <c r="AA27" s="223"/>
      <c r="AB27" s="456">
        <v>24.67608464072757</v>
      </c>
      <c r="AC27" s="220">
        <f>_xll.qlSimpleQuoteSetValue(F27,AB27/10000,Trigger)</f>
        <v>-5.2512298632720333E-10</v>
      </c>
      <c r="AD27" s="189"/>
      <c r="AE27" s="19"/>
      <c r="AF27" s="19"/>
      <c r="AG27" s="19"/>
      <c r="AH27" s="19"/>
    </row>
    <row r="28" spans="1:34" x14ac:dyDescent="0.2">
      <c r="A28" s="73"/>
      <c r="B28" s="72" t="s">
        <v>69</v>
      </c>
      <c r="C28" s="71" t="str">
        <f t="shared" si="3"/>
        <v>12L</v>
      </c>
      <c r="D28" s="70" t="str">
        <f t="shared" si="4"/>
        <v>3L</v>
      </c>
      <c r="E28" s="69" t="str">
        <f t="shared" si="0"/>
        <v>USD12L3L20Y_Quote</v>
      </c>
      <c r="F28" s="69" t="str">
        <f>_xll.qlSimpleQuote(E28,,RateTickValue,Permanent,Trigger,ObjectOverwrite)</f>
        <v>USD12L3L20Y_Quote#0000</v>
      </c>
      <c r="G28" s="68" t="str">
        <f>_xll.ohRangeRetrieveError(F28)</f>
        <v/>
      </c>
      <c r="H28" s="67"/>
      <c r="N28" s="116">
        <v>20</v>
      </c>
      <c r="O28" s="227" t="s">
        <v>69</v>
      </c>
      <c r="P28" s="276" t="str">
        <v>12L</v>
      </c>
      <c r="Q28" s="276" t="str">
        <v>3L</v>
      </c>
      <c r="R28" s="274" t="str">
        <f t="shared" si="1"/>
        <v>USD12L3L20Y</v>
      </c>
      <c r="S28" s="226" t="str">
        <v>USD12L3L20Y=ICAP</v>
      </c>
      <c r="T28" s="346">
        <v>24.6</v>
      </c>
      <c r="U28" s="346">
        <v>0</v>
      </c>
      <c r="V28" s="346">
        <f>_xll.qlMidEquivalent(T28,U28)</f>
        <v>24.6</v>
      </c>
      <c r="W28" s="221" t="b">
        <f t="shared" si="2"/>
        <v>1</v>
      </c>
      <c r="X28" s="347">
        <v>24.6</v>
      </c>
      <c r="Y28" s="223"/>
      <c r="Z28" s="344">
        <v>27</v>
      </c>
      <c r="AA28" s="223"/>
      <c r="AB28" s="456">
        <v>24.6</v>
      </c>
      <c r="AC28" s="220">
        <f>_xll.qlSimpleQuoteSetValue(F28,AB28/10000,Trigger)</f>
        <v>0</v>
      </c>
      <c r="AD28" s="189"/>
      <c r="AE28" s="19"/>
      <c r="AF28" s="19"/>
      <c r="AG28" s="19"/>
      <c r="AH28" s="19"/>
    </row>
    <row r="29" spans="1:34" x14ac:dyDescent="0.2">
      <c r="A29" s="73"/>
      <c r="B29" s="72" t="s">
        <v>68</v>
      </c>
      <c r="C29" s="71" t="str">
        <f t="shared" si="3"/>
        <v>12L</v>
      </c>
      <c r="D29" s="70" t="str">
        <f t="shared" si="4"/>
        <v>3L</v>
      </c>
      <c r="E29" s="69" t="str">
        <f t="shared" si="0"/>
        <v>USD12L3L21Y_Quote</v>
      </c>
      <c r="F29" s="69" t="str">
        <f>_xll.qlSimpleQuote(E29,,RateTickValue,Permanent,Trigger,ObjectOverwrite)</f>
        <v>USD12L3L21Y_Quote#0000</v>
      </c>
      <c r="G29" s="68" t="str">
        <f>_xll.ohRangeRetrieveError(F29)</f>
        <v/>
      </c>
      <c r="H29" s="67"/>
      <c r="N29" s="116">
        <v>21</v>
      </c>
      <c r="O29" s="227" t="s">
        <v>68</v>
      </c>
      <c r="P29" s="276" t="str">
        <v>12L</v>
      </c>
      <c r="Q29" s="276" t="str">
        <v>3L</v>
      </c>
      <c r="R29" s="274" t="str">
        <f t="shared" si="1"/>
        <v>USD12L3L21Y</v>
      </c>
      <c r="S29" s="226" t="str">
        <v>USD12L3L21Y=ICAP</v>
      </c>
      <c r="T29" s="346" t="s">
        <v>219</v>
      </c>
      <c r="U29" s="346" t="s">
        <v>219</v>
      </c>
      <c r="V29" s="346" t="e">
        <f>_xll.qlMidEquivalent(T29,U29)</f>
        <v>#NUM!</v>
      </c>
      <c r="W29" s="221" t="b">
        <f t="shared" si="2"/>
        <v>0</v>
      </c>
      <c r="X29" s="347">
        <v>24.541286310706909</v>
      </c>
      <c r="Y29" s="223"/>
      <c r="Z29" s="344">
        <v>26.897178751328763</v>
      </c>
      <c r="AA29" s="223"/>
      <c r="AB29" s="456">
        <v>24.541286310706909</v>
      </c>
      <c r="AC29" s="220">
        <f>_xll.qlSimpleQuoteSetValue(F29,AB29/10000,Trigger)</f>
        <v>2.9173499250037538E-10</v>
      </c>
      <c r="AD29" s="189"/>
      <c r="AE29" s="19"/>
      <c r="AF29" s="19"/>
      <c r="AG29" s="19"/>
      <c r="AH29" s="19"/>
    </row>
    <row r="30" spans="1:34" x14ac:dyDescent="0.2">
      <c r="A30" s="73"/>
      <c r="B30" s="72" t="s">
        <v>67</v>
      </c>
      <c r="C30" s="71" t="str">
        <f t="shared" si="3"/>
        <v>12L</v>
      </c>
      <c r="D30" s="70" t="str">
        <f t="shared" si="4"/>
        <v>3L</v>
      </c>
      <c r="E30" s="69" t="str">
        <f t="shared" si="0"/>
        <v>USD12L3L22Y_Quote</v>
      </c>
      <c r="F30" s="69" t="str">
        <f>_xll.qlSimpleQuote(E30,,RateTickValue,Permanent,Trigger,ObjectOverwrite)</f>
        <v>USD12L3L22Y_Quote#0000</v>
      </c>
      <c r="G30" s="68" t="str">
        <f>_xll.ohRangeRetrieveError(F30)</f>
        <v/>
      </c>
      <c r="H30" s="67"/>
      <c r="N30" s="116">
        <v>22</v>
      </c>
      <c r="O30" s="227" t="s">
        <v>67</v>
      </c>
      <c r="P30" s="276" t="str">
        <v>12L</v>
      </c>
      <c r="Q30" s="276" t="str">
        <v>3L</v>
      </c>
      <c r="R30" s="274" t="str">
        <f t="shared" si="1"/>
        <v>USD12L3L22Y</v>
      </c>
      <c r="S30" s="226" t="str">
        <v>USD12L3L22Y=ICAP</v>
      </c>
      <c r="T30" s="346" t="s">
        <v>219</v>
      </c>
      <c r="U30" s="346" t="s">
        <v>219</v>
      </c>
      <c r="V30" s="346" t="e">
        <f>_xll.qlMidEquivalent(T30,U30)</f>
        <v>#NUM!</v>
      </c>
      <c r="W30" s="221" t="b">
        <f t="shared" si="2"/>
        <v>0</v>
      </c>
      <c r="X30" s="347">
        <v>24.496607888383632</v>
      </c>
      <c r="Y30" s="223"/>
      <c r="Z30" s="344">
        <v>26.796473439160952</v>
      </c>
      <c r="AA30" s="223"/>
      <c r="AB30" s="456">
        <v>24.496607888383632</v>
      </c>
      <c r="AC30" s="220">
        <f>_xll.qlSimpleQuoteSetValue(F30,AB30/10000,Trigger)</f>
        <v>3.6466874051704901E-10</v>
      </c>
      <c r="AD30" s="189"/>
      <c r="AE30" s="19"/>
      <c r="AF30" s="19"/>
      <c r="AG30" s="19"/>
      <c r="AH30" s="19"/>
    </row>
    <row r="31" spans="1:34" x14ac:dyDescent="0.2">
      <c r="A31" s="73"/>
      <c r="B31" s="72" t="s">
        <v>66</v>
      </c>
      <c r="C31" s="71" t="str">
        <f t="shared" si="3"/>
        <v>12L</v>
      </c>
      <c r="D31" s="70" t="str">
        <f t="shared" si="4"/>
        <v>3L</v>
      </c>
      <c r="E31" s="69" t="str">
        <f t="shared" si="0"/>
        <v>USD12L3L23Y_Quote</v>
      </c>
      <c r="F31" s="69" t="str">
        <f>_xll.qlSimpleQuote(E31,,RateTickValue,Permanent,Trigger,ObjectOverwrite)</f>
        <v>USD12L3L23Y_Quote#0000</v>
      </c>
      <c r="G31" s="68" t="str">
        <f>_xll.ohRangeRetrieveError(F31)</f>
        <v/>
      </c>
      <c r="H31" s="67"/>
      <c r="N31" s="116">
        <v>23</v>
      </c>
      <c r="O31" s="227" t="s">
        <v>66</v>
      </c>
      <c r="P31" s="276" t="str">
        <v>12L</v>
      </c>
      <c r="Q31" s="276" t="str">
        <v>3L</v>
      </c>
      <c r="R31" s="274" t="str">
        <f t="shared" si="1"/>
        <v>USD12L3L23Y</v>
      </c>
      <c r="S31" s="226" t="str">
        <v>USD12L3L23Y=ICAP</v>
      </c>
      <c r="T31" s="346" t="s">
        <v>219</v>
      </c>
      <c r="U31" s="346" t="s">
        <v>219</v>
      </c>
      <c r="V31" s="346" t="e">
        <f>_xll.qlMidEquivalent(T31,U31)</f>
        <v>#NUM!</v>
      </c>
      <c r="W31" s="221" t="b">
        <f t="shared" si="2"/>
        <v>0</v>
      </c>
      <c r="X31" s="347">
        <v>24.461286310706907</v>
      </c>
      <c r="Y31" s="223"/>
      <c r="Z31" s="344">
        <v>26.69717875132876</v>
      </c>
      <c r="AA31" s="223"/>
      <c r="AB31" s="456">
        <v>24.461286310706907</v>
      </c>
      <c r="AC31" s="220">
        <f>_xll.qlSimpleQuoteSetValue(F31,AB31/10000,Trigger)</f>
        <v>2.9173499250037538E-10</v>
      </c>
      <c r="AD31" s="189"/>
      <c r="AE31" s="19"/>
      <c r="AF31" s="19"/>
      <c r="AG31" s="19"/>
      <c r="AH31" s="19"/>
    </row>
    <row r="32" spans="1:34" x14ac:dyDescent="0.2">
      <c r="A32" s="73"/>
      <c r="B32" s="72" t="s">
        <v>65</v>
      </c>
      <c r="C32" s="71" t="str">
        <f t="shared" si="3"/>
        <v>12L</v>
      </c>
      <c r="D32" s="70" t="str">
        <f t="shared" si="4"/>
        <v>3L</v>
      </c>
      <c r="E32" s="69" t="str">
        <f t="shared" si="0"/>
        <v>USD12L3L24Y_Quote</v>
      </c>
      <c r="F32" s="69" t="str">
        <f>_xll.qlSimpleQuote(E32,,RateTickValue,Permanent,Trigger,ObjectOverwrite)</f>
        <v>USD12L3L24Y_Quote#0000</v>
      </c>
      <c r="G32" s="68" t="str">
        <f>_xll.ohRangeRetrieveError(F32)</f>
        <v/>
      </c>
      <c r="H32" s="67"/>
      <c r="N32" s="116">
        <v>24</v>
      </c>
      <c r="O32" s="227" t="s">
        <v>65</v>
      </c>
      <c r="P32" s="276" t="str">
        <v>12L</v>
      </c>
      <c r="Q32" s="276" t="str">
        <v>3L</v>
      </c>
      <c r="R32" s="274" t="str">
        <f t="shared" si="1"/>
        <v>USD12L3L24Y</v>
      </c>
      <c r="S32" s="226" t="str">
        <v>USD12L3L24Y=ICAP</v>
      </c>
      <c r="T32" s="346" t="s">
        <v>219</v>
      </c>
      <c r="U32" s="346" t="s">
        <v>219</v>
      </c>
      <c r="V32" s="346" t="e">
        <f>_xll.qlMidEquivalent(T32,U32)</f>
        <v>#NUM!</v>
      </c>
      <c r="W32" s="221" t="b">
        <f t="shared" si="2"/>
        <v>0</v>
      </c>
      <c r="X32" s="347">
        <v>24.430643155353451</v>
      </c>
      <c r="Y32" s="223"/>
      <c r="Z32" s="344">
        <v>26.598589375664382</v>
      </c>
      <c r="AA32" s="223"/>
      <c r="AB32" s="456">
        <v>24.430643155353451</v>
      </c>
      <c r="AC32" s="220">
        <f>_xll.qlSimpleQuoteSetValue(F32,AB32/10000,Trigger)</f>
        <v>1.4586749646702812E-10</v>
      </c>
      <c r="AD32" s="189"/>
      <c r="AE32" s="19"/>
      <c r="AF32" s="19"/>
      <c r="AG32" s="19"/>
      <c r="AH32" s="19"/>
    </row>
    <row r="33" spans="1:34" x14ac:dyDescent="0.2">
      <c r="A33" s="73"/>
      <c r="B33" s="72" t="s">
        <v>64</v>
      </c>
      <c r="C33" s="71" t="str">
        <f t="shared" si="3"/>
        <v>12L</v>
      </c>
      <c r="D33" s="70" t="str">
        <f t="shared" si="4"/>
        <v>3L</v>
      </c>
      <c r="E33" s="69" t="str">
        <f t="shared" si="0"/>
        <v>USD12L3L25Y_Quote</v>
      </c>
      <c r="F33" s="69" t="str">
        <f>_xll.qlSimpleQuote(E33,,RateTickValue,Permanent,Trigger,ObjectOverwrite)</f>
        <v>USD12L3L25Y_Quote#0000</v>
      </c>
      <c r="G33" s="68" t="str">
        <f>_xll.ohRangeRetrieveError(F33)</f>
        <v/>
      </c>
      <c r="H33" s="67"/>
      <c r="N33" s="116">
        <v>25</v>
      </c>
      <c r="O33" s="227" t="s">
        <v>64</v>
      </c>
      <c r="P33" s="276" t="str">
        <v>12L</v>
      </c>
      <c r="Q33" s="276" t="str">
        <v>3L</v>
      </c>
      <c r="R33" s="274" t="str">
        <f t="shared" si="1"/>
        <v>USD12L3L25Y</v>
      </c>
      <c r="S33" s="226" t="str">
        <v>USD12L3L25Y=ICAP</v>
      </c>
      <c r="T33" s="346">
        <v>24.4</v>
      </c>
      <c r="U33" s="346">
        <v>0</v>
      </c>
      <c r="V33" s="346">
        <f>_xll.qlMidEquivalent(T33,U33)</f>
        <v>24.4</v>
      </c>
      <c r="W33" s="221" t="b">
        <f t="shared" si="2"/>
        <v>1</v>
      </c>
      <c r="X33" s="347">
        <v>24.4</v>
      </c>
      <c r="Y33" s="223"/>
      <c r="Z33" s="344">
        <v>26.5</v>
      </c>
      <c r="AA33" s="223"/>
      <c r="AB33" s="456">
        <v>24.4</v>
      </c>
      <c r="AC33" s="220">
        <f>_xll.qlSimpleQuoteSetValue(F33,AB33/10000,Trigger)</f>
        <v>0</v>
      </c>
      <c r="AD33" s="189"/>
      <c r="AE33" s="19"/>
      <c r="AF33" s="19"/>
      <c r="AG33" s="19"/>
      <c r="AH33" s="19"/>
    </row>
    <row r="34" spans="1:34" x14ac:dyDescent="0.2">
      <c r="A34" s="73"/>
      <c r="B34" s="72" t="s">
        <v>63</v>
      </c>
      <c r="C34" s="71" t="str">
        <f t="shared" si="3"/>
        <v>12L</v>
      </c>
      <c r="D34" s="70" t="str">
        <f t="shared" si="4"/>
        <v>3L</v>
      </c>
      <c r="E34" s="69" t="str">
        <f t="shared" si="0"/>
        <v>USD12L3L26Y_Quote</v>
      </c>
      <c r="F34" s="69" t="str">
        <f>_xll.qlSimpleQuote(E34,,RateTickValue,Permanent,Trigger,ObjectOverwrite)</f>
        <v>USD12L3L26Y_Quote#0000</v>
      </c>
      <c r="G34" s="68" t="str">
        <f>_xll.ohRangeRetrieveError(F34)</f>
        <v/>
      </c>
      <c r="H34" s="67"/>
      <c r="N34" s="116">
        <v>26</v>
      </c>
      <c r="O34" s="227" t="s">
        <v>63</v>
      </c>
      <c r="P34" s="276" t="str">
        <v>12L</v>
      </c>
      <c r="Q34" s="276" t="str">
        <v>3L</v>
      </c>
      <c r="R34" s="274" t="str">
        <f t="shared" si="1"/>
        <v>USD12L3L26Y</v>
      </c>
      <c r="S34" s="226" t="str">
        <v>USD12L3L26Y=ICAP</v>
      </c>
      <c r="T34" s="346" t="s">
        <v>219</v>
      </c>
      <c r="U34" s="346" t="s">
        <v>219</v>
      </c>
      <c r="V34" s="346" t="e">
        <f>_xll.qlMidEquivalent(T34,U34)</f>
        <v>#NUM!</v>
      </c>
      <c r="W34" s="221" t="b">
        <f t="shared" si="2"/>
        <v>0</v>
      </c>
      <c r="X34" s="347">
        <v>24.365614106787927</v>
      </c>
      <c r="Y34" s="223"/>
      <c r="Z34" s="344">
        <v>26.400846374601372</v>
      </c>
      <c r="AA34" s="223"/>
      <c r="AB34" s="456">
        <v>24.365614106787927</v>
      </c>
      <c r="AC34" s="220">
        <f>_xll.qlSimpleQuoteSetValue(F34,AB34/10000,Trigger)</f>
        <v>-8.75204977934807E-11</v>
      </c>
      <c r="AD34" s="189"/>
      <c r="AE34" s="19"/>
      <c r="AF34" s="19"/>
      <c r="AG34" s="19"/>
      <c r="AH34" s="19"/>
    </row>
    <row r="35" spans="1:34" x14ac:dyDescent="0.2">
      <c r="A35" s="73"/>
      <c r="B35" s="72" t="s">
        <v>62</v>
      </c>
      <c r="C35" s="71" t="str">
        <f t="shared" si="3"/>
        <v>12L</v>
      </c>
      <c r="D35" s="70" t="str">
        <f t="shared" si="4"/>
        <v>3L</v>
      </c>
      <c r="E35" s="69" t="str">
        <f t="shared" si="0"/>
        <v>USD12L3L27Y_Quote</v>
      </c>
      <c r="F35" s="69" t="str">
        <f>_xll.qlSimpleQuote(E35,,RateTickValue,Permanent,Trigger,ObjectOverwrite)</f>
        <v>USD12L3L27Y_Quote#0000</v>
      </c>
      <c r="G35" s="68" t="str">
        <f>_xll.ohRangeRetrieveError(F35)</f>
        <v/>
      </c>
      <c r="H35" s="67"/>
      <c r="N35" s="116">
        <v>27</v>
      </c>
      <c r="O35" s="227" t="s">
        <v>62</v>
      </c>
      <c r="P35" s="276" t="str">
        <v>12L</v>
      </c>
      <c r="Q35" s="276" t="str">
        <v>3L</v>
      </c>
      <c r="R35" s="274" t="str">
        <f t="shared" si="1"/>
        <v>USD12L3L27Y</v>
      </c>
      <c r="S35" s="226" t="str">
        <v>USD12L3L27Y=ICAP</v>
      </c>
      <c r="T35" s="346" t="s">
        <v>219</v>
      </c>
      <c r="U35" s="346" t="s">
        <v>219</v>
      </c>
      <c r="V35" s="346" t="e">
        <f>_xll.qlMidEquivalent(T35,U35)</f>
        <v>#NUM!</v>
      </c>
      <c r="W35" s="221" t="b">
        <f t="shared" si="2"/>
        <v>0</v>
      </c>
      <c r="X35" s="347">
        <v>24.327485475717236</v>
      </c>
      <c r="Y35" s="223"/>
      <c r="Z35" s="344">
        <v>26.301128499468497</v>
      </c>
      <c r="AA35" s="223"/>
      <c r="AB35" s="456">
        <v>24.327485475717236</v>
      </c>
      <c r="AC35" s="220">
        <f>_xll.qlSimpleQuoteSetValue(F35,AB35/10000,Trigger)</f>
        <v>-1.1669399734709485E-10</v>
      </c>
      <c r="AD35" s="189"/>
      <c r="AE35" s="19"/>
      <c r="AF35" s="19"/>
      <c r="AG35" s="19"/>
      <c r="AH35" s="19"/>
    </row>
    <row r="36" spans="1:34" x14ac:dyDescent="0.2">
      <c r="A36" s="73"/>
      <c r="B36" s="72" t="s">
        <v>61</v>
      </c>
      <c r="C36" s="71" t="str">
        <f t="shared" si="3"/>
        <v>12L</v>
      </c>
      <c r="D36" s="70" t="str">
        <f t="shared" si="4"/>
        <v>3L</v>
      </c>
      <c r="E36" s="69" t="str">
        <f t="shared" si="0"/>
        <v>USD12L3L28Y_Quote</v>
      </c>
      <c r="F36" s="69" t="str">
        <f>_xll.qlSimpleQuote(E36,,RateTickValue,Permanent,Trigger,ObjectOverwrite)</f>
        <v>USD12L3L28Y_Quote#0000</v>
      </c>
      <c r="G36" s="68" t="str">
        <f>_xll.ohRangeRetrieveError(F36)</f>
        <v/>
      </c>
      <c r="H36" s="67"/>
      <c r="N36" s="116">
        <v>28</v>
      </c>
      <c r="O36" s="227" t="s">
        <v>61</v>
      </c>
      <c r="P36" s="276" t="str">
        <v>12L</v>
      </c>
      <c r="Q36" s="276" t="str">
        <v>3L</v>
      </c>
      <c r="R36" s="274" t="str">
        <f t="shared" si="1"/>
        <v>USD12L3L28Y</v>
      </c>
      <c r="S36" s="226" t="str">
        <v>USD12L3L28Y=ICAP</v>
      </c>
      <c r="T36" s="346" t="s">
        <v>219</v>
      </c>
      <c r="U36" s="346" t="s">
        <v>219</v>
      </c>
      <c r="V36" s="346" t="e">
        <f>_xll.qlMidEquivalent(T36,U36)</f>
        <v>#NUM!</v>
      </c>
      <c r="W36" s="221" t="b">
        <f t="shared" si="2"/>
        <v>0</v>
      </c>
      <c r="X36" s="347">
        <v>24.286549791252583</v>
      </c>
      <c r="Y36" s="223"/>
      <c r="Z36" s="344">
        <v>26.200987437034932</v>
      </c>
      <c r="AA36" s="223"/>
      <c r="AB36" s="456">
        <v>24.286549791252583</v>
      </c>
      <c r="AC36" s="220">
        <f>_xll.qlSimpleQuoteSetValue(F36,AB36/10000,Trigger)</f>
        <v>-1.0210724670292604E-10</v>
      </c>
      <c r="AD36" s="189"/>
      <c r="AE36" s="19"/>
      <c r="AF36" s="19"/>
      <c r="AG36" s="19"/>
      <c r="AH36" s="19"/>
    </row>
    <row r="37" spans="1:34" x14ac:dyDescent="0.2">
      <c r="A37" s="73"/>
      <c r="B37" s="72" t="s">
        <v>60</v>
      </c>
      <c r="C37" s="71" t="str">
        <f t="shared" si="3"/>
        <v>12L</v>
      </c>
      <c r="D37" s="70" t="str">
        <f t="shared" si="4"/>
        <v>3L</v>
      </c>
      <c r="E37" s="69" t="str">
        <f t="shared" si="0"/>
        <v>USD12L3L29Y_Quote</v>
      </c>
      <c r="F37" s="69" t="str">
        <f>_xll.qlSimpleQuote(E37,,RateTickValue,Permanent,Trigger,ObjectOverwrite)</f>
        <v>USD12L3L29Y_Quote#0000</v>
      </c>
      <c r="G37" s="68" t="str">
        <f>_xll.ohRangeRetrieveError(F37)</f>
        <v/>
      </c>
      <c r="H37" s="67"/>
      <c r="N37" s="116">
        <v>29</v>
      </c>
      <c r="O37" s="227" t="s">
        <v>60</v>
      </c>
      <c r="P37" s="276" t="str">
        <v>12L</v>
      </c>
      <c r="Q37" s="276" t="str">
        <v>3L</v>
      </c>
      <c r="R37" s="274" t="str">
        <f t="shared" si="1"/>
        <v>USD12L3L29Y</v>
      </c>
      <c r="S37" s="226" t="str">
        <v>USD12L3L29Y=ICAP</v>
      </c>
      <c r="T37" s="346" t="s">
        <v>219</v>
      </c>
      <c r="U37" s="346" t="s">
        <v>219</v>
      </c>
      <c r="V37" s="346" t="e">
        <f>_xll.qlMidEquivalent(T37,U37)</f>
        <v>#NUM!</v>
      </c>
      <c r="W37" s="221" t="b">
        <f t="shared" si="2"/>
        <v>0</v>
      </c>
      <c r="X37" s="347">
        <v>24.243742737858618</v>
      </c>
      <c r="Y37" s="223"/>
      <c r="Z37" s="344">
        <v>26.100564249734248</v>
      </c>
      <c r="AA37" s="223"/>
      <c r="AB37" s="456">
        <v>24.243742737858618</v>
      </c>
      <c r="AC37" s="220">
        <f>_xll.qlSimpleQuoteSetValue(F37,AB37/10000,Trigger)</f>
        <v>-5.8346998673547423E-11</v>
      </c>
      <c r="AD37" s="189"/>
      <c r="AE37" s="19"/>
      <c r="AF37" s="19"/>
      <c r="AG37" s="19"/>
      <c r="AH37" s="19"/>
    </row>
    <row r="38" spans="1:34" x14ac:dyDescent="0.2">
      <c r="A38" s="73"/>
      <c r="B38" s="72" t="s">
        <v>59</v>
      </c>
      <c r="C38" s="71" t="str">
        <f t="shared" si="3"/>
        <v>12L</v>
      </c>
      <c r="D38" s="70" t="str">
        <f t="shared" si="4"/>
        <v>3L</v>
      </c>
      <c r="E38" s="69" t="str">
        <f t="shared" si="0"/>
        <v>USD12L3L30Y_Quote</v>
      </c>
      <c r="F38" s="69" t="str">
        <f>_xll.qlSimpleQuote(E38,,RateTickValue,Permanent,Trigger,ObjectOverwrite)</f>
        <v>USD12L3L30Y_Quote#0000</v>
      </c>
      <c r="G38" s="68" t="str">
        <f>_xll.ohRangeRetrieveError(F38)</f>
        <v/>
      </c>
      <c r="H38" s="67"/>
      <c r="N38" s="116">
        <v>30</v>
      </c>
      <c r="O38" s="227" t="s">
        <v>59</v>
      </c>
      <c r="P38" s="276" t="str">
        <v>12L</v>
      </c>
      <c r="Q38" s="276" t="str">
        <v>3L</v>
      </c>
      <c r="R38" s="274" t="str">
        <f t="shared" si="1"/>
        <v>USD12L3L30Y</v>
      </c>
      <c r="S38" s="226" t="str">
        <v>USD12L3L30Y=ICAP</v>
      </c>
      <c r="T38" s="346">
        <v>24.2</v>
      </c>
      <c r="U38" s="346">
        <v>0</v>
      </c>
      <c r="V38" s="346">
        <f>_xll.qlMidEquivalent(T38,U38)</f>
        <v>24.2</v>
      </c>
      <c r="W38" s="221" t="b">
        <f t="shared" si="2"/>
        <v>1</v>
      </c>
      <c r="X38" s="347">
        <v>24.2</v>
      </c>
      <c r="Y38" s="223"/>
      <c r="Z38" s="344">
        <v>26</v>
      </c>
      <c r="AA38" s="223"/>
      <c r="AB38" s="456">
        <v>24.2</v>
      </c>
      <c r="AC38" s="220">
        <f>_xll.qlSimpleQuoteSetValue(F38,AB38/10000,Trigger)</f>
        <v>0</v>
      </c>
      <c r="AD38" s="189"/>
      <c r="AE38" s="19"/>
      <c r="AF38" s="19"/>
      <c r="AG38" s="19"/>
      <c r="AH38" s="19"/>
    </row>
    <row r="39" spans="1:34" x14ac:dyDescent="0.2">
      <c r="A39" s="73"/>
      <c r="B39" s="72" t="s">
        <v>54</v>
      </c>
      <c r="C39" s="71" t="str">
        <f t="shared" si="3"/>
        <v>12L</v>
      </c>
      <c r="D39" s="70" t="str">
        <f t="shared" si="4"/>
        <v>3L</v>
      </c>
      <c r="E39" s="69" t="str">
        <f t="shared" si="0"/>
        <v>USD12L3L35Y_Quote</v>
      </c>
      <c r="F39" s="69" t="str">
        <f>_xll.qlSimpleQuote(E39,,RateTickValue,Permanent,Trigger,ObjectOverwrite)</f>
        <v>USD12L3L35Y_Quote#0000</v>
      </c>
      <c r="G39" s="68" t="str">
        <f>_xll.ohRangeRetrieveError(F39)</f>
        <v/>
      </c>
      <c r="H39" s="67"/>
      <c r="N39" s="116">
        <v>35</v>
      </c>
      <c r="O39" s="227" t="s">
        <v>54</v>
      </c>
      <c r="P39" s="276" t="str">
        <v>12L</v>
      </c>
      <c r="Q39" s="276" t="str">
        <v>3L</v>
      </c>
      <c r="R39" s="274" t="str">
        <f t="shared" si="1"/>
        <v>USD12L3L35Y</v>
      </c>
      <c r="S39" s="226" t="str">
        <v>USD12L3L35Y=ICAP</v>
      </c>
      <c r="T39" s="346" t="s">
        <v>219</v>
      </c>
      <c r="U39" s="346" t="s">
        <v>219</v>
      </c>
      <c r="V39" s="346" t="e">
        <f>_xll.qlMidEquivalent(T39,U39)</f>
        <v>#NUM!</v>
      </c>
      <c r="W39" s="221" t="b">
        <f t="shared" si="2"/>
        <v>0</v>
      </c>
      <c r="X39" s="345">
        <f>X38</f>
        <v>24.2</v>
      </c>
      <c r="Y39" s="223"/>
      <c r="Z39" s="344">
        <v>26</v>
      </c>
      <c r="AA39" s="223"/>
      <c r="AB39" s="456">
        <v>24.2</v>
      </c>
      <c r="AC39" s="220">
        <f>_xll.qlSimpleQuoteSetValue(F39,AB39/10000,Trigger)</f>
        <v>0</v>
      </c>
      <c r="AD39" s="189"/>
      <c r="AE39" s="19"/>
      <c r="AF39" s="19"/>
      <c r="AG39" s="19"/>
      <c r="AH39" s="19"/>
    </row>
    <row r="40" spans="1:34" x14ac:dyDescent="0.2">
      <c r="A40" s="73"/>
      <c r="B40" s="72" t="s">
        <v>49</v>
      </c>
      <c r="C40" s="71" t="str">
        <f t="shared" si="3"/>
        <v>12L</v>
      </c>
      <c r="D40" s="70" t="str">
        <f t="shared" si="4"/>
        <v>3L</v>
      </c>
      <c r="E40" s="69" t="str">
        <f t="shared" si="0"/>
        <v>USD12L3L40Y_Quote</v>
      </c>
      <c r="F40" s="69" t="str">
        <f>_xll.qlSimpleQuote(E40,,RateTickValue,Permanent,Trigger,ObjectOverwrite)</f>
        <v>USD12L3L40Y_Quote#0000</v>
      </c>
      <c r="G40" s="68" t="str">
        <f>_xll.ohRangeRetrieveError(F40)</f>
        <v/>
      </c>
      <c r="H40" s="67"/>
      <c r="N40" s="116">
        <v>40</v>
      </c>
      <c r="O40" s="227" t="s">
        <v>49</v>
      </c>
      <c r="P40" s="276" t="str">
        <v>12L</v>
      </c>
      <c r="Q40" s="276" t="str">
        <v>3L</v>
      </c>
      <c r="R40" s="274" t="str">
        <f t="shared" si="1"/>
        <v>USD12L3L40Y</v>
      </c>
      <c r="S40" s="226" t="str">
        <v>USD12L3L40Y=ICAP</v>
      </c>
      <c r="T40" s="346" t="s">
        <v>219</v>
      </c>
      <c r="U40" s="346" t="s">
        <v>219</v>
      </c>
      <c r="V40" s="346" t="e">
        <f>_xll.qlMidEquivalent(T40,U40)</f>
        <v>#NUM!</v>
      </c>
      <c r="W40" s="221" t="b">
        <f t="shared" si="2"/>
        <v>0</v>
      </c>
      <c r="X40" s="345">
        <f>X39</f>
        <v>24.2</v>
      </c>
      <c r="Y40" s="223"/>
      <c r="Z40" s="344">
        <v>26</v>
      </c>
      <c r="AA40" s="223"/>
      <c r="AB40" s="456">
        <v>24.2</v>
      </c>
      <c r="AC40" s="220">
        <f>_xll.qlSimpleQuoteSetValue(F40,AB40/10000,Trigger)</f>
        <v>0</v>
      </c>
      <c r="AD40" s="189"/>
      <c r="AE40" s="19"/>
      <c r="AF40" s="19"/>
      <c r="AG40" s="19"/>
      <c r="AH40" s="19"/>
    </row>
    <row r="41" spans="1:34" x14ac:dyDescent="0.2">
      <c r="A41" s="73"/>
      <c r="B41" s="72" t="s">
        <v>39</v>
      </c>
      <c r="C41" s="71" t="str">
        <f t="shared" si="3"/>
        <v>12L</v>
      </c>
      <c r="D41" s="70" t="str">
        <f t="shared" si="4"/>
        <v>3L</v>
      </c>
      <c r="E41" s="69" t="str">
        <f t="shared" si="0"/>
        <v>USD12L3L50Y_Quote</v>
      </c>
      <c r="F41" s="69" t="str">
        <f>_xll.qlSimpleQuote(E41,,RateTickValue,Permanent,Trigger,ObjectOverwrite)</f>
        <v>USD12L3L50Y_Quote#0000</v>
      </c>
      <c r="G41" s="68" t="str">
        <f>_xll.ohRangeRetrieveError(F41)</f>
        <v/>
      </c>
      <c r="H41" s="67"/>
      <c r="N41" s="116">
        <v>50</v>
      </c>
      <c r="O41" s="227" t="s">
        <v>39</v>
      </c>
      <c r="P41" s="276" t="str">
        <v>12L</v>
      </c>
      <c r="Q41" s="276" t="str">
        <v>3L</v>
      </c>
      <c r="R41" s="274" t="str">
        <f t="shared" si="1"/>
        <v>USD12L3L50Y</v>
      </c>
      <c r="S41" s="226" t="str">
        <v>USD12L3L50Y=ICAP</v>
      </c>
      <c r="T41" s="346" t="s">
        <v>219</v>
      </c>
      <c r="U41" s="346" t="s">
        <v>219</v>
      </c>
      <c r="V41" s="346" t="e">
        <f>_xll.qlMidEquivalent(T41,U41)</f>
        <v>#NUM!</v>
      </c>
      <c r="W41" s="221" t="b">
        <f t="shared" si="2"/>
        <v>0</v>
      </c>
      <c r="X41" s="345">
        <f>X40</f>
        <v>24.2</v>
      </c>
      <c r="Y41" s="223"/>
      <c r="Z41" s="344">
        <v>26</v>
      </c>
      <c r="AA41" s="223"/>
      <c r="AB41" s="456">
        <v>24.2</v>
      </c>
      <c r="AC41" s="220">
        <f>_xll.qlSimpleQuoteSetValue(F41,AB41/10000,Trigger)</f>
        <v>0</v>
      </c>
      <c r="AD41" s="189"/>
      <c r="AE41" s="19"/>
      <c r="AF41" s="19"/>
      <c r="AG41" s="19"/>
      <c r="AH41" s="19"/>
    </row>
    <row r="42" spans="1:34" x14ac:dyDescent="0.2">
      <c r="A42" s="73"/>
      <c r="B42" s="72" t="s">
        <v>29</v>
      </c>
      <c r="C42" s="71" t="str">
        <f t="shared" si="3"/>
        <v>12L</v>
      </c>
      <c r="D42" s="70" t="str">
        <f t="shared" si="4"/>
        <v>3L</v>
      </c>
      <c r="E42" s="69" t="str">
        <f t="shared" si="0"/>
        <v>USD12L3L60Y_Quote</v>
      </c>
      <c r="F42" s="69" t="str">
        <f>_xll.qlSimpleQuote(E42,,RateTickValue,Permanent,Trigger,ObjectOverwrite)</f>
        <v>USD12L3L60Y_Quote#0000</v>
      </c>
      <c r="G42" s="68" t="str">
        <f>_xll.ohRangeRetrieveError(F42)</f>
        <v/>
      </c>
      <c r="H42" s="67"/>
      <c r="N42" s="116">
        <v>60</v>
      </c>
      <c r="O42" s="239" t="s">
        <v>29</v>
      </c>
      <c r="P42" s="271" t="str">
        <v>12L</v>
      </c>
      <c r="Q42" s="271" t="str">
        <v>3L</v>
      </c>
      <c r="R42" s="269" t="str">
        <f t="shared" si="1"/>
        <v>USD12L3L60Y</v>
      </c>
      <c r="S42" s="238" t="str">
        <v>USD12L3L60Y=ICAP</v>
      </c>
      <c r="T42" s="343" t="s">
        <v>219</v>
      </c>
      <c r="U42" s="343" t="s">
        <v>219</v>
      </c>
      <c r="V42" s="343" t="e">
        <f>_xll.qlMidEquivalent(T42,U42)</f>
        <v>#NUM!</v>
      </c>
      <c r="W42" s="234" t="b">
        <f t="shared" si="2"/>
        <v>0</v>
      </c>
      <c r="X42" s="342">
        <f>X41</f>
        <v>24.2</v>
      </c>
      <c r="Y42" s="223"/>
      <c r="Z42" s="341">
        <v>26</v>
      </c>
      <c r="AA42" s="223"/>
      <c r="AB42" s="457">
        <v>24.2</v>
      </c>
      <c r="AC42" s="233">
        <f>_xll.qlSimpleQuoteSetValue(F42,AB42/10000,Trigger)</f>
        <v>0</v>
      </c>
      <c r="AD42" s="189"/>
      <c r="AE42" s="19"/>
      <c r="AF42" s="19"/>
      <c r="AG42" s="19"/>
      <c r="AH42" s="19"/>
    </row>
    <row r="43" spans="1:34" ht="13.5" thickBot="1" x14ac:dyDescent="0.25">
      <c r="A43" s="66"/>
      <c r="B43" s="65"/>
      <c r="C43" s="65"/>
      <c r="D43" s="65"/>
      <c r="E43" s="65"/>
      <c r="F43" s="64"/>
      <c r="G43" s="64"/>
      <c r="H43" s="63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  <c r="AE43" s="19"/>
      <c r="AF43" s="19"/>
      <c r="AG43" s="19"/>
      <c r="AH43" s="19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97" customWidth="1"/>
    <col min="2" max="2" width="5.140625" style="97" bestFit="1" customWidth="1"/>
    <col min="3" max="3" width="17.85546875" style="97" bestFit="1" customWidth="1"/>
    <col min="4" max="4" width="16.7109375" style="97" bestFit="1" customWidth="1"/>
    <col min="5" max="5" width="36.85546875" style="97" bestFit="1" customWidth="1"/>
    <col min="6" max="8" width="2.7109375" style="97" customWidth="1"/>
    <col min="9" max="9" width="9.140625" style="97"/>
    <col min="10" max="10" width="11.85546875" style="97" customWidth="1"/>
    <col min="11" max="11" width="9.140625" style="97"/>
    <col min="12" max="12" width="2.7109375" style="97" customWidth="1"/>
    <col min="13" max="13" width="9.140625" style="97"/>
    <col min="14" max="14" width="2.7109375" style="97" customWidth="1"/>
    <col min="15" max="15" width="15.7109375" style="97" customWidth="1"/>
    <col min="16" max="16" width="9.140625" style="97"/>
    <col min="17" max="18" width="2.7109375" style="97" customWidth="1"/>
    <col min="19" max="20" width="9.140625" style="97"/>
    <col min="21" max="21" width="9.85546875" style="97" customWidth="1"/>
    <col min="22" max="22" width="8.85546875" style="97" customWidth="1"/>
    <col min="23" max="16384" width="9.140625" style="97"/>
  </cols>
  <sheetData>
    <row r="1" spans="1:23" x14ac:dyDescent="0.2">
      <c r="H1" s="257" t="s">
        <v>286</v>
      </c>
      <c r="I1" s="170"/>
      <c r="J1" s="19"/>
      <c r="K1" s="170"/>
      <c r="L1" s="170"/>
      <c r="M1" s="170"/>
      <c r="N1" s="170"/>
      <c r="O1" s="170"/>
      <c r="P1" s="170"/>
      <c r="Q1" s="167"/>
      <c r="R1" s="19"/>
      <c r="S1" s="19"/>
      <c r="T1" s="19"/>
      <c r="U1" s="19"/>
      <c r="V1" s="19"/>
      <c r="W1" s="19"/>
    </row>
    <row r="2" spans="1:23" ht="21" customHeight="1" x14ac:dyDescent="0.2">
      <c r="H2" s="256"/>
      <c r="I2" s="255"/>
      <c r="J2" s="138" t="s">
        <v>27</v>
      </c>
      <c r="K2" s="223"/>
      <c r="L2" s="223"/>
      <c r="M2" s="223"/>
      <c r="N2" s="223"/>
      <c r="O2" s="223"/>
      <c r="P2" s="223"/>
      <c r="Q2" s="42"/>
      <c r="R2" s="19"/>
      <c r="S2" s="19"/>
      <c r="T2" s="19"/>
      <c r="U2" s="19"/>
      <c r="V2" s="19"/>
      <c r="W2" s="19"/>
    </row>
    <row r="3" spans="1:23" x14ac:dyDescent="0.2">
      <c r="A3" s="159" t="s">
        <v>159</v>
      </c>
      <c r="B3" s="106"/>
      <c r="C3" s="106"/>
      <c r="D3" s="106"/>
      <c r="E3" s="106"/>
      <c r="F3" s="105"/>
      <c r="H3" s="116"/>
      <c r="I3" s="223"/>
      <c r="J3" s="223"/>
      <c r="K3" s="223"/>
      <c r="L3" s="223"/>
      <c r="M3" s="223"/>
      <c r="N3" s="223"/>
      <c r="O3" s="254"/>
      <c r="P3" s="253">
        <f>_xll.ohTrigger(P5:P18)</f>
        <v>2</v>
      </c>
      <c r="Q3" s="189"/>
      <c r="R3" s="19"/>
      <c r="S3" s="19"/>
      <c r="T3" s="19"/>
      <c r="U3" s="19"/>
      <c r="V3" s="19"/>
      <c r="W3" s="19"/>
    </row>
    <row r="4" spans="1:23" ht="22.5" x14ac:dyDescent="0.2">
      <c r="A4" s="73"/>
      <c r="B4" s="104"/>
      <c r="C4" s="85" t="str">
        <f>Currency&amp;"_010_"&amp;"Deposits.xml"</f>
        <v>USD_010_Deposits.xml</v>
      </c>
      <c r="D4" s="103" t="str">
        <f>IF(Serialize,_xll.ohObjectSave(D5:D22,SerializationPath&amp;C4,FileOverwrite,Serialize),"---")</f>
        <v>---</v>
      </c>
      <c r="E4" s="102" t="str">
        <f>_xll.ohRangeRetrieveError(D4)</f>
        <v/>
      </c>
      <c r="F4" s="98"/>
      <c r="H4" s="116"/>
      <c r="I4" s="250"/>
      <c r="J4" s="218" t="str">
        <f>_xll.RData(J8:J22,K4,,ReutersRtMode,,K8)</f>
        <v>Paused at 15:28:02</v>
      </c>
      <c r="K4" s="252" t="str">
        <f>VLOOKUP(Contributor,ContributorTable,5,FALSE)</f>
        <v>LAST</v>
      </c>
      <c r="L4" s="223"/>
      <c r="M4" s="251" t="s">
        <v>237</v>
      </c>
      <c r="N4" s="223"/>
      <c r="O4" s="250" t="s">
        <v>235</v>
      </c>
      <c r="P4" s="249" t="s">
        <v>234</v>
      </c>
      <c r="Q4" s="189"/>
      <c r="R4" s="19"/>
      <c r="S4" s="248" t="s">
        <v>233</v>
      </c>
      <c r="T4" s="247" t="s">
        <v>232</v>
      </c>
      <c r="U4" s="247" t="s">
        <v>231</v>
      </c>
      <c r="V4" s="247" t="s">
        <v>230</v>
      </c>
      <c r="W4" s="246" t="s">
        <v>229</v>
      </c>
    </row>
    <row r="5" spans="1:23" x14ac:dyDescent="0.2">
      <c r="A5" s="73"/>
      <c r="B5" s="101" t="s">
        <v>141</v>
      </c>
      <c r="C5" s="100" t="str">
        <f t="shared" ref="C5:C22" si="0">Currency&amp;$B5&amp;QuoteSuffix</f>
        <v>USDOND_Quote</v>
      </c>
      <c r="D5" s="100" t="str">
        <f>_xll.qlSimpleQuote(C5,,RateTickValue,Permanent,Trigger,ObjectOverwrite)</f>
        <v>USDOND_Quote#0000</v>
      </c>
      <c r="E5" s="99" t="str">
        <f>_xll.ohRangeRetrieveError(D5)</f>
        <v/>
      </c>
      <c r="F5" s="98"/>
      <c r="H5" s="116"/>
      <c r="I5" s="245" t="s">
        <v>194</v>
      </c>
      <c r="J5" s="244" t="str">
        <f t="array" ref="J5:J7">Currency&amp;VLOOKUP(U25,ContributorTable,2,FALSE)&amp;I5:I7&amp;VLOOKUP(U25,ContributorTable,3,FALSE)&amp;"="&amp;VLOOKUP(U25,ContributorTable,4,FALSE)</f>
        <v>USDOND=CKCC</v>
      </c>
      <c r="K5" s="243">
        <f>X28</f>
        <v>0.14000000000000001</v>
      </c>
      <c r="L5" s="223"/>
      <c r="M5" s="242">
        <v>0.15</v>
      </c>
      <c r="N5" s="223"/>
      <c r="O5" s="303">
        <f t="array" ref="O5:O22">QuoteLive</f>
        <v>0.14000000000000001</v>
      </c>
      <c r="P5" s="240">
        <f>_xll.qlSimpleQuoteSetValue(D5,O5/100,Trigger)</f>
        <v>0</v>
      </c>
      <c r="Q5" s="189"/>
      <c r="R5" s="19"/>
      <c r="S5" s="232" t="s">
        <v>228</v>
      </c>
      <c r="T5" s="78" t="s">
        <v>227</v>
      </c>
      <c r="U5" s="78" t="s">
        <v>211</v>
      </c>
      <c r="V5" s="78" t="str">
        <f>""</f>
        <v/>
      </c>
      <c r="W5" s="231" t="s">
        <v>224</v>
      </c>
    </row>
    <row r="6" spans="1:23" x14ac:dyDescent="0.2">
      <c r="A6" s="73"/>
      <c r="B6" s="101" t="s">
        <v>140</v>
      </c>
      <c r="C6" s="100" t="str">
        <f t="shared" si="0"/>
        <v>USDTND_Quote</v>
      </c>
      <c r="D6" s="100" t="str">
        <f>_xll.qlSimpleQuote(C6,,RateTickValue,Permanent,Trigger,ObjectOverwrite)</f>
        <v>USDTND_Quote#0000</v>
      </c>
      <c r="E6" s="99" t="str">
        <f>_xll.ohRangeRetrieveError(D6)</f>
        <v/>
      </c>
      <c r="F6" s="98"/>
      <c r="H6" s="116"/>
      <c r="I6" s="227" t="s">
        <v>226</v>
      </c>
      <c r="J6" s="226" t="str">
        <v>USDTND=CKCC</v>
      </c>
      <c r="K6" s="225">
        <f>X29</f>
        <v>0.14000000000000001</v>
      </c>
      <c r="L6" s="223"/>
      <c r="M6" s="224">
        <v>0.15</v>
      </c>
      <c r="N6" s="223"/>
      <c r="O6" s="296">
        <v>0.14000000000000001</v>
      </c>
      <c r="P6" s="220">
        <f>_xll.qlSimpleQuoteSetValue(D6,O6/100,Trigger)</f>
        <v>0</v>
      </c>
      <c r="Q6" s="189"/>
      <c r="R6" s="19"/>
      <c r="S6" s="232" t="s">
        <v>27</v>
      </c>
      <c r="T6" s="78"/>
      <c r="U6" s="78" t="s">
        <v>225</v>
      </c>
      <c r="V6" s="78"/>
      <c r="W6" s="231" t="s">
        <v>224</v>
      </c>
    </row>
    <row r="7" spans="1:23" x14ac:dyDescent="0.2">
      <c r="A7" s="73"/>
      <c r="B7" s="101" t="s">
        <v>139</v>
      </c>
      <c r="C7" s="100" t="str">
        <f t="shared" si="0"/>
        <v>USDSND_Quote</v>
      </c>
      <c r="D7" s="100" t="str">
        <f>_xll.qlSimpleQuote(C7,,RateTickValue,Permanent,Trigger,ObjectOverwrite)</f>
        <v>USDSND_Quote#0000</v>
      </c>
      <c r="E7" s="99" t="str">
        <f>_xll.ohRangeRetrieveError(D7)</f>
        <v/>
      </c>
      <c r="F7" s="98"/>
      <c r="H7" s="116"/>
      <c r="I7" s="239" t="s">
        <v>223</v>
      </c>
      <c r="J7" s="238" t="str">
        <v>USDSND=CKCC</v>
      </c>
      <c r="K7" s="237">
        <f>X30</f>
        <v>0.14000000000000001</v>
      </c>
      <c r="L7" s="223"/>
      <c r="M7" s="236">
        <v>0.15</v>
      </c>
      <c r="N7" s="223"/>
      <c r="O7" s="289">
        <v>0.14000000000000001</v>
      </c>
      <c r="P7" s="233">
        <f>_xll.qlSimpleQuoteSetValue(D7,O7/100,Trigger)</f>
        <v>0</v>
      </c>
      <c r="Q7" s="189"/>
      <c r="R7" s="19"/>
      <c r="S7" s="232" t="s">
        <v>222</v>
      </c>
      <c r="T7" s="78"/>
      <c r="U7" s="78" t="s">
        <v>211</v>
      </c>
      <c r="V7" s="78"/>
      <c r="W7" s="231" t="s">
        <v>206</v>
      </c>
    </row>
    <row r="8" spans="1:23" x14ac:dyDescent="0.2">
      <c r="A8" s="73"/>
      <c r="B8" s="101" t="s">
        <v>138</v>
      </c>
      <c r="C8" s="100" t="str">
        <f t="shared" si="0"/>
        <v>USDSWD_Quote</v>
      </c>
      <c r="D8" s="100" t="str">
        <f>_xll.qlSimpleQuote(C8,,RateTickValue,Permanent,Trigger,ObjectOverwrite)</f>
        <v>USDSWD_Quote#0000</v>
      </c>
      <c r="E8" s="99" t="str">
        <f>_xll.ohRangeRetrieveError(D8)</f>
        <v/>
      </c>
      <c r="F8" s="98"/>
      <c r="H8" s="116"/>
      <c r="I8" s="227" t="s">
        <v>23</v>
      </c>
      <c r="J8" s="226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25">
        <v>0.11924999999999999</v>
      </c>
      <c r="L8" s="223"/>
      <c r="M8" s="224">
        <v>0.1193</v>
      </c>
      <c r="N8" s="223"/>
      <c r="O8" s="296">
        <v>0.11924999999999999</v>
      </c>
      <c r="P8" s="220">
        <f>_xll.qlSimpleQuoteSetValue(D8,O8/100,Trigger)</f>
        <v>-2.0500000000000119E-5</v>
      </c>
      <c r="Q8" s="189"/>
      <c r="R8" s="19"/>
      <c r="S8" s="232" t="s">
        <v>209</v>
      </c>
      <c r="T8" s="78"/>
      <c r="U8" s="78" t="s">
        <v>211</v>
      </c>
      <c r="V8" s="78" t="s">
        <v>221</v>
      </c>
      <c r="W8" s="231" t="s">
        <v>206</v>
      </c>
    </row>
    <row r="9" spans="1:23" x14ac:dyDescent="0.2">
      <c r="A9" s="73"/>
      <c r="B9" s="101" t="s">
        <v>137</v>
      </c>
      <c r="C9" s="100" t="str">
        <f t="shared" si="0"/>
        <v>USD2WD_Quote</v>
      </c>
      <c r="D9" s="100" t="str">
        <f>_xll.qlSimpleQuote(C9,,RateTickValue,Permanent,Trigger,ObjectOverwrite)</f>
        <v>USD2WD_Quote#0000</v>
      </c>
      <c r="E9" s="99" t="str">
        <f>_xll.ohRangeRetrieveError(D9)</f>
        <v/>
      </c>
      <c r="F9" s="98"/>
      <c r="H9" s="116"/>
      <c r="I9" s="227" t="s">
        <v>22</v>
      </c>
      <c r="J9" s="226" t="str">
        <v>USD2WFSR=</v>
      </c>
      <c r="K9" s="225">
        <v>0</v>
      </c>
      <c r="L9" s="223"/>
      <c r="M9" s="224">
        <v>0</v>
      </c>
      <c r="N9" s="223"/>
      <c r="O9" s="296">
        <v>0</v>
      </c>
      <c r="P9" s="220">
        <f>_xll.qlSimpleQuoteSetValue(D9,O9/100,Trigger)</f>
        <v>0</v>
      </c>
      <c r="Q9" s="189"/>
      <c r="R9" s="19"/>
      <c r="S9" s="232" t="s">
        <v>220</v>
      </c>
      <c r="T9" s="78"/>
      <c r="U9" s="78" t="s">
        <v>211</v>
      </c>
      <c r="V9" s="78" t="s">
        <v>220</v>
      </c>
      <c r="W9" s="231" t="s">
        <v>206</v>
      </c>
    </row>
    <row r="10" spans="1:23" x14ac:dyDescent="0.2">
      <c r="A10" s="73"/>
      <c r="B10" s="101" t="s">
        <v>136</v>
      </c>
      <c r="C10" s="100" t="str">
        <f t="shared" si="0"/>
        <v>USD3WD_Quote</v>
      </c>
      <c r="D10" s="100" t="str">
        <f>_xll.qlSimpleQuote(C10,,RateTickValue,Permanent,Trigger,ObjectOverwrite)</f>
        <v>USD3WD_Quote#0000</v>
      </c>
      <c r="E10" s="99" t="str">
        <f>_xll.ohRangeRetrieveError(D10)</f>
        <v/>
      </c>
      <c r="F10" s="98"/>
      <c r="H10" s="116"/>
      <c r="I10" s="227" t="s">
        <v>21</v>
      </c>
      <c r="J10" s="226" t="str">
        <v>USD3WFSR=</v>
      </c>
      <c r="K10" s="225" t="s">
        <v>219</v>
      </c>
      <c r="L10" s="223"/>
      <c r="M10" s="224" t="s">
        <v>219</v>
      </c>
      <c r="N10" s="223"/>
      <c r="O10" s="296" t="str">
        <v>The record could not be found</v>
      </c>
      <c r="P10" s="220" t="e">
        <f>_xll.qlSimpleQuoteSetValue(D10,O10/100,Trigger)</f>
        <v>#NUM!</v>
      </c>
      <c r="Q10" s="189"/>
      <c r="R10" s="19"/>
      <c r="S10" s="232" t="s">
        <v>218</v>
      </c>
      <c r="T10" s="78"/>
      <c r="U10" s="78" t="s">
        <v>211</v>
      </c>
      <c r="V10" s="78" t="s">
        <v>217</v>
      </c>
      <c r="W10" s="231" t="s">
        <v>206</v>
      </c>
    </row>
    <row r="11" spans="1:23" x14ac:dyDescent="0.2">
      <c r="A11" s="73"/>
      <c r="B11" s="101" t="s">
        <v>135</v>
      </c>
      <c r="C11" s="100" t="str">
        <f t="shared" si="0"/>
        <v>USD1MD_Quote</v>
      </c>
      <c r="D11" s="100" t="str">
        <f>_xll.qlSimpleQuote(C11,,RateTickValue,Permanent,Trigger,ObjectOverwrite)</f>
        <v>USD1MD_Quote#0000</v>
      </c>
      <c r="E11" s="99" t="str">
        <f>_xll.ohRangeRetrieveError(D11)</f>
        <v/>
      </c>
      <c r="F11" s="98"/>
      <c r="H11" s="116"/>
      <c r="I11" s="227" t="s">
        <v>20</v>
      </c>
      <c r="J11" s="226" t="str">
        <v>USD1MFSR=</v>
      </c>
      <c r="K11" s="225">
        <v>0.15179999999999999</v>
      </c>
      <c r="L11" s="223"/>
      <c r="M11" s="224">
        <v>0.15870000000000001</v>
      </c>
      <c r="N11" s="223"/>
      <c r="O11" s="296">
        <v>0.15179999999999999</v>
      </c>
      <c r="P11" s="220">
        <f>_xll.qlSimpleQuoteSetValue(D11,O11/100,Trigger)</f>
        <v>-5.0000000000000131E-6</v>
      </c>
      <c r="Q11" s="189"/>
      <c r="R11" s="19"/>
      <c r="S11" s="232" t="s">
        <v>216</v>
      </c>
      <c r="T11" s="78"/>
      <c r="U11" s="78" t="s">
        <v>211</v>
      </c>
      <c r="V11" s="78" t="s">
        <v>215</v>
      </c>
      <c r="W11" s="231" t="s">
        <v>206</v>
      </c>
    </row>
    <row r="12" spans="1:23" x14ac:dyDescent="0.2">
      <c r="A12" s="73"/>
      <c r="B12" s="101" t="s">
        <v>134</v>
      </c>
      <c r="C12" s="100" t="str">
        <f t="shared" si="0"/>
        <v>USD2MD_Quote</v>
      </c>
      <c r="D12" s="100" t="str">
        <f>_xll.qlSimpleQuote(C12,,RateTickValue,Permanent,Trigger,ObjectOverwrite)</f>
        <v>USD2MD_Quote#0000</v>
      </c>
      <c r="E12" s="99" t="str">
        <f>_xll.ohRangeRetrieveError(D12)</f>
        <v/>
      </c>
      <c r="F12" s="98"/>
      <c r="H12" s="116"/>
      <c r="I12" s="227" t="s">
        <v>19</v>
      </c>
      <c r="J12" s="226" t="str">
        <v>USD2MFSR=</v>
      </c>
      <c r="K12" s="225">
        <v>0.19209999999999999</v>
      </c>
      <c r="L12" s="223"/>
      <c r="M12" s="224">
        <v>0.20300000000000001</v>
      </c>
      <c r="N12" s="223"/>
      <c r="O12" s="296">
        <v>0.19209999999999999</v>
      </c>
      <c r="P12" s="220">
        <f>_xll.qlSimpleQuoteSetValue(D12,O12/100,Trigger)</f>
        <v>-9.0000000000001103E-6</v>
      </c>
      <c r="Q12" s="189"/>
      <c r="R12" s="19"/>
      <c r="S12" s="232" t="s">
        <v>214</v>
      </c>
      <c r="T12" s="78"/>
      <c r="U12" s="78" t="s">
        <v>211</v>
      </c>
      <c r="V12" s="78" t="s">
        <v>213</v>
      </c>
      <c r="W12" s="231" t="s">
        <v>206</v>
      </c>
    </row>
    <row r="13" spans="1:23" x14ac:dyDescent="0.2">
      <c r="A13" s="73"/>
      <c r="B13" s="101" t="s">
        <v>133</v>
      </c>
      <c r="C13" s="100" t="str">
        <f t="shared" si="0"/>
        <v>USD3MD_Quote</v>
      </c>
      <c r="D13" s="100" t="str">
        <f>_xll.qlSimpleQuote(C13,,RateTickValue,Permanent,Trigger,ObjectOverwrite)</f>
        <v>USD3MD_Quote#0000</v>
      </c>
      <c r="E13" s="99" t="str">
        <f>_xll.ohRangeRetrieveError(D13)</f>
        <v/>
      </c>
      <c r="F13" s="98"/>
      <c r="H13" s="116"/>
      <c r="I13" s="227" t="s">
        <v>18</v>
      </c>
      <c r="J13" s="226" t="str">
        <v>USD3MFSR=</v>
      </c>
      <c r="K13" s="225">
        <v>0.22785</v>
      </c>
      <c r="L13" s="223"/>
      <c r="M13" s="224">
        <v>0.2379</v>
      </c>
      <c r="N13" s="223"/>
      <c r="O13" s="296">
        <v>0.22785</v>
      </c>
      <c r="P13" s="220">
        <f>_xll.qlSimpleQuoteSetValue(D13,O13/100,Trigger)</f>
        <v>-8.9999999999998935E-6</v>
      </c>
      <c r="Q13" s="189"/>
      <c r="R13" s="19"/>
      <c r="S13" s="230" t="s">
        <v>212</v>
      </c>
      <c r="T13" s="229"/>
      <c r="U13" s="229" t="s">
        <v>211</v>
      </c>
      <c r="V13" s="229" t="s">
        <v>210</v>
      </c>
      <c r="W13" s="228" t="s">
        <v>206</v>
      </c>
    </row>
    <row r="14" spans="1:23" x14ac:dyDescent="0.2">
      <c r="A14" s="73"/>
      <c r="B14" s="101" t="s">
        <v>132</v>
      </c>
      <c r="C14" s="100" t="str">
        <f t="shared" si="0"/>
        <v>USD4MD_Quote</v>
      </c>
      <c r="D14" s="100" t="str">
        <f>_xll.qlSimpleQuote(C14,,RateTickValue,Permanent,Trigger,ObjectOverwrite)</f>
        <v>USD4MD_Quote#0000</v>
      </c>
      <c r="E14" s="99" t="str">
        <f>_xll.ohRangeRetrieveError(D14)</f>
        <v/>
      </c>
      <c r="F14" s="98"/>
      <c r="H14" s="116"/>
      <c r="I14" s="227" t="s">
        <v>17</v>
      </c>
      <c r="J14" s="226" t="str">
        <v>USD4MFSR=</v>
      </c>
      <c r="K14" s="225">
        <v>0</v>
      </c>
      <c r="L14" s="223"/>
      <c r="M14" s="224">
        <v>0</v>
      </c>
      <c r="N14" s="223"/>
      <c r="O14" s="296">
        <v>0</v>
      </c>
      <c r="P14" s="220">
        <f>_xll.qlSimpleQuoteSetValue(D14,O14/100,Trigger)</f>
        <v>0</v>
      </c>
      <c r="Q14" s="189"/>
      <c r="R14" s="19"/>
      <c r="S14" s="19"/>
      <c r="T14" s="19"/>
      <c r="U14" s="19"/>
      <c r="V14" s="19"/>
      <c r="W14" s="19"/>
    </row>
    <row r="15" spans="1:23" x14ac:dyDescent="0.2">
      <c r="A15" s="73"/>
      <c r="B15" s="101" t="s">
        <v>131</v>
      </c>
      <c r="C15" s="100" t="str">
        <f t="shared" si="0"/>
        <v>USD5MD_Quote</v>
      </c>
      <c r="D15" s="100" t="str">
        <f>_xll.qlSimpleQuote(C15,,RateTickValue,Permanent,Trigger,ObjectOverwrite)</f>
        <v>USD5MD_Quote#0000</v>
      </c>
      <c r="E15" s="99" t="str">
        <f>_xll.ohRangeRetrieveError(D15)</f>
        <v/>
      </c>
      <c r="F15" s="98"/>
      <c r="H15" s="116"/>
      <c r="I15" s="227" t="s">
        <v>16</v>
      </c>
      <c r="J15" s="226" t="str">
        <v>USD5MFSR=</v>
      </c>
      <c r="K15" s="225">
        <v>0</v>
      </c>
      <c r="L15" s="223"/>
      <c r="M15" s="224">
        <v>0</v>
      </c>
      <c r="N15" s="223"/>
      <c r="O15" s="296">
        <v>0</v>
      </c>
      <c r="P15" s="220">
        <f>_xll.qlSimpleQuoteSetValue(D15,O15/100,Trigger)</f>
        <v>0</v>
      </c>
      <c r="Q15" s="189"/>
      <c r="R15" s="19"/>
      <c r="S15" s="19"/>
      <c r="T15" s="19"/>
      <c r="U15" s="19"/>
      <c r="V15" s="19"/>
      <c r="W15" s="19"/>
    </row>
    <row r="16" spans="1:23" x14ac:dyDescent="0.2">
      <c r="A16" s="73"/>
      <c r="B16" s="101" t="s">
        <v>130</v>
      </c>
      <c r="C16" s="100" t="str">
        <f t="shared" si="0"/>
        <v>USD6MD_Quote</v>
      </c>
      <c r="D16" s="100" t="str">
        <f>_xll.qlSimpleQuote(C16,,RateTickValue,Permanent,Trigger,ObjectOverwrite)</f>
        <v>USD6MD_Quote#0000</v>
      </c>
      <c r="E16" s="99" t="str">
        <f>_xll.ohRangeRetrieveError(D16)</f>
        <v/>
      </c>
      <c r="F16" s="98"/>
      <c r="H16" s="116"/>
      <c r="I16" s="227" t="s">
        <v>15</v>
      </c>
      <c r="J16" s="226" t="str">
        <v>USD6MFSR=</v>
      </c>
      <c r="K16" s="225">
        <v>0.32350000000000001</v>
      </c>
      <c r="L16" s="223"/>
      <c r="M16" s="224">
        <v>0.33560000000000001</v>
      </c>
      <c r="N16" s="223"/>
      <c r="O16" s="296">
        <v>0.32350000000000001</v>
      </c>
      <c r="P16" s="220">
        <f>_xll.qlSimpleQuoteSetValue(D16,O16/100,Trigger)</f>
        <v>7.0000000000000617E-6</v>
      </c>
      <c r="Q16" s="189"/>
      <c r="R16" s="19"/>
      <c r="S16" s="19"/>
      <c r="T16" s="19"/>
      <c r="U16" s="19"/>
      <c r="V16" s="19"/>
      <c r="W16" s="19"/>
    </row>
    <row r="17" spans="1:24" x14ac:dyDescent="0.2">
      <c r="A17" s="73"/>
      <c r="B17" s="101" t="s">
        <v>129</v>
      </c>
      <c r="C17" s="100" t="str">
        <f t="shared" si="0"/>
        <v>USD7MD_Quote</v>
      </c>
      <c r="D17" s="100" t="str">
        <f>_xll.qlSimpleQuote(C17,,RateTickValue,Permanent,Trigger,ObjectOverwrite)</f>
        <v>USD7MD_Quote#0000</v>
      </c>
      <c r="E17" s="99" t="str">
        <f>_xll.ohRangeRetrieveError(D17)</f>
        <v/>
      </c>
      <c r="F17" s="98"/>
      <c r="H17" s="116"/>
      <c r="I17" s="227" t="s">
        <v>14</v>
      </c>
      <c r="J17" s="226" t="str">
        <v>USD7MFSR=</v>
      </c>
      <c r="K17" s="225">
        <v>0</v>
      </c>
      <c r="L17" s="223"/>
      <c r="M17" s="224">
        <v>0</v>
      </c>
      <c r="N17" s="223"/>
      <c r="O17" s="296">
        <v>0</v>
      </c>
      <c r="P17" s="220">
        <f>_xll.qlSimpleQuoteSetValue(D17,O17/100,Trigger)</f>
        <v>0</v>
      </c>
      <c r="Q17" s="189"/>
      <c r="R17" s="19"/>
      <c r="S17" s="19"/>
      <c r="T17" s="19"/>
      <c r="U17" s="19"/>
      <c r="V17" s="19"/>
      <c r="W17" s="19"/>
    </row>
    <row r="18" spans="1:24" x14ac:dyDescent="0.2">
      <c r="A18" s="73"/>
      <c r="B18" s="101" t="s">
        <v>128</v>
      </c>
      <c r="C18" s="100" t="str">
        <f t="shared" si="0"/>
        <v>USD8MD_Quote</v>
      </c>
      <c r="D18" s="100" t="str">
        <f>_xll.qlSimpleQuote(C18,,RateTickValue,Permanent,Trigger,ObjectOverwrite)</f>
        <v>USD8MD_Quote#0000</v>
      </c>
      <c r="E18" s="99" t="str">
        <f>_xll.ohRangeRetrieveError(D18)</f>
        <v/>
      </c>
      <c r="F18" s="98"/>
      <c r="H18" s="116"/>
      <c r="I18" s="227" t="s">
        <v>13</v>
      </c>
      <c r="J18" s="226" t="str">
        <v>USD8MFSR=</v>
      </c>
      <c r="K18" s="225">
        <v>0</v>
      </c>
      <c r="L18" s="223"/>
      <c r="M18" s="224">
        <v>0</v>
      </c>
      <c r="N18" s="223"/>
      <c r="O18" s="296">
        <v>0</v>
      </c>
      <c r="P18" s="220">
        <f>_xll.qlSimpleQuoteSetValue(D18,O18/100,Trigger)</f>
        <v>0</v>
      </c>
      <c r="Q18" s="189"/>
      <c r="R18" s="19"/>
      <c r="S18" s="19"/>
      <c r="T18" s="19"/>
      <c r="U18" s="19"/>
      <c r="V18" s="19"/>
      <c r="W18" s="19"/>
    </row>
    <row r="19" spans="1:24" x14ac:dyDescent="0.2">
      <c r="A19" s="73"/>
      <c r="B19" s="101" t="s">
        <v>127</v>
      </c>
      <c r="C19" s="100" t="str">
        <f t="shared" si="0"/>
        <v>USD9MD_Quote</v>
      </c>
      <c r="D19" s="100" t="str">
        <f>_xll.qlSimpleQuote(C19,,RateTickValue,Permanent,Trigger,ObjectOverwrite)</f>
        <v>USD9MD_Quote#0000</v>
      </c>
      <c r="E19" s="99" t="str">
        <f>_xll.ohRangeRetrieveError(D19)</f>
        <v/>
      </c>
      <c r="F19" s="98"/>
      <c r="H19" s="116"/>
      <c r="I19" s="227" t="s">
        <v>12</v>
      </c>
      <c r="J19" s="226" t="str">
        <v>USD9MFSR=</v>
      </c>
      <c r="K19" s="225">
        <v>0</v>
      </c>
      <c r="L19" s="223"/>
      <c r="M19" s="224">
        <v>0.71250000000000002</v>
      </c>
      <c r="N19" s="223"/>
      <c r="O19" s="296">
        <v>0</v>
      </c>
      <c r="P19" s="220">
        <f>_xll.qlSimpleQuoteSetValue(D19,O19/100,Trigger)</f>
        <v>0</v>
      </c>
      <c r="Q19" s="189"/>
      <c r="R19" s="19"/>
      <c r="S19" s="19"/>
      <c r="T19" s="19"/>
      <c r="U19" s="19"/>
      <c r="V19" s="19"/>
      <c r="W19" s="19"/>
    </row>
    <row r="20" spans="1:24" x14ac:dyDescent="0.2">
      <c r="A20" s="73"/>
      <c r="B20" s="101" t="s">
        <v>126</v>
      </c>
      <c r="C20" s="100" t="str">
        <f t="shared" si="0"/>
        <v>USD10MD_Quote</v>
      </c>
      <c r="D20" s="100" t="str">
        <f>_xll.qlSimpleQuote(C20,,RateTickValue,Permanent,Trigger,ObjectOverwrite)</f>
        <v>USD10MD_Quote#0000</v>
      </c>
      <c r="E20" s="99" t="str">
        <f>_xll.ohRangeRetrieveError(D20)</f>
        <v/>
      </c>
      <c r="F20" s="98"/>
      <c r="H20" s="116"/>
      <c r="I20" s="227" t="s">
        <v>11</v>
      </c>
      <c r="J20" s="226" t="str">
        <v>USD10MFSR=</v>
      </c>
      <c r="K20" s="225">
        <v>0</v>
      </c>
      <c r="L20" s="223"/>
      <c r="M20" s="224">
        <v>0.76349999999999996</v>
      </c>
      <c r="N20" s="223"/>
      <c r="O20" s="296">
        <v>0</v>
      </c>
      <c r="P20" s="220">
        <f>_xll.qlSimpleQuoteSetValue(D20,O20/100,Trigger)</f>
        <v>0</v>
      </c>
      <c r="Q20" s="189"/>
      <c r="R20" s="19"/>
      <c r="S20" s="19"/>
      <c r="T20" s="19"/>
      <c r="U20" s="19"/>
      <c r="V20" s="19"/>
      <c r="W20" s="19"/>
    </row>
    <row r="21" spans="1:24" x14ac:dyDescent="0.2">
      <c r="A21" s="73"/>
      <c r="B21" s="101" t="s">
        <v>125</v>
      </c>
      <c r="C21" s="100" t="str">
        <f t="shared" si="0"/>
        <v>USD11MD_Quote</v>
      </c>
      <c r="D21" s="100" t="str">
        <f>_xll.qlSimpleQuote(C21,,RateTickValue,Permanent,Trigger,ObjectOverwrite)</f>
        <v>USD11MD_Quote#0000</v>
      </c>
      <c r="E21" s="99" t="str">
        <f>_xll.ohRangeRetrieveError(D21)</f>
        <v/>
      </c>
      <c r="F21" s="98"/>
      <c r="H21" s="116"/>
      <c r="I21" s="227" t="s">
        <v>10</v>
      </c>
      <c r="J21" s="226" t="str">
        <v>USD11MFSR=</v>
      </c>
      <c r="K21" s="225">
        <v>0</v>
      </c>
      <c r="L21" s="223"/>
      <c r="M21" s="224">
        <v>0.8145</v>
      </c>
      <c r="N21" s="223"/>
      <c r="O21" s="296">
        <v>0</v>
      </c>
      <c r="P21" s="220">
        <f>_xll.qlSimpleQuoteSetValue(D21,O21/100,Trigger)</f>
        <v>0</v>
      </c>
      <c r="Q21" s="189"/>
      <c r="R21" s="19"/>
      <c r="S21" s="19"/>
      <c r="T21" s="19"/>
      <c r="U21" s="19"/>
      <c r="V21" s="19"/>
      <c r="W21" s="19"/>
    </row>
    <row r="22" spans="1:24" x14ac:dyDescent="0.2">
      <c r="A22" s="73"/>
      <c r="B22" s="101" t="s">
        <v>124</v>
      </c>
      <c r="C22" s="100" t="str">
        <f t="shared" si="0"/>
        <v>USD1YD_Quote</v>
      </c>
      <c r="D22" s="100" t="str">
        <f>_xll.qlSimpleQuote(C22,,RateTickValue,Permanent,Trigger,ObjectOverwrite)</f>
        <v>USD1YD_Quote#0000</v>
      </c>
      <c r="E22" s="99" t="str">
        <f>_xll.ohRangeRetrieveError(D22)</f>
        <v/>
      </c>
      <c r="F22" s="98"/>
      <c r="H22" s="116"/>
      <c r="I22" s="227" t="s">
        <v>9</v>
      </c>
      <c r="J22" s="226" t="str">
        <v>USD1YFSR=</v>
      </c>
      <c r="K22" s="225">
        <v>0.54949999999999999</v>
      </c>
      <c r="L22" s="223"/>
      <c r="M22" s="224">
        <v>0.87150000000000005</v>
      </c>
      <c r="N22" s="223"/>
      <c r="O22" s="289">
        <v>0.54949999999999999</v>
      </c>
      <c r="P22" s="233">
        <f>_xll.qlSimpleQuoteSetValue(D22,O22/100,Trigger)</f>
        <v>1.1999999999999858E-5</v>
      </c>
      <c r="Q22" s="189"/>
      <c r="R22" s="19"/>
      <c r="S22" s="19"/>
      <c r="T22" s="19"/>
      <c r="U22" s="19"/>
      <c r="V22" s="19"/>
      <c r="W22" s="19"/>
    </row>
    <row r="23" spans="1:24" ht="12" thickBot="1" x14ac:dyDescent="0.25">
      <c r="A23" s="66"/>
      <c r="B23" s="65"/>
      <c r="C23" s="65"/>
      <c r="D23" s="65"/>
      <c r="E23" s="65"/>
      <c r="F23" s="63"/>
      <c r="H23" s="41"/>
      <c r="I23" s="219"/>
      <c r="J23" s="219"/>
      <c r="K23" s="219"/>
      <c r="L23" s="40"/>
      <c r="M23" s="219"/>
      <c r="N23" s="40"/>
      <c r="O23" s="219"/>
      <c r="P23" s="219"/>
      <c r="Q23" s="39"/>
      <c r="R23" s="19"/>
      <c r="S23" s="19"/>
      <c r="T23" s="19"/>
      <c r="U23" s="19"/>
      <c r="V23" s="19"/>
      <c r="W23" s="19"/>
    </row>
    <row r="24" spans="1:24" x14ac:dyDescent="0.2"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4" x14ac:dyDescent="0.2">
      <c r="N25" s="19"/>
      <c r="O25" s="19"/>
      <c r="P25" s="19"/>
      <c r="Q25" s="19"/>
      <c r="R25" s="19"/>
      <c r="S25" s="19"/>
      <c r="T25" s="19"/>
      <c r="U25" s="138" t="s">
        <v>209</v>
      </c>
      <c r="V25" s="19"/>
      <c r="W25" s="19"/>
      <c r="X25" s="19"/>
    </row>
    <row r="26" spans="1:24" x14ac:dyDescent="0.2">
      <c r="N26" s="19"/>
      <c r="O26" s="19"/>
      <c r="P26" s="19"/>
      <c r="Q26" s="19"/>
      <c r="R26" s="19"/>
      <c r="S26" s="19" t="s">
        <v>208</v>
      </c>
      <c r="T26" s="19"/>
      <c r="U26" s="19"/>
      <c r="V26" s="19"/>
      <c r="W26" s="19"/>
      <c r="X26" s="19"/>
    </row>
    <row r="27" spans="1:24" ht="19.5" customHeight="1" x14ac:dyDescent="0.2">
      <c r="N27" s="19"/>
      <c r="O27" s="19"/>
      <c r="P27" s="19"/>
      <c r="Q27" s="19"/>
      <c r="R27" s="19"/>
      <c r="S27" s="19"/>
      <c r="T27" s="19"/>
      <c r="U27" s="471" t="str">
        <f>_xll.RData(J5:J7,V27:W27,"RTFEED:IDN",ReutersRtMode,,V28)</f>
        <v>Paused at 15:28:02</v>
      </c>
      <c r="V27" s="472" t="s">
        <v>207</v>
      </c>
      <c r="W27" s="472" t="s">
        <v>206</v>
      </c>
      <c r="X27" s="472" t="s">
        <v>315</v>
      </c>
    </row>
    <row r="28" spans="1:24" x14ac:dyDescent="0.2">
      <c r="N28" s="19"/>
      <c r="O28" s="19"/>
      <c r="P28" s="19"/>
      <c r="Q28" s="19"/>
      <c r="R28" s="19"/>
      <c r="S28" s="19"/>
      <c r="T28" s="19"/>
      <c r="U28" s="19"/>
      <c r="V28" s="473">
        <v>0.09</v>
      </c>
      <c r="W28" s="473">
        <v>0.19</v>
      </c>
      <c r="X28" s="473">
        <f>(V28+W28)/2</f>
        <v>0.14000000000000001</v>
      </c>
    </row>
    <row r="29" spans="1:24" x14ac:dyDescent="0.2">
      <c r="N29" s="19"/>
      <c r="O29" s="19"/>
      <c r="P29" s="19"/>
      <c r="Q29" s="19"/>
      <c r="R29" s="19"/>
      <c r="S29" s="19"/>
      <c r="T29" s="19"/>
      <c r="U29" s="19"/>
      <c r="V29" s="474">
        <v>0.09</v>
      </c>
      <c r="W29" s="474">
        <v>0.19</v>
      </c>
      <c r="X29" s="474">
        <f>(V29+W29)/2</f>
        <v>0.14000000000000001</v>
      </c>
    </row>
    <row r="30" spans="1:24" x14ac:dyDescent="0.2">
      <c r="N30" s="19"/>
      <c r="O30" s="19"/>
      <c r="P30" s="19"/>
      <c r="Q30" s="19"/>
      <c r="R30" s="19"/>
      <c r="S30" s="19"/>
      <c r="T30" s="19"/>
      <c r="U30" s="19"/>
      <c r="V30" s="475">
        <v>0.09</v>
      </c>
      <c r="W30" s="475">
        <v>0.19</v>
      </c>
      <c r="X30" s="475">
        <f>(V30+W30)/2</f>
        <v>0.14000000000000001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2"/>
  <sheetViews>
    <sheetView workbookViewId="0">
      <selection activeCell="E21" sqref="E21"/>
    </sheetView>
  </sheetViews>
  <sheetFormatPr defaultRowHeight="12.75" x14ac:dyDescent="0.2"/>
  <cols>
    <col min="1" max="1" width="2.7109375" style="18" customWidth="1"/>
    <col min="2" max="2" width="5.85546875" style="18" bestFit="1" customWidth="1"/>
    <col min="3" max="3" width="4.42578125" style="18" bestFit="1" customWidth="1"/>
    <col min="4" max="4" width="15.5703125" style="109" bestFit="1" customWidth="1"/>
    <col min="5" max="5" width="20" style="18" bestFit="1" customWidth="1"/>
    <col min="6" max="6" width="57.42578125" style="108" customWidth="1"/>
    <col min="7" max="9" width="2.7109375" style="18" customWidth="1"/>
    <col min="10" max="12" width="9.140625" style="18"/>
    <col min="13" max="13" width="9.28515625" style="18" bestFit="1" customWidth="1"/>
    <col min="14" max="14" width="13.5703125" style="18" bestFit="1" customWidth="1"/>
    <col min="15" max="17" width="9.140625" style="18"/>
    <col min="18" max="18" width="10.42578125" style="18" customWidth="1"/>
    <col min="19" max="19" width="9.140625" style="18"/>
    <col min="20" max="20" width="2.7109375" style="18" customWidth="1"/>
    <col min="21" max="21" width="9.140625" style="18"/>
    <col min="22" max="22" width="2.7109375" style="18" customWidth="1"/>
    <col min="23" max="24" width="9.140625" style="18"/>
    <col min="25" max="25" width="2.7109375" style="18" customWidth="1"/>
    <col min="26" max="16384" width="9.140625" style="18"/>
  </cols>
  <sheetData>
    <row r="1" spans="1:27" x14ac:dyDescent="0.2">
      <c r="A1" s="159" t="s">
        <v>159</v>
      </c>
      <c r="B1" s="131"/>
      <c r="C1" s="131"/>
      <c r="D1" s="18"/>
      <c r="E1" s="108"/>
      <c r="F1" s="18"/>
      <c r="G1" s="42"/>
      <c r="Z1" s="19"/>
      <c r="AA1" s="19"/>
    </row>
    <row r="2" spans="1:27" ht="24" customHeight="1" thickBot="1" x14ac:dyDescent="0.25">
      <c r="A2" s="116"/>
      <c r="B2" s="130"/>
      <c r="C2" s="129"/>
      <c r="D2" s="128" t="str">
        <f>Currency&amp;"_010_"&amp;"FRA.xml"</f>
        <v>USD_010_FRA.xml</v>
      </c>
      <c r="E2" s="127" t="str">
        <f>IF(Serialize,_xll.ohObjectSave(E3:E21,SerializationPath&amp;D2,FileOverwrite,Serialize),"---")</f>
        <v>---</v>
      </c>
      <c r="F2" s="126" t="str">
        <f>_xll.ohRangeRetrieveError(E2)</f>
        <v/>
      </c>
      <c r="G2" s="42"/>
      <c r="Z2" s="19"/>
      <c r="AA2" s="19"/>
    </row>
    <row r="3" spans="1:27" x14ac:dyDescent="0.2">
      <c r="A3" s="116"/>
      <c r="B3" s="120" t="s">
        <v>153</v>
      </c>
      <c r="C3" s="121" t="s">
        <v>143</v>
      </c>
      <c r="D3" s="120" t="str">
        <f t="shared" ref="D3:D21" si="0">Currency&amp;$B3&amp;$C3&amp;QuoteSuffix</f>
        <v>USDT1F1_Quote</v>
      </c>
      <c r="E3" s="119" t="str">
        <f>_xll.qlSimpleQuote(D3,,RateTickValue,Permanent,Trigger,ObjectOverwrite)</f>
        <v>USDT1F1_Quote#0000</v>
      </c>
      <c r="F3" s="118" t="str">
        <f>_xll.ohRangeRetrieveError(E3)</f>
        <v/>
      </c>
      <c r="G3" s="42"/>
      <c r="I3" s="287" t="s">
        <v>286</v>
      </c>
      <c r="J3" s="170"/>
      <c r="K3" s="170"/>
      <c r="L3" s="170"/>
      <c r="M3" s="170"/>
      <c r="N3" s="170" t="s">
        <v>243</v>
      </c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67"/>
      <c r="Z3" s="19"/>
      <c r="AA3" s="19"/>
    </row>
    <row r="4" spans="1:27" x14ac:dyDescent="0.2">
      <c r="A4" s="116"/>
      <c r="B4" s="113" t="s">
        <v>152</v>
      </c>
      <c r="C4" s="117" t="s">
        <v>143</v>
      </c>
      <c r="D4" s="113" t="str">
        <f t="shared" si="0"/>
        <v>USDTOM1F1_Quote</v>
      </c>
      <c r="E4" s="112" t="str">
        <f>_xll.qlSimpleQuote(D4,,RateTickValue,Permanent,Trigger,ObjectOverwrite)</f>
        <v>USDTOM1F1_Quote#0000</v>
      </c>
      <c r="F4" s="111" t="str">
        <f>_xll.ohRangeRetrieveError(E4)</f>
        <v/>
      </c>
      <c r="G4" s="42"/>
      <c r="I4" s="256"/>
      <c r="J4" s="131"/>
      <c r="K4" s="19"/>
      <c r="L4" s="131"/>
      <c r="M4" s="131"/>
      <c r="N4" s="138" t="str">
        <f>[0]!Contributor</f>
        <v>ICAP</v>
      </c>
      <c r="O4" s="131"/>
      <c r="P4" s="131"/>
      <c r="Q4" s="131"/>
      <c r="R4" s="131"/>
      <c r="S4" s="223"/>
      <c r="T4" s="223"/>
      <c r="U4" s="223"/>
      <c r="V4" s="223"/>
      <c r="W4" s="223"/>
      <c r="X4" s="131"/>
      <c r="Y4" s="42"/>
      <c r="Z4" s="19"/>
      <c r="AA4" s="282"/>
    </row>
    <row r="5" spans="1:27" x14ac:dyDescent="0.2">
      <c r="A5" s="116"/>
      <c r="B5" s="120" t="s">
        <v>151</v>
      </c>
      <c r="C5" s="121" t="s">
        <v>143</v>
      </c>
      <c r="D5" s="120" t="str">
        <f t="shared" si="0"/>
        <v>USDT3F1_Quote</v>
      </c>
      <c r="E5" s="119" t="str">
        <f>_xll.qlSimpleQuote(D5,,RateTickValue,Permanent,Trigger,ObjectOverwrite)</f>
        <v>USDT3F1_Quote#0000</v>
      </c>
      <c r="F5" s="118" t="str">
        <f>_xll.ohRangeRetrieveError(E5)</f>
        <v/>
      </c>
      <c r="G5" s="42"/>
      <c r="I5" s="116"/>
      <c r="J5" s="223"/>
      <c r="K5" s="131"/>
      <c r="L5" s="131"/>
      <c r="M5" s="131"/>
      <c r="N5" s="131"/>
      <c r="O5" s="131"/>
      <c r="P5" s="131"/>
      <c r="Q5" s="131"/>
      <c r="R5" s="131"/>
      <c r="S5" s="131"/>
      <c r="T5" s="223"/>
      <c r="U5" s="223"/>
      <c r="V5" s="223"/>
      <c r="W5" s="131"/>
      <c r="X5" s="253">
        <f>_xll.ohTrigger(X7:X21)</f>
        <v>15</v>
      </c>
      <c r="Y5" s="189"/>
      <c r="Z5" s="19"/>
      <c r="AA5" s="258"/>
    </row>
    <row r="6" spans="1:27" ht="22.5" x14ac:dyDescent="0.2">
      <c r="A6" s="116"/>
      <c r="B6" s="113" t="s">
        <v>150</v>
      </c>
      <c r="C6" s="117" t="s">
        <v>143</v>
      </c>
      <c r="D6" s="113" t="str">
        <f t="shared" si="0"/>
        <v>USDTOM3F1_Quote</v>
      </c>
      <c r="E6" s="112" t="str">
        <f>_xll.qlSimpleQuote(D6,,RateTickValue,Permanent,Trigger,ObjectOverwrite)</f>
        <v>USDTOM3F1_Quote#0000</v>
      </c>
      <c r="F6" s="111" t="str">
        <f>_xll.ohRangeRetrieveError(E6)</f>
        <v/>
      </c>
      <c r="G6" s="42"/>
      <c r="I6" s="116"/>
      <c r="J6" s="285"/>
      <c r="K6" s="165"/>
      <c r="L6" s="165"/>
      <c r="M6" s="165"/>
      <c r="N6" s="218" t="str">
        <f>_xll.RData(N7:N21,O6:R6,"RTFEED:IDN",ReutersRtMode,,O7)</f>
        <v>Paused at 15:28:02</v>
      </c>
      <c r="O6" s="284" t="s">
        <v>207</v>
      </c>
      <c r="P6" s="284" t="s">
        <v>206</v>
      </c>
      <c r="Q6" s="284" t="s">
        <v>224</v>
      </c>
      <c r="R6" s="284" t="s">
        <v>242</v>
      </c>
      <c r="S6" s="249" t="s">
        <v>241</v>
      </c>
      <c r="T6" s="223"/>
      <c r="U6" s="251" t="s">
        <v>237</v>
      </c>
      <c r="V6" s="223"/>
      <c r="W6" s="454" t="s">
        <v>235</v>
      </c>
      <c r="X6" s="87" t="s">
        <v>234</v>
      </c>
      <c r="Y6" s="189"/>
      <c r="Z6" s="19"/>
      <c r="AA6" s="258"/>
    </row>
    <row r="7" spans="1:27" x14ac:dyDescent="0.2">
      <c r="A7" s="116"/>
      <c r="B7" s="120">
        <v>1</v>
      </c>
      <c r="C7" s="121" t="s">
        <v>149</v>
      </c>
      <c r="D7" s="120" t="str">
        <f t="shared" si="0"/>
        <v>USD1x4F_Quote</v>
      </c>
      <c r="E7" s="119" t="str">
        <f>_xll.qlSimpleQuote(D7,,RateTickValue,Permanent,Trigger,ObjectOverwrite)</f>
        <v>USD1x4F_Quote#0000</v>
      </c>
      <c r="F7" s="118" t="str">
        <f>_xll.ohRangeRetrieveError(E7)</f>
        <v/>
      </c>
      <c r="G7" s="42"/>
      <c r="I7" s="116"/>
      <c r="J7" s="227">
        <v>4</v>
      </c>
      <c r="K7" s="276">
        <v>1</v>
      </c>
      <c r="L7" s="276" t="s">
        <v>239</v>
      </c>
      <c r="M7" s="274" t="str">
        <f t="shared" ref="M7:M21" si="1">Currency&amp;$K7&amp;$L7&amp;$J7&amp;"F"</f>
        <v>USD1X4F</v>
      </c>
      <c r="N7" s="274" t="str">
        <f t="array" ref="N7:N21">Instruments&amp;"="&amp;VLOOKUP(Contributor,ContributorTable,2,FALSE)</f>
        <v>USD1X4F=ICAP</v>
      </c>
      <c r="O7" s="275">
        <v>0.20399999999999999</v>
      </c>
      <c r="P7" s="275">
        <v>0.254</v>
      </c>
      <c r="Q7" s="274">
        <v>0</v>
      </c>
      <c r="R7" s="274">
        <v>0</v>
      </c>
      <c r="S7" s="225">
        <f>_xll.qlMidSafe($O7,$P7)</f>
        <v>0.22899999999999998</v>
      </c>
      <c r="T7" s="223"/>
      <c r="U7" s="278">
        <v>0.245</v>
      </c>
      <c r="V7" s="223"/>
      <c r="W7" s="303">
        <f t="array" ref="W7:W21">QuoteLive</f>
        <v>0.22899999999999998</v>
      </c>
      <c r="X7" s="240">
        <f>_xll.qlSimpleQuoteSetValue(E7,W7/100,Trigger)</f>
        <v>0</v>
      </c>
      <c r="Y7" s="189"/>
      <c r="Z7" s="19"/>
      <c r="AA7" s="258"/>
    </row>
    <row r="8" spans="1:27" x14ac:dyDescent="0.2">
      <c r="A8" s="116"/>
      <c r="B8" s="124">
        <v>2</v>
      </c>
      <c r="C8" s="125" t="s">
        <v>148</v>
      </c>
      <c r="D8" s="124" t="str">
        <f t="shared" si="0"/>
        <v>USD2x5F_Quote</v>
      </c>
      <c r="E8" s="123" t="str">
        <f>_xll.qlSimpleQuote(D8,,RateTickValue,Permanent,Trigger,ObjectOverwrite)</f>
        <v>USD2x5F_Quote#0000</v>
      </c>
      <c r="F8" s="122" t="str">
        <f>_xll.ohRangeRetrieveError(E8)</f>
        <v/>
      </c>
      <c r="G8" s="42"/>
      <c r="I8" s="116"/>
      <c r="J8" s="227">
        <v>5</v>
      </c>
      <c r="K8" s="276">
        <v>2</v>
      </c>
      <c r="L8" s="276" t="s">
        <v>239</v>
      </c>
      <c r="M8" s="274" t="str">
        <f t="shared" si="1"/>
        <v>USD2X5F</v>
      </c>
      <c r="N8" s="274" t="str">
        <v>USD2X5F=ICAP</v>
      </c>
      <c r="O8" s="275">
        <v>0.20899999999999999</v>
      </c>
      <c r="P8" s="275">
        <v>0.25900000000000001</v>
      </c>
      <c r="Q8" s="274">
        <v>0</v>
      </c>
      <c r="R8" s="274">
        <v>0</v>
      </c>
      <c r="S8" s="225">
        <f>_xll.qlMidSafe($O8,$P8)</f>
        <v>0.23399999999999999</v>
      </c>
      <c r="T8" s="223"/>
      <c r="U8" s="273">
        <v>0.252</v>
      </c>
      <c r="V8" s="223"/>
      <c r="W8" s="296">
        <v>0.23399999999999999</v>
      </c>
      <c r="X8" s="220">
        <f>_xll.qlSimpleQuoteSetValue(E8,W8/100,Trigger)</f>
        <v>0</v>
      </c>
      <c r="Y8" s="189"/>
      <c r="Z8" s="19"/>
      <c r="AA8" s="258"/>
    </row>
    <row r="9" spans="1:27" x14ac:dyDescent="0.2">
      <c r="A9" s="116"/>
      <c r="B9" s="124">
        <v>3</v>
      </c>
      <c r="C9" s="125" t="s">
        <v>147</v>
      </c>
      <c r="D9" s="124" t="str">
        <f t="shared" si="0"/>
        <v>USD3x6F_Quote</v>
      </c>
      <c r="E9" s="123" t="str">
        <f>_xll.qlSimpleQuote(D9,,RateTickValue,Permanent,Trigger,ObjectOverwrite)</f>
        <v>USD3x6F_Quote#0000</v>
      </c>
      <c r="F9" s="122" t="str">
        <f>_xll.ohRangeRetrieveError(E9)</f>
        <v/>
      </c>
      <c r="G9" s="42"/>
      <c r="I9" s="116"/>
      <c r="J9" s="227">
        <v>6</v>
      </c>
      <c r="K9" s="276">
        <v>3</v>
      </c>
      <c r="L9" s="276" t="s">
        <v>239</v>
      </c>
      <c r="M9" s="274" t="str">
        <f t="shared" si="1"/>
        <v>USD3X6F</v>
      </c>
      <c r="N9" s="274" t="str">
        <v>USD3X6F=ICAP</v>
      </c>
      <c r="O9" s="275">
        <v>0.21299999999999999</v>
      </c>
      <c r="P9" s="275">
        <v>0.26300000000000001</v>
      </c>
      <c r="Q9" s="274">
        <v>0</v>
      </c>
      <c r="R9" s="274">
        <v>0</v>
      </c>
      <c r="S9" s="225">
        <f>_xll.qlMidSafe($O9,$P9)</f>
        <v>0.23799999999999999</v>
      </c>
      <c r="T9" s="223"/>
      <c r="U9" s="273">
        <v>0.26600000000000001</v>
      </c>
      <c r="V9" s="223"/>
      <c r="W9" s="296">
        <v>0.23799999999999999</v>
      </c>
      <c r="X9" s="220">
        <f>_xll.qlSimpleQuoteSetValue(E9,W9/100,Trigger)</f>
        <v>0</v>
      </c>
      <c r="Y9" s="189"/>
      <c r="Z9" s="19"/>
      <c r="AA9" s="258"/>
    </row>
    <row r="10" spans="1:27" x14ac:dyDescent="0.2">
      <c r="A10" s="116"/>
      <c r="B10" s="124">
        <v>4</v>
      </c>
      <c r="C10" s="125" t="s">
        <v>146</v>
      </c>
      <c r="D10" s="124" t="str">
        <f t="shared" si="0"/>
        <v>USD4x7F_Quote</v>
      </c>
      <c r="E10" s="123" t="str">
        <f>_xll.qlSimpleQuote(D10,,RateTickValue,Permanent,Trigger,ObjectOverwrite)</f>
        <v>USD4x7F_Quote#0000</v>
      </c>
      <c r="F10" s="122" t="str">
        <f>_xll.ohRangeRetrieveError(E10)</f>
        <v/>
      </c>
      <c r="G10" s="42"/>
      <c r="I10" s="116"/>
      <c r="J10" s="227">
        <v>7</v>
      </c>
      <c r="K10" s="276">
        <v>4</v>
      </c>
      <c r="L10" s="276" t="s">
        <v>239</v>
      </c>
      <c r="M10" s="274" t="str">
        <f t="shared" si="1"/>
        <v>USD4X7F</v>
      </c>
      <c r="N10" s="274" t="str">
        <v>USD4X7F=ICAP</v>
      </c>
      <c r="O10" s="275" t="s">
        <v>219</v>
      </c>
      <c r="P10" s="275" t="s">
        <v>219</v>
      </c>
      <c r="Q10" s="274" t="s">
        <v>219</v>
      </c>
      <c r="R10" s="274" t="s">
        <v>219</v>
      </c>
      <c r="S10" s="225" t="e">
        <f>_xll.qlMidSafe($O10,$P10)</f>
        <v>#NUM!</v>
      </c>
      <c r="T10" s="223"/>
      <c r="U10" s="273" t="e">
        <v>#NUM!</v>
      </c>
      <c r="V10" s="223"/>
      <c r="W10" s="296" t="e">
        <v>#NUM!</v>
      </c>
      <c r="X10" s="220" t="e">
        <f>_xll.qlSimpleQuoteSetValue(E10,W10/100,Trigger)</f>
        <v>#NUM!</v>
      </c>
      <c r="Y10" s="189"/>
      <c r="Z10" s="19"/>
      <c r="AA10" s="258"/>
    </row>
    <row r="11" spans="1:27" x14ac:dyDescent="0.2">
      <c r="A11" s="116"/>
      <c r="B11" s="124">
        <v>5</v>
      </c>
      <c r="C11" s="125" t="s">
        <v>145</v>
      </c>
      <c r="D11" s="124" t="str">
        <f t="shared" si="0"/>
        <v>USD5x8F_Quote</v>
      </c>
      <c r="E11" s="123" t="str">
        <f>_xll.qlSimpleQuote(D11,,RateTickValue,Permanent,Trigger,ObjectOverwrite)</f>
        <v>USD5x8F_Quote#0000</v>
      </c>
      <c r="F11" s="122" t="str">
        <f>_xll.ohRangeRetrieveError(E11)</f>
        <v/>
      </c>
      <c r="G11" s="42"/>
      <c r="I11" s="116"/>
      <c r="J11" s="227">
        <v>8</v>
      </c>
      <c r="K11" s="276">
        <v>5</v>
      </c>
      <c r="L11" s="276" t="s">
        <v>239</v>
      </c>
      <c r="M11" s="274" t="str">
        <f t="shared" si="1"/>
        <v>USD5X8F</v>
      </c>
      <c r="N11" s="274" t="str">
        <v>USD5X8F=ICAP</v>
      </c>
      <c r="O11" s="275" t="s">
        <v>219</v>
      </c>
      <c r="P11" s="275" t="s">
        <v>219</v>
      </c>
      <c r="Q11" s="274" t="s">
        <v>219</v>
      </c>
      <c r="R11" s="274" t="s">
        <v>219</v>
      </c>
      <c r="S11" s="225" t="e">
        <f>_xll.qlMidSafe($O11,$P11)</f>
        <v>#NUM!</v>
      </c>
      <c r="T11" s="223"/>
      <c r="U11" s="273" t="e">
        <v>#NUM!</v>
      </c>
      <c r="V11" s="223"/>
      <c r="W11" s="296" t="e">
        <v>#NUM!</v>
      </c>
      <c r="X11" s="220" t="e">
        <f>_xll.qlSimpleQuoteSetValue(E11,W11/100,Trigger)</f>
        <v>#NUM!</v>
      </c>
      <c r="Y11" s="189"/>
      <c r="Z11" s="19"/>
      <c r="AA11" s="258"/>
    </row>
    <row r="12" spans="1:27" x14ac:dyDescent="0.2">
      <c r="A12" s="116"/>
      <c r="B12" s="113">
        <v>6</v>
      </c>
      <c r="C12" s="117" t="s">
        <v>144</v>
      </c>
      <c r="D12" s="113" t="str">
        <f t="shared" si="0"/>
        <v>USD6x9F_Quote</v>
      </c>
      <c r="E12" s="112" t="str">
        <f>_xll.qlSimpleQuote(D12,,RateTickValue,Permanent,Trigger,ObjectOverwrite)</f>
        <v>USD6x9F_Quote#0000</v>
      </c>
      <c r="F12" s="111" t="str">
        <f>_xll.ohRangeRetrieveError(E12)</f>
        <v/>
      </c>
      <c r="G12" s="42"/>
      <c r="I12" s="116"/>
      <c r="J12" s="239">
        <v>9</v>
      </c>
      <c r="K12" s="271">
        <v>6</v>
      </c>
      <c r="L12" s="271" t="s">
        <v>239</v>
      </c>
      <c r="M12" s="269" t="str">
        <f t="shared" si="1"/>
        <v>USD6X9F</v>
      </c>
      <c r="N12" s="269" t="str">
        <v>USD6X9F=ICAP</v>
      </c>
      <c r="O12" s="270" t="s">
        <v>219</v>
      </c>
      <c r="P12" s="270" t="s">
        <v>219</v>
      </c>
      <c r="Q12" s="269" t="s">
        <v>219</v>
      </c>
      <c r="R12" s="269" t="s">
        <v>219</v>
      </c>
      <c r="S12" s="237" t="e">
        <f>_xll.qlMidSafe($O12,$P12)</f>
        <v>#NUM!</v>
      </c>
      <c r="T12" s="223"/>
      <c r="U12" s="268" t="e">
        <v>#NUM!</v>
      </c>
      <c r="V12" s="223"/>
      <c r="W12" s="289" t="e">
        <v>#NUM!</v>
      </c>
      <c r="X12" s="233" t="e">
        <f>_xll.qlSimpleQuoteSetValue(E12,W12/100,Trigger)</f>
        <v>#NUM!</v>
      </c>
      <c r="Y12" s="189"/>
      <c r="Z12" s="19"/>
      <c r="AA12" s="258"/>
    </row>
    <row r="13" spans="1:27" x14ac:dyDescent="0.2">
      <c r="A13" s="116"/>
      <c r="B13" s="120">
        <v>1</v>
      </c>
      <c r="C13" s="121" t="str">
        <f t="shared" ref="C13:C20" si="2">"x"&amp;B13+6&amp;"F"</f>
        <v>x7F</v>
      </c>
      <c r="D13" s="120" t="str">
        <f t="shared" si="0"/>
        <v>USD1x7F_Quote</v>
      </c>
      <c r="E13" s="119" t="str">
        <f>_xll.qlSimpleQuote(D13,,RateTickValue,Permanent,Trigger,ObjectOverwrite)</f>
        <v>USD1x7F_Quote#0000</v>
      </c>
      <c r="F13" s="118" t="str">
        <f>_xll.ohRangeRetrieveError(E13)</f>
        <v/>
      </c>
      <c r="G13" s="42"/>
      <c r="I13" s="116"/>
      <c r="J13" s="245">
        <v>7</v>
      </c>
      <c r="K13" s="281">
        <v>1</v>
      </c>
      <c r="L13" s="281" t="s">
        <v>239</v>
      </c>
      <c r="M13" s="279" t="str">
        <f t="shared" si="1"/>
        <v>USD1X7F</v>
      </c>
      <c r="N13" s="279" t="str">
        <v>USD1X7F=ICAP</v>
      </c>
      <c r="O13" s="280">
        <v>0.30199999999999999</v>
      </c>
      <c r="P13" s="280">
        <v>0.35199999999999998</v>
      </c>
      <c r="Q13" s="279">
        <v>0</v>
      </c>
      <c r="R13" s="279">
        <v>0</v>
      </c>
      <c r="S13" s="243">
        <f>_xll.qlMidSafe($O13,$P13)</f>
        <v>0.32699999999999996</v>
      </c>
      <c r="T13" s="223"/>
      <c r="U13" s="278">
        <v>0.34699999999999998</v>
      </c>
      <c r="V13" s="223"/>
      <c r="W13" s="303">
        <v>0.32699999999999996</v>
      </c>
      <c r="X13" s="240">
        <f>_xll.qlSimpleQuoteSetValue(E13,W13/100,Trigger)</f>
        <v>0</v>
      </c>
      <c r="Y13" s="189"/>
      <c r="Z13" s="19"/>
      <c r="AA13" s="258"/>
    </row>
    <row r="14" spans="1:27" x14ac:dyDescent="0.2">
      <c r="A14" s="116"/>
      <c r="B14" s="124">
        <v>2</v>
      </c>
      <c r="C14" s="125" t="str">
        <f t="shared" si="2"/>
        <v>x8F</v>
      </c>
      <c r="D14" s="124" t="str">
        <f t="shared" si="0"/>
        <v>USD2x8F_Quote</v>
      </c>
      <c r="E14" s="123" t="str">
        <f>_xll.qlSimpleQuote(D14,,RateTickValue,Permanent,Trigger,ObjectOverwrite)</f>
        <v>USD2x8F_Quote#0000</v>
      </c>
      <c r="F14" s="122" t="str">
        <f>_xll.ohRangeRetrieveError(E14)</f>
        <v/>
      </c>
      <c r="G14" s="42"/>
      <c r="I14" s="116"/>
      <c r="J14" s="227">
        <v>8</v>
      </c>
      <c r="K14" s="276">
        <v>2</v>
      </c>
      <c r="L14" s="276" t="s">
        <v>239</v>
      </c>
      <c r="M14" s="274" t="str">
        <f t="shared" si="1"/>
        <v>USD2X8F</v>
      </c>
      <c r="N14" s="274" t="str">
        <v>USD2X8F=ICAP</v>
      </c>
      <c r="O14" s="275">
        <v>0.307</v>
      </c>
      <c r="P14" s="275">
        <v>0.35699999999999998</v>
      </c>
      <c r="Q14" s="274">
        <v>0</v>
      </c>
      <c r="R14" s="274">
        <v>0</v>
      </c>
      <c r="S14" s="225">
        <f>_xll.qlMidSafe($O14,$P14)</f>
        <v>0.33199999999999996</v>
      </c>
      <c r="T14" s="223"/>
      <c r="U14" s="273">
        <v>0.35899999999999999</v>
      </c>
      <c r="V14" s="223"/>
      <c r="W14" s="296">
        <v>0.33199999999999996</v>
      </c>
      <c r="X14" s="220">
        <f>_xll.qlSimpleQuoteSetValue(E14,W14/100,Trigger)</f>
        <v>0</v>
      </c>
      <c r="Y14" s="189"/>
      <c r="Z14" s="19"/>
      <c r="AA14" s="258"/>
    </row>
    <row r="15" spans="1:27" x14ac:dyDescent="0.2">
      <c r="A15" s="116"/>
      <c r="B15" s="124">
        <v>3</v>
      </c>
      <c r="C15" s="125" t="str">
        <f t="shared" si="2"/>
        <v>x9F</v>
      </c>
      <c r="D15" s="124" t="str">
        <f t="shared" si="0"/>
        <v>USD3x9F_Quote</v>
      </c>
      <c r="E15" s="123" t="str">
        <f>_xll.qlSimpleQuote(D15,,RateTickValue,Permanent,Trigger,ObjectOverwrite)</f>
        <v>USD3x9F_Quote#0000</v>
      </c>
      <c r="F15" s="122" t="str">
        <f>_xll.ohRangeRetrieveError(E15)</f>
        <v/>
      </c>
      <c r="G15" s="42"/>
      <c r="I15" s="116"/>
      <c r="J15" s="227">
        <v>9</v>
      </c>
      <c r="K15" s="276">
        <v>3</v>
      </c>
      <c r="L15" s="276" t="s">
        <v>239</v>
      </c>
      <c r="M15" s="274" t="str">
        <f t="shared" si="1"/>
        <v>USD3X9F</v>
      </c>
      <c r="N15" s="274" t="str">
        <v>USD3X9F=ICAP</v>
      </c>
      <c r="O15" s="275">
        <v>0.313</v>
      </c>
      <c r="P15" s="275">
        <v>0.36299999999999999</v>
      </c>
      <c r="Q15" s="274">
        <v>0</v>
      </c>
      <c r="R15" s="274">
        <v>0</v>
      </c>
      <c r="S15" s="225">
        <f>_xll.qlMidSafe($O15,$P15)</f>
        <v>0.33799999999999997</v>
      </c>
      <c r="T15" s="223"/>
      <c r="U15" s="273">
        <v>0.379</v>
      </c>
      <c r="V15" s="223"/>
      <c r="W15" s="296">
        <v>0.33799999999999997</v>
      </c>
      <c r="X15" s="220">
        <f>_xll.qlSimpleQuoteSetValue(E15,W15/100,Trigger)</f>
        <v>0</v>
      </c>
      <c r="Y15" s="189"/>
      <c r="Z15" s="19"/>
      <c r="AA15" s="258"/>
    </row>
    <row r="16" spans="1:27" x14ac:dyDescent="0.2">
      <c r="A16" s="116"/>
      <c r="B16" s="124">
        <v>4</v>
      </c>
      <c r="C16" s="125" t="str">
        <f t="shared" si="2"/>
        <v>x10F</v>
      </c>
      <c r="D16" s="124" t="str">
        <f t="shared" si="0"/>
        <v>USD4x10F_Quote</v>
      </c>
      <c r="E16" s="123" t="str">
        <f>_xll.qlSimpleQuote(D16,,RateTickValue,Permanent,Trigger,ObjectOverwrite)</f>
        <v>USD4x10F_Quote#0000</v>
      </c>
      <c r="F16" s="122" t="str">
        <f>_xll.ohRangeRetrieveError(E16)</f>
        <v/>
      </c>
      <c r="G16" s="42"/>
      <c r="I16" s="116"/>
      <c r="J16" s="227">
        <v>10</v>
      </c>
      <c r="K16" s="276">
        <v>4</v>
      </c>
      <c r="L16" s="276" t="s">
        <v>239</v>
      </c>
      <c r="M16" s="274" t="str">
        <f t="shared" si="1"/>
        <v>USD4X10F</v>
      </c>
      <c r="N16" s="274" t="str">
        <v>USD4X10F=ICAP</v>
      </c>
      <c r="O16" s="275">
        <v>0.32300000000000001</v>
      </c>
      <c r="P16" s="275">
        <v>0.373</v>
      </c>
      <c r="Q16" s="274">
        <v>0</v>
      </c>
      <c r="R16" s="274">
        <v>0</v>
      </c>
      <c r="S16" s="225">
        <f>_xll.qlMidSafe($O16,$P16)</f>
        <v>0.34799999999999998</v>
      </c>
      <c r="T16" s="223"/>
      <c r="U16" s="273">
        <v>0.39600000000000002</v>
      </c>
      <c r="V16" s="223"/>
      <c r="W16" s="296">
        <v>0.34799999999999998</v>
      </c>
      <c r="X16" s="220">
        <f>_xll.qlSimpleQuoteSetValue(E16,W16/100,Trigger)</f>
        <v>0</v>
      </c>
      <c r="Y16" s="189"/>
      <c r="Z16" s="19"/>
      <c r="AA16" s="258"/>
    </row>
    <row r="17" spans="1:27" x14ac:dyDescent="0.2">
      <c r="A17" s="116"/>
      <c r="B17" s="124">
        <v>5</v>
      </c>
      <c r="C17" s="125" t="str">
        <f t="shared" si="2"/>
        <v>x11F</v>
      </c>
      <c r="D17" s="124" t="str">
        <f t="shared" si="0"/>
        <v>USD5x11F_Quote</v>
      </c>
      <c r="E17" s="123" t="str">
        <f>_xll.qlSimpleQuote(D17,,RateTickValue,Permanent,Trigger,ObjectOverwrite)</f>
        <v>USD5x11F_Quote#0000</v>
      </c>
      <c r="F17" s="122" t="str">
        <f>_xll.ohRangeRetrieveError(E17)</f>
        <v/>
      </c>
      <c r="G17" s="42"/>
      <c r="I17" s="116"/>
      <c r="J17" s="227">
        <v>11</v>
      </c>
      <c r="K17" s="276">
        <v>5</v>
      </c>
      <c r="L17" s="276" t="s">
        <v>239</v>
      </c>
      <c r="M17" s="274" t="str">
        <f t="shared" si="1"/>
        <v>USD5X11F</v>
      </c>
      <c r="N17" s="274" t="str">
        <v>USD5X11F=ICAP</v>
      </c>
      <c r="O17" s="275">
        <v>0.33600000000000002</v>
      </c>
      <c r="P17" s="275">
        <v>0.38600000000000001</v>
      </c>
      <c r="Q17" s="274">
        <v>0</v>
      </c>
      <c r="R17" s="274">
        <v>0</v>
      </c>
      <c r="S17" s="225">
        <f>_xll.qlMidSafe($O17,$P17)</f>
        <v>0.36099999999999999</v>
      </c>
      <c r="T17" s="223"/>
      <c r="U17" s="273">
        <v>0.41299999999999998</v>
      </c>
      <c r="V17" s="223"/>
      <c r="W17" s="296">
        <v>0.36099999999999999</v>
      </c>
      <c r="X17" s="220">
        <f>_xll.qlSimpleQuoteSetValue(E17,W17/100,Trigger)</f>
        <v>0</v>
      </c>
      <c r="Y17" s="189"/>
      <c r="Z17" s="19"/>
      <c r="AA17" s="258"/>
    </row>
    <row r="18" spans="1:27" x14ac:dyDescent="0.2">
      <c r="A18" s="116"/>
      <c r="B18" s="124">
        <v>6</v>
      </c>
      <c r="C18" s="125" t="str">
        <f t="shared" si="2"/>
        <v>x12F</v>
      </c>
      <c r="D18" s="124" t="str">
        <f t="shared" si="0"/>
        <v>USD6x12F_Quote</v>
      </c>
      <c r="E18" s="123" t="str">
        <f>_xll.qlSimpleQuote(D18,,RateTickValue,Permanent,Trigger,ObjectOverwrite)</f>
        <v>USD6x12F_Quote#0000</v>
      </c>
      <c r="F18" s="122" t="str">
        <f>_xll.ohRangeRetrieveError(E18)</f>
        <v/>
      </c>
      <c r="G18" s="42"/>
      <c r="I18" s="116"/>
      <c r="J18" s="227">
        <v>12</v>
      </c>
      <c r="K18" s="276">
        <v>6</v>
      </c>
      <c r="L18" s="276" t="s">
        <v>239</v>
      </c>
      <c r="M18" s="274" t="str">
        <f t="shared" si="1"/>
        <v>USD6X12F</v>
      </c>
      <c r="N18" s="274" t="str">
        <v>USD6X12F=ICAP</v>
      </c>
      <c r="O18" s="275">
        <v>0.35399999999999998</v>
      </c>
      <c r="P18" s="275">
        <v>0.40400000000000003</v>
      </c>
      <c r="Q18" s="274">
        <v>0</v>
      </c>
      <c r="R18" s="274">
        <v>0</v>
      </c>
      <c r="S18" s="225">
        <f>_xll.qlMidSafe($O18,$P18)</f>
        <v>0.379</v>
      </c>
      <c r="T18" s="223"/>
      <c r="U18" s="273">
        <v>0.439</v>
      </c>
      <c r="V18" s="223"/>
      <c r="W18" s="296">
        <v>0.379</v>
      </c>
      <c r="X18" s="220">
        <f>_xll.qlSimpleQuoteSetValue(E18,W18/100,Trigger)</f>
        <v>1.0000000000000026E-5</v>
      </c>
      <c r="Y18" s="189"/>
      <c r="Z18" s="19"/>
      <c r="AA18" s="258"/>
    </row>
    <row r="19" spans="1:27" x14ac:dyDescent="0.2">
      <c r="A19" s="116"/>
      <c r="B19" s="124">
        <v>12</v>
      </c>
      <c r="C19" s="125" t="str">
        <f t="shared" si="2"/>
        <v>x18F</v>
      </c>
      <c r="D19" s="124" t="str">
        <f t="shared" si="0"/>
        <v>USD12x18F_Quote</v>
      </c>
      <c r="E19" s="123" t="str">
        <f>_xll.qlSimpleQuote(D19,,RateTickValue,Permanent,Trigger,ObjectOverwrite)</f>
        <v>USD12x18F_Quote#0000</v>
      </c>
      <c r="F19" s="122" t="str">
        <f>_xll.ohRangeRetrieveError(E19)</f>
        <v/>
      </c>
      <c r="G19" s="42"/>
      <c r="I19" s="116"/>
      <c r="J19" s="227">
        <v>18</v>
      </c>
      <c r="K19" s="276">
        <v>12</v>
      </c>
      <c r="L19" s="276" t="s">
        <v>239</v>
      </c>
      <c r="M19" s="274" t="str">
        <f t="shared" si="1"/>
        <v>USD12X18F</v>
      </c>
      <c r="N19" s="274" t="str">
        <v>USD12X18F=ICAP</v>
      </c>
      <c r="O19" s="275" t="s">
        <v>219</v>
      </c>
      <c r="P19" s="275" t="s">
        <v>219</v>
      </c>
      <c r="Q19" s="274" t="s">
        <v>219</v>
      </c>
      <c r="R19" s="274" t="s">
        <v>219</v>
      </c>
      <c r="S19" s="225" t="e">
        <f>_xll.qlMidSafe($O19,$P19)</f>
        <v>#NUM!</v>
      </c>
      <c r="T19" s="223"/>
      <c r="U19" s="273" t="e">
        <v>#NUM!</v>
      </c>
      <c r="V19" s="223"/>
      <c r="W19" s="296" t="e">
        <v>#NUM!</v>
      </c>
      <c r="X19" s="220" t="e">
        <f>_xll.qlSimpleQuoteSetValue(E19,W19/100,Trigger)</f>
        <v>#NUM!</v>
      </c>
      <c r="Y19" s="189"/>
      <c r="Z19" s="19"/>
      <c r="AA19" s="258"/>
    </row>
    <row r="20" spans="1:27" x14ac:dyDescent="0.2">
      <c r="A20" s="116"/>
      <c r="B20" s="113">
        <v>18</v>
      </c>
      <c r="C20" s="117" t="str">
        <f t="shared" si="2"/>
        <v>x24F</v>
      </c>
      <c r="D20" s="113" t="str">
        <f t="shared" si="0"/>
        <v>USD18x24F_Quote</v>
      </c>
      <c r="E20" s="112" t="str">
        <f>_xll.qlSimpleQuote(D20,,RateTickValue,Permanent,Trigger,ObjectOverwrite)</f>
        <v>USD18x24F_Quote#0000</v>
      </c>
      <c r="F20" s="111" t="str">
        <f>_xll.ohRangeRetrieveError(E20)</f>
        <v/>
      </c>
      <c r="G20" s="42"/>
      <c r="I20" s="116"/>
      <c r="J20" s="239">
        <v>24</v>
      </c>
      <c r="K20" s="271">
        <v>18</v>
      </c>
      <c r="L20" s="271" t="s">
        <v>239</v>
      </c>
      <c r="M20" s="269" t="str">
        <f t="shared" si="1"/>
        <v>USD18X24F</v>
      </c>
      <c r="N20" s="269" t="str">
        <v>USD18X24F=ICAP</v>
      </c>
      <c r="O20" s="270" t="s">
        <v>219</v>
      </c>
      <c r="P20" s="270" t="s">
        <v>219</v>
      </c>
      <c r="Q20" s="269" t="s">
        <v>219</v>
      </c>
      <c r="R20" s="269" t="s">
        <v>219</v>
      </c>
      <c r="S20" s="237" t="e">
        <f>_xll.qlMidSafe($O20,$P20)</f>
        <v>#NUM!</v>
      </c>
      <c r="T20" s="223"/>
      <c r="U20" s="268" t="e">
        <v>#NUM!</v>
      </c>
      <c r="V20" s="223"/>
      <c r="W20" s="289" t="e">
        <v>#NUM!</v>
      </c>
      <c r="X20" s="233" t="e">
        <f>_xll.qlSimpleQuoteSetValue(E20,W20/100,Trigger)</f>
        <v>#NUM!</v>
      </c>
      <c r="Y20" s="189"/>
      <c r="Z20" s="19"/>
      <c r="AA20" s="258"/>
    </row>
    <row r="21" spans="1:27" x14ac:dyDescent="0.2">
      <c r="A21" s="116"/>
      <c r="B21" s="115">
        <v>12</v>
      </c>
      <c r="C21" s="114" t="s">
        <v>142</v>
      </c>
      <c r="D21" s="113" t="str">
        <f t="shared" si="0"/>
        <v>USD12x24F_Quote</v>
      </c>
      <c r="E21" s="112" t="str">
        <f>_xll.qlSimpleQuote(D21,,RateTickValue,Permanent,Trigger,ObjectOverwrite)</f>
        <v>USD12x24F_Quote#0000</v>
      </c>
      <c r="F21" s="111" t="str">
        <f>_xll.ohRangeRetrieveError(E21)</f>
        <v/>
      </c>
      <c r="G21" s="42"/>
      <c r="I21" s="116"/>
      <c r="J21" s="266">
        <v>24</v>
      </c>
      <c r="K21" s="265">
        <v>12</v>
      </c>
      <c r="L21" s="265" t="s">
        <v>239</v>
      </c>
      <c r="M21" s="263" t="str">
        <f t="shared" si="1"/>
        <v>USD12X24F</v>
      </c>
      <c r="N21" s="263" t="str">
        <v>USD12X24F=ICAP</v>
      </c>
      <c r="O21" s="264" t="s">
        <v>219</v>
      </c>
      <c r="P21" s="264" t="s">
        <v>219</v>
      </c>
      <c r="Q21" s="263" t="s">
        <v>219</v>
      </c>
      <c r="R21" s="263" t="s">
        <v>219</v>
      </c>
      <c r="S21" s="262" t="e">
        <f>_xll.qlMidSafe($O21,$P21)</f>
        <v>#NUM!</v>
      </c>
      <c r="T21" s="223"/>
      <c r="U21" s="261" t="e">
        <v>#NUM!</v>
      </c>
      <c r="V21" s="223"/>
      <c r="W21" s="464" t="e">
        <v>#NUM!</v>
      </c>
      <c r="X21" s="260" t="e">
        <f>_xll.qlSimpleQuoteSetValue(E21,W21/100,Trigger)</f>
        <v>#NUM!</v>
      </c>
      <c r="Y21" s="189"/>
    </row>
    <row r="22" spans="1:27" ht="13.5" thickBot="1" x14ac:dyDescent="0.25">
      <c r="A22" s="41"/>
      <c r="B22" s="40"/>
      <c r="C22" s="40"/>
      <c r="D22" s="40"/>
      <c r="E22" s="110"/>
      <c r="F22" s="110"/>
      <c r="G22" s="39"/>
      <c r="I22" s="41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259"/>
    </row>
  </sheetData>
  <conditionalFormatting sqref="X7:X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G16" sqref="G16"/>
    </sheetView>
  </sheetViews>
  <sheetFormatPr defaultRowHeight="11.25" x14ac:dyDescent="0.2"/>
  <cols>
    <col min="1" max="1" width="2.7109375" style="97" customWidth="1"/>
    <col min="2" max="2" width="3.5703125" style="97" bestFit="1" customWidth="1"/>
    <col min="3" max="3" width="5.7109375" style="97" bestFit="1" customWidth="1"/>
    <col min="4" max="4" width="6.140625" style="97" bestFit="1" customWidth="1"/>
    <col min="5" max="5" width="19.140625" style="97" bestFit="1" customWidth="1"/>
    <col min="6" max="6" width="20.140625" style="97" bestFit="1" customWidth="1"/>
    <col min="7" max="7" width="33.85546875" style="97" customWidth="1"/>
    <col min="8" max="10" width="2.7109375" style="97" customWidth="1"/>
    <col min="11" max="13" width="9.140625" style="97"/>
    <col min="14" max="14" width="14.28515625" style="97" bestFit="1" customWidth="1"/>
    <col min="15" max="19" width="9.140625" style="97"/>
    <col min="20" max="20" width="11" style="97" customWidth="1"/>
    <col min="21" max="21" width="9.140625" style="97"/>
    <col min="22" max="22" width="2.7109375" style="97" customWidth="1"/>
    <col min="23" max="23" width="9.140625" style="97"/>
    <col min="24" max="24" width="2.7109375" style="97" customWidth="1"/>
    <col min="25" max="26" width="9.140625" style="97"/>
    <col min="27" max="28" width="2.7109375" style="97" customWidth="1"/>
    <col min="29" max="33" width="9.140625" style="97"/>
    <col min="34" max="34" width="2.7109375" style="97" customWidth="1"/>
    <col min="35" max="37" width="9.140625" style="97"/>
    <col min="38" max="38" width="15.85546875" style="97" bestFit="1" customWidth="1"/>
    <col min="39" max="39" width="25" style="97" bestFit="1" customWidth="1"/>
    <col min="40" max="40" width="26.42578125" style="97" bestFit="1" customWidth="1"/>
    <col min="41" max="41" width="9.140625" style="97"/>
    <col min="42" max="42" width="2.7109375" style="97" customWidth="1"/>
    <col min="43" max="16384" width="9.140625" style="97"/>
  </cols>
  <sheetData>
    <row r="1" spans="1:43" x14ac:dyDescent="0.2">
      <c r="J1" s="25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312"/>
      <c r="W1" s="312"/>
      <c r="X1" s="170"/>
      <c r="Y1" s="170"/>
      <c r="Z1" s="170"/>
      <c r="AA1" s="311"/>
      <c r="AB1" s="19"/>
      <c r="AC1" s="19"/>
      <c r="AD1" s="19"/>
      <c r="AE1" s="19"/>
      <c r="AH1" s="147" t="s">
        <v>205</v>
      </c>
      <c r="AP1" s="310"/>
    </row>
    <row r="2" spans="1:43" x14ac:dyDescent="0.2">
      <c r="J2" s="256"/>
      <c r="K2" s="131"/>
      <c r="L2" s="255"/>
      <c r="M2" s="255"/>
      <c r="N2" s="131"/>
      <c r="O2" s="131"/>
      <c r="P2" s="131"/>
      <c r="Q2" s="131"/>
      <c r="R2" s="131"/>
      <c r="S2" s="131"/>
      <c r="T2" s="131"/>
      <c r="U2" s="131"/>
      <c r="V2" s="223"/>
      <c r="W2" s="223"/>
      <c r="X2" s="131"/>
      <c r="Y2" s="223"/>
      <c r="Z2" s="131"/>
      <c r="AA2" s="310"/>
      <c r="AB2" s="19"/>
      <c r="AC2" s="19"/>
      <c r="AD2" s="19"/>
      <c r="AE2" s="19"/>
      <c r="AF2" s="19"/>
      <c r="AH2" s="147"/>
      <c r="AL2" s="217" t="s">
        <v>204</v>
      </c>
      <c r="AM2" s="216" t="str">
        <f>PROPER(Currency)&amp;"HW_Volatility_Quote"</f>
        <v>UsdHW_Volatility_Quote</v>
      </c>
      <c r="AP2" s="310"/>
    </row>
    <row r="3" spans="1:43" ht="12" thickBot="1" x14ac:dyDescent="0.25">
      <c r="J3" s="256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223"/>
      <c r="W3" s="223"/>
      <c r="X3" s="131"/>
      <c r="Y3" s="131"/>
      <c r="Z3" s="131"/>
      <c r="AA3" s="310"/>
      <c r="AB3" s="19"/>
      <c r="AC3" s="19"/>
      <c r="AD3" s="19"/>
      <c r="AE3" s="19"/>
      <c r="AF3" s="19"/>
      <c r="AH3" s="147"/>
      <c r="AL3" s="217" t="s">
        <v>203</v>
      </c>
      <c r="AM3" s="216" t="str">
        <f>PROPER(Currency)&amp;"HW_MeanReversion_Quote"</f>
        <v>UsdHW_MeanReversion_Quote</v>
      </c>
      <c r="AP3" s="310"/>
    </row>
    <row r="4" spans="1:43" ht="12" thickBot="1" x14ac:dyDescent="0.25">
      <c r="A4" s="152" t="s">
        <v>159</v>
      </c>
      <c r="B4" s="151"/>
      <c r="C4" s="151"/>
      <c r="D4" s="150" t="s">
        <v>157</v>
      </c>
      <c r="E4" s="150" t="s">
        <v>20</v>
      </c>
      <c r="F4" s="149"/>
      <c r="G4" s="149"/>
      <c r="H4" s="148"/>
      <c r="J4" s="256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223"/>
      <c r="W4" s="223"/>
      <c r="X4" s="131"/>
      <c r="Y4" s="131"/>
      <c r="Z4" s="253">
        <f>_xll.ohTrigger(Z6:Z17)</f>
        <v>3</v>
      </c>
      <c r="AA4" s="310"/>
      <c r="AB4" s="19"/>
      <c r="AC4" s="19"/>
      <c r="AD4" s="19"/>
      <c r="AE4" s="19"/>
      <c r="AF4" s="19"/>
      <c r="AH4" s="147"/>
      <c r="AL4" s="217" t="s">
        <v>96</v>
      </c>
      <c r="AM4" s="216" t="str">
        <f>PROPER(Currency)&amp;FamilyName&amp;$AN$4</f>
        <v>UsdLibor1M</v>
      </c>
      <c r="AN4" s="215" t="s">
        <v>20</v>
      </c>
      <c r="AP4" s="310"/>
    </row>
    <row r="5" spans="1:43" ht="22.5" x14ac:dyDescent="0.2">
      <c r="A5" s="147"/>
      <c r="B5" s="86" t="s">
        <v>156</v>
      </c>
      <c r="C5" s="87" t="s">
        <v>155</v>
      </c>
      <c r="D5" s="87" t="s">
        <v>154</v>
      </c>
      <c r="E5" s="85" t="str">
        <f>Currency&amp;"_010_"&amp;$D$4&amp;$E$4&amp;".xml"</f>
        <v>USD_010_FUT1M.xml</v>
      </c>
      <c r="F5" s="84" t="str">
        <f>IF(Serialize,_xll.ohObjectSave(F6:F17,SerializationPath&amp;E5,FileOverwrite,Serialize),"---")</f>
        <v>---</v>
      </c>
      <c r="G5" s="102" t="str">
        <f>_xll.ohRangeRetrieveError(F5)</f>
        <v/>
      </c>
      <c r="H5" s="135"/>
      <c r="J5" s="256"/>
      <c r="K5" s="309" t="s">
        <v>156</v>
      </c>
      <c r="L5" s="284" t="s">
        <v>155</v>
      </c>
      <c r="M5" s="284" t="s">
        <v>154</v>
      </c>
      <c r="N5" s="284" t="s">
        <v>248</v>
      </c>
      <c r="O5" s="218" t="str">
        <f>_xll.RData(O6:O17,P5:T5,"RTFEED:IDN",ReutersRtMode,,P6)</f>
        <v>Paused at 15:28:02</v>
      </c>
      <c r="P5" s="284" t="s">
        <v>247</v>
      </c>
      <c r="Q5" s="284" t="s">
        <v>207</v>
      </c>
      <c r="R5" s="284" t="s">
        <v>206</v>
      </c>
      <c r="S5" s="284" t="s">
        <v>224</v>
      </c>
      <c r="T5" s="284" t="s">
        <v>242</v>
      </c>
      <c r="U5" s="249" t="s">
        <v>241</v>
      </c>
      <c r="V5" s="223"/>
      <c r="W5" s="251" t="s">
        <v>237</v>
      </c>
      <c r="X5" s="223"/>
      <c r="Y5" s="465" t="s">
        <v>235</v>
      </c>
      <c r="Z5" s="252" t="s">
        <v>234</v>
      </c>
      <c r="AA5" s="42"/>
      <c r="AB5" s="19"/>
      <c r="AC5" s="179" t="s">
        <v>246</v>
      </c>
      <c r="AD5" s="177" t="s">
        <v>245</v>
      </c>
      <c r="AE5" s="19"/>
      <c r="AF5" s="282" t="s">
        <v>240</v>
      </c>
      <c r="AH5" s="147"/>
      <c r="AP5" s="310"/>
    </row>
    <row r="6" spans="1:43" ht="22.5" x14ac:dyDescent="0.2">
      <c r="A6" s="141"/>
      <c r="B6" s="146">
        <v>1</v>
      </c>
      <c r="C6" s="145" t="b">
        <v>0</v>
      </c>
      <c r="D6" s="144" t="str">
        <f t="array" ref="D6:D17">_xll.qlIMMNextCodes(_xll.qlSettingsEvaluationDate(Trigger)-1,$C6:$C17)</f>
        <v>K4</v>
      </c>
      <c r="E6" s="137" t="str">
        <f t="shared" ref="E6:E17" si="0">Currency&amp;$D$4&amp;$E$4&amp;$D6&amp;QuoteSuffix</f>
        <v>USDFUT1MK4_Quote</v>
      </c>
      <c r="F6" s="143" t="str">
        <f>_xll.qlSimpleQuote(E6,,PriceTickValue,Permanent,Trigger,ObjectOverwrite)</f>
        <v>USDFUT1MK4_Quote#0000</v>
      </c>
      <c r="G6" s="142" t="str">
        <f>_xll.ohRangeRetrieveError(F6)</f>
        <v/>
      </c>
      <c r="H6" s="135"/>
      <c r="J6" s="295"/>
      <c r="K6" s="308">
        <v>1</v>
      </c>
      <c r="L6" s="307" t="b">
        <v>0</v>
      </c>
      <c r="M6" s="241" t="str">
        <f t="array" ref="M6:M17">_xll.qlIMMcode(FuturesDates)</f>
        <v>K4</v>
      </c>
      <c r="N6" s="306">
        <f t="array" ref="N6:N17">_xll.qlIMMNextDates(_xll.qlSettingsEvaluationDate(Trigger)-1,$L6:$L17)</f>
        <v>41780</v>
      </c>
      <c r="O6" s="241" t="str">
        <f t="array" ref="O6:O17">VLOOKUP(Currency,LiffeCodes,2)&amp;FuturesCodes</f>
        <v>EMK4</v>
      </c>
      <c r="P6" s="305">
        <v>41778</v>
      </c>
      <c r="Q6" s="241">
        <v>99.844999999999999</v>
      </c>
      <c r="R6" s="241">
        <v>99.85</v>
      </c>
      <c r="S6" s="241">
        <v>0</v>
      </c>
      <c r="T6" s="241">
        <v>99.847499999999997</v>
      </c>
      <c r="U6" s="243">
        <f>_xll.qlMidSafe($Q6,$R6)</f>
        <v>99.847499999999997</v>
      </c>
      <c r="V6" s="223"/>
      <c r="W6" s="304">
        <v>99.828749999999999</v>
      </c>
      <c r="X6" s="223"/>
      <c r="Y6" s="303">
        <f t="array" ref="Y6:Y17">QuoteLive</f>
        <v>99.847499999999997</v>
      </c>
      <c r="Z6" s="243">
        <f>_xll.qlSimpleQuoteSetValue(F6,Y6,Trigger)</f>
        <v>0</v>
      </c>
      <c r="AA6" s="42"/>
      <c r="AB6" s="19"/>
      <c r="AC6" s="79" t="s">
        <v>110</v>
      </c>
      <c r="AD6" s="77"/>
      <c r="AE6" s="19"/>
      <c r="AF6" s="258">
        <f t="shared" ref="AF6:AF17" si="1">(R6-U6)/50</f>
        <v>4.9999999999954527E-5</v>
      </c>
      <c r="AH6" s="147"/>
      <c r="AI6" s="86" t="s">
        <v>156</v>
      </c>
      <c r="AJ6" s="166" t="s">
        <v>155</v>
      </c>
      <c r="AK6" s="166" t="s">
        <v>154</v>
      </c>
      <c r="AL6" s="166" t="s">
        <v>202</v>
      </c>
      <c r="AM6" s="85" t="str">
        <f>Currency&amp;"_020_Futures"&amp;AN4&amp;"ConvAdj.xml"</f>
        <v>USD_020_Futures1MConvAdj.xml</v>
      </c>
      <c r="AN6" s="103" t="str">
        <f>IF(Serialize,_xll.ohObjectSave(AN7:AN18,SerializationPath&amp;AM6,FileOverwrite,Serialize),"---")</f>
        <v>---</v>
      </c>
      <c r="AO6" s="68" t="str">
        <f>_xll.ohRangeRetrieveError(AN6)</f>
        <v/>
      </c>
      <c r="AP6" s="310"/>
    </row>
    <row r="7" spans="1:43" x14ac:dyDescent="0.2">
      <c r="A7" s="141"/>
      <c r="B7" s="140">
        <v>2</v>
      </c>
      <c r="C7" s="139" t="b">
        <v>0</v>
      </c>
      <c r="D7" s="138" t="str">
        <v>M4</v>
      </c>
      <c r="E7" s="137" t="str">
        <f t="shared" si="0"/>
        <v>USDFUT1MM4_Quote</v>
      </c>
      <c r="F7" s="136" t="str">
        <f>_xll.qlSimpleQuote(E7,,PriceTickValue,Permanent,Trigger,ObjectOverwrite)</f>
        <v>USDFUT1MM4_Quote#0000</v>
      </c>
      <c r="G7" s="99" t="str">
        <f>_xll.ohRangeRetrieveError(F7)</f>
        <v/>
      </c>
      <c r="H7" s="135"/>
      <c r="J7" s="295"/>
      <c r="K7" s="301">
        <v>2</v>
      </c>
      <c r="L7" s="300" t="b">
        <v>0</v>
      </c>
      <c r="M7" s="221" t="str">
        <v>M4</v>
      </c>
      <c r="N7" s="299">
        <v>41808</v>
      </c>
      <c r="O7" s="221" t="str">
        <v>EMM4</v>
      </c>
      <c r="P7" s="298">
        <v>41806</v>
      </c>
      <c r="Q7" s="221">
        <v>0</v>
      </c>
      <c r="R7" s="221">
        <v>99.844999999999999</v>
      </c>
      <c r="S7" s="221">
        <v>99.844999999999999</v>
      </c>
      <c r="T7" s="221">
        <v>99.847499999999997</v>
      </c>
      <c r="U7" s="225" t="e">
        <f>_xll.qlMidSafe($Q7,$R7)</f>
        <v>#NUM!</v>
      </c>
      <c r="V7" s="223"/>
      <c r="W7" s="302">
        <v>99.821249999999992</v>
      </c>
      <c r="X7" s="223"/>
      <c r="Y7" s="296" t="e">
        <v>#NUM!</v>
      </c>
      <c r="Z7" s="225" t="e">
        <f>_xll.qlSimpleQuoteSetValue(F7,Y7,Trigger)</f>
        <v>#NUM!</v>
      </c>
      <c r="AA7" s="42"/>
      <c r="AB7" s="19"/>
      <c r="AC7" s="79" t="s">
        <v>109</v>
      </c>
      <c r="AD7" s="77"/>
      <c r="AE7" s="19"/>
      <c r="AF7" s="258" t="e">
        <f t="shared" si="1"/>
        <v>#NUM!</v>
      </c>
      <c r="AH7" s="141"/>
      <c r="AI7" s="146">
        <v>1</v>
      </c>
      <c r="AJ7" s="144" t="b">
        <v>0</v>
      </c>
      <c r="AK7" s="144" t="str">
        <f t="array" ref="AK7:AK18">_xll.qlIMMNextCodes(_xll.qlSettingsEvaluationDate(Trigger)-1,$AJ7:$AJ126)</f>
        <v>K4</v>
      </c>
      <c r="AL7" s="213" t="str">
        <f t="shared" ref="AL7:AL18" si="2">Currency&amp;"FUT"&amp;$AN$4&amp;$AK7&amp;QuoteSuffix</f>
        <v>USDFUT1MK4_Quote</v>
      </c>
      <c r="AM7" s="214" t="str">
        <f t="shared" ref="AM7:AM18" si="3">Currency&amp;"FUT"&amp;$AN$4&amp;$AK7&amp;"ConvAdj"&amp;QuoteSuffix</f>
        <v>USDFUT1MK4ConvAdj_Quote</v>
      </c>
      <c r="AN7" s="213" t="e">
        <f>_xll.qlFuturesConvAdjustmentQuote($AM7,IborIndex,$AK7,$AL7,Volatility,MeanReversion,Permanent,Trigger,ObjectOverwrite)</f>
        <v>#NUM!</v>
      </c>
      <c r="AO7" s="68" t="str">
        <f ca="1">_xll.ohRangeRetrieveError(AN7)</f>
        <v>qlFuturesConvAdjustmentQuote - ObjectHandler error: attempt to retrieve object with unknown ID 'UsdLibor1M'</v>
      </c>
      <c r="AP7" s="310"/>
    </row>
    <row r="8" spans="1:43" x14ac:dyDescent="0.2">
      <c r="A8" s="141"/>
      <c r="B8" s="140">
        <v>3</v>
      </c>
      <c r="C8" s="139" t="b">
        <v>0</v>
      </c>
      <c r="D8" s="138" t="str">
        <v>N4</v>
      </c>
      <c r="E8" s="137" t="str">
        <f t="shared" si="0"/>
        <v>USDFUT1MN4_Quote</v>
      </c>
      <c r="F8" s="136" t="str">
        <f>_xll.qlSimpleQuote(E8,,PriceTickValue,Permanent,Trigger,ObjectOverwrite)</f>
        <v>USDFUT1MN4_Quote#0000</v>
      </c>
      <c r="G8" s="99" t="str">
        <f>_xll.ohRangeRetrieveError(F8)</f>
        <v/>
      </c>
      <c r="H8" s="135"/>
      <c r="J8" s="295"/>
      <c r="K8" s="301">
        <v>3</v>
      </c>
      <c r="L8" s="300" t="b">
        <v>0</v>
      </c>
      <c r="M8" s="221" t="str">
        <v>N4</v>
      </c>
      <c r="N8" s="299">
        <v>41836</v>
      </c>
      <c r="O8" s="221" t="str">
        <v>EMN4</v>
      </c>
      <c r="P8" s="298">
        <v>41834</v>
      </c>
      <c r="Q8" s="221">
        <v>99.842500000000001</v>
      </c>
      <c r="R8" s="221">
        <v>99.85</v>
      </c>
      <c r="S8" s="221">
        <v>0</v>
      </c>
      <c r="T8" s="221">
        <v>99.842500000000001</v>
      </c>
      <c r="U8" s="225">
        <f>_xll.qlMidSafe($Q8,$R8)</f>
        <v>99.846249999999998</v>
      </c>
      <c r="V8" s="223"/>
      <c r="W8" s="302">
        <v>99.818749999999994</v>
      </c>
      <c r="X8" s="223"/>
      <c r="Y8" s="296">
        <v>99.846249999999998</v>
      </c>
      <c r="Z8" s="225">
        <f>_xll.qlSimpleQuoteSetValue(F8,Y8,Trigger)</f>
        <v>0</v>
      </c>
      <c r="AA8" s="42"/>
      <c r="AB8" s="19"/>
      <c r="AC8" s="79" t="s">
        <v>106</v>
      </c>
      <c r="AD8" s="77"/>
      <c r="AE8" s="19"/>
      <c r="AF8" s="258">
        <f t="shared" si="1"/>
        <v>7.4999999999931784E-5</v>
      </c>
      <c r="AH8" s="141"/>
      <c r="AI8" s="140">
        <v>2</v>
      </c>
      <c r="AJ8" s="138" t="b">
        <v>0</v>
      </c>
      <c r="AK8" s="138" t="str">
        <v>M4</v>
      </c>
      <c r="AL8" s="213" t="str">
        <f t="shared" si="2"/>
        <v>USDFUT1MM4_Quote</v>
      </c>
      <c r="AM8" s="214" t="str">
        <f t="shared" si="3"/>
        <v>USDFUT1MM4ConvAdj_Quote</v>
      </c>
      <c r="AN8" s="213" t="e">
        <f>_xll.qlFuturesConvAdjustmentQuote($AM8,IborIndex,$AK8,$AL8,Volatility,MeanReversion,Permanent,Trigger,ObjectOverwrite)</f>
        <v>#NUM!</v>
      </c>
      <c r="AO8" s="68" t="str">
        <f ca="1">_xll.ohRangeRetrieveError(AN8)</f>
        <v>qlFuturesConvAdjustmentQuote - ObjectHandler error: attempt to retrieve object with unknown ID 'UsdLibor1M'</v>
      </c>
      <c r="AP8" s="310"/>
    </row>
    <row r="9" spans="1:43" x14ac:dyDescent="0.2">
      <c r="A9" s="141"/>
      <c r="B9" s="140">
        <v>4</v>
      </c>
      <c r="C9" s="139" t="b">
        <v>0</v>
      </c>
      <c r="D9" s="138" t="str">
        <v>Q4</v>
      </c>
      <c r="E9" s="137" t="str">
        <f t="shared" si="0"/>
        <v>USDFUT1MQ4_Quote</v>
      </c>
      <c r="F9" s="136" t="str">
        <f>_xll.qlSimpleQuote(E9,,PriceTickValue,Permanent,Trigger,ObjectOverwrite)</f>
        <v>USDFUT1MQ4_Quote#0000</v>
      </c>
      <c r="G9" s="99" t="str">
        <f>_xll.ohRangeRetrieveError(F9)</f>
        <v/>
      </c>
      <c r="H9" s="135"/>
      <c r="J9" s="295"/>
      <c r="K9" s="301">
        <v>4</v>
      </c>
      <c r="L9" s="300" t="b">
        <v>0</v>
      </c>
      <c r="M9" s="221" t="str">
        <v>Q4</v>
      </c>
      <c r="N9" s="299">
        <v>41871</v>
      </c>
      <c r="O9" s="221" t="str">
        <v>EMQ4</v>
      </c>
      <c r="P9" s="298">
        <v>41869</v>
      </c>
      <c r="Q9" s="221">
        <v>0</v>
      </c>
      <c r="R9" s="221">
        <v>0</v>
      </c>
      <c r="S9" s="221">
        <v>0</v>
      </c>
      <c r="T9" s="221">
        <v>99.837500000000006</v>
      </c>
      <c r="U9" s="225" t="e">
        <f>_xll.qlMidSafe($Q9,$R9)</f>
        <v>#NUM!</v>
      </c>
      <c r="V9" s="223"/>
      <c r="W9" s="302">
        <v>99.8125</v>
      </c>
      <c r="X9" s="223"/>
      <c r="Y9" s="296" t="e">
        <v>#NUM!</v>
      </c>
      <c r="Z9" s="225" t="e">
        <f>_xll.qlSimpleQuoteSetValue(F9,Y9,Trigger)</f>
        <v>#NUM!</v>
      </c>
      <c r="AA9" s="42"/>
      <c r="AB9" s="19"/>
      <c r="AC9" s="79" t="s">
        <v>105</v>
      </c>
      <c r="AD9" s="77"/>
      <c r="AE9" s="19"/>
      <c r="AF9" s="258" t="e">
        <f t="shared" si="1"/>
        <v>#NUM!</v>
      </c>
      <c r="AH9" s="141"/>
      <c r="AI9" s="140">
        <v>3</v>
      </c>
      <c r="AJ9" s="138" t="b">
        <v>0</v>
      </c>
      <c r="AK9" s="138" t="str">
        <v>N4</v>
      </c>
      <c r="AL9" s="213" t="str">
        <f t="shared" si="2"/>
        <v>USDFUT1MN4_Quote</v>
      </c>
      <c r="AM9" s="214" t="str">
        <f t="shared" si="3"/>
        <v>USDFUT1MN4ConvAdj_Quote</v>
      </c>
      <c r="AN9" s="213" t="e">
        <f>_xll.qlFuturesConvAdjustmentQuote($AM9,IborIndex,$AK9,$AL9,Volatility,MeanReversion,Permanent,Trigger,ObjectOverwrite)</f>
        <v>#NUM!</v>
      </c>
      <c r="AO9" s="68" t="str">
        <f ca="1">_xll.ohRangeRetrieveError(AN9)</f>
        <v>qlFuturesConvAdjustmentQuote - ObjectHandler error: attempt to retrieve object with unknown ID 'UsdLibor1M'</v>
      </c>
      <c r="AP9" s="310"/>
      <c r="AQ9" s="459"/>
    </row>
    <row r="10" spans="1:43" ht="12" thickBot="1" x14ac:dyDescent="0.25">
      <c r="A10" s="141"/>
      <c r="B10" s="140">
        <v>5</v>
      </c>
      <c r="C10" s="139" t="b">
        <v>0</v>
      </c>
      <c r="D10" s="138" t="str">
        <v>U4</v>
      </c>
      <c r="E10" s="137" t="str">
        <f t="shared" si="0"/>
        <v>USDFUT1MU4_Quote</v>
      </c>
      <c r="F10" s="136" t="str">
        <f>_xll.qlSimpleQuote(E10,,PriceTickValue,Permanent,Trigger,ObjectOverwrite)</f>
        <v>USDFUT1MU4_Quote#0000</v>
      </c>
      <c r="G10" s="99" t="str">
        <f>_xll.ohRangeRetrieveError(F10)</f>
        <v/>
      </c>
      <c r="H10" s="135"/>
      <c r="J10" s="295"/>
      <c r="K10" s="301">
        <v>5</v>
      </c>
      <c r="L10" s="300" t="b">
        <v>0</v>
      </c>
      <c r="M10" s="221" t="str">
        <v>U4</v>
      </c>
      <c r="N10" s="299">
        <v>41899</v>
      </c>
      <c r="O10" s="221" t="str">
        <v>EMU4</v>
      </c>
      <c r="P10" s="298">
        <v>41897</v>
      </c>
      <c r="Q10" s="221">
        <v>0</v>
      </c>
      <c r="R10" s="221">
        <v>0</v>
      </c>
      <c r="S10" s="221">
        <v>0</v>
      </c>
      <c r="T10" s="221">
        <v>99.832499999999996</v>
      </c>
      <c r="U10" s="225" t="e">
        <f>_xll.qlMidSafe($Q10,$R10)</f>
        <v>#NUM!</v>
      </c>
      <c r="V10" s="223"/>
      <c r="W10" s="297">
        <v>99.794999999999987</v>
      </c>
      <c r="X10" s="223"/>
      <c r="Y10" s="296" t="e">
        <v>#NUM!</v>
      </c>
      <c r="Z10" s="225" t="e">
        <f>_xll.qlSimpleQuoteSetValue(F10,Y10,Trigger)</f>
        <v>#NUM!</v>
      </c>
      <c r="AA10" s="42"/>
      <c r="AB10" s="19"/>
      <c r="AC10" s="76" t="s">
        <v>100</v>
      </c>
      <c r="AD10" s="74" t="s">
        <v>244</v>
      </c>
      <c r="AE10" s="19"/>
      <c r="AF10" s="258" t="e">
        <f t="shared" si="1"/>
        <v>#NUM!</v>
      </c>
      <c r="AH10" s="141"/>
      <c r="AI10" s="140">
        <v>4</v>
      </c>
      <c r="AJ10" s="138" t="b">
        <v>0</v>
      </c>
      <c r="AK10" s="138" t="str">
        <v>Q4</v>
      </c>
      <c r="AL10" s="213" t="str">
        <f t="shared" si="2"/>
        <v>USDFUT1MQ4_Quote</v>
      </c>
      <c r="AM10" s="214" t="str">
        <f t="shared" si="3"/>
        <v>USDFUT1MQ4ConvAdj_Quote</v>
      </c>
      <c r="AN10" s="213" t="e">
        <f>_xll.qlFuturesConvAdjustmentQuote($AM10,IborIndex,$AK10,$AL10,Volatility,MeanReversion,Permanent,Trigger,ObjectOverwrite)</f>
        <v>#NUM!</v>
      </c>
      <c r="AO10" s="68" t="str">
        <f ca="1">_xll.ohRangeRetrieveError(AN10)</f>
        <v>qlFuturesConvAdjustmentQuote - ObjectHandler error: attempt to retrieve object with unknown ID 'UsdLibor1M'</v>
      </c>
      <c r="AP10" s="310"/>
    </row>
    <row r="11" spans="1:43" x14ac:dyDescent="0.2">
      <c r="A11" s="141"/>
      <c r="B11" s="140">
        <v>6</v>
      </c>
      <c r="C11" s="139" t="b">
        <v>0</v>
      </c>
      <c r="D11" s="138" t="str">
        <v>V4</v>
      </c>
      <c r="E11" s="137" t="str">
        <f t="shared" si="0"/>
        <v>USDFUT1MV4_Quote</v>
      </c>
      <c r="F11" s="136" t="str">
        <f>_xll.qlSimpleQuote(E11,,PriceTickValue,Permanent,Trigger,ObjectOverwrite)</f>
        <v>USDFUT1MV4_Quote#0000</v>
      </c>
      <c r="G11" s="99" t="str">
        <f>_xll.ohRangeRetrieveError(F11)</f>
        <v/>
      </c>
      <c r="H11" s="135"/>
      <c r="J11" s="295"/>
      <c r="K11" s="301">
        <v>6</v>
      </c>
      <c r="L11" s="300" t="b">
        <v>0</v>
      </c>
      <c r="M11" s="221" t="str">
        <v>V4</v>
      </c>
      <c r="N11" s="299">
        <v>41927</v>
      </c>
      <c r="O11" s="221" t="str">
        <v>EMV4</v>
      </c>
      <c r="P11" s="298">
        <v>41926</v>
      </c>
      <c r="Q11" s="221">
        <v>0</v>
      </c>
      <c r="R11" s="221">
        <v>0</v>
      </c>
      <c r="S11" s="221">
        <v>0</v>
      </c>
      <c r="T11" s="221">
        <v>99.825000000000003</v>
      </c>
      <c r="U11" s="225" t="e">
        <f>_xll.qlMidSafe($Q11,$R11)</f>
        <v>#NUM!</v>
      </c>
      <c r="V11" s="223"/>
      <c r="W11" s="297">
        <v>99.786249999999995</v>
      </c>
      <c r="X11" s="223"/>
      <c r="Y11" s="296" t="e">
        <v>#NUM!</v>
      </c>
      <c r="Z11" s="225" t="e">
        <f>_xll.qlSimpleQuoteSetValue(F11,Y11,Trigger)</f>
        <v>#NUM!</v>
      </c>
      <c r="AA11" s="42"/>
      <c r="AB11" s="19"/>
      <c r="AC11" s="19"/>
      <c r="AD11" s="19"/>
      <c r="AE11" s="19"/>
      <c r="AF11" s="258" t="e">
        <f t="shared" si="1"/>
        <v>#NUM!</v>
      </c>
      <c r="AH11" s="141"/>
      <c r="AI11" s="140">
        <v>5</v>
      </c>
      <c r="AJ11" s="138" t="b">
        <v>0</v>
      </c>
      <c r="AK11" s="138" t="str">
        <v>U4</v>
      </c>
      <c r="AL11" s="213" t="str">
        <f t="shared" si="2"/>
        <v>USDFUT1MU4_Quote</v>
      </c>
      <c r="AM11" s="214" t="str">
        <f t="shared" si="3"/>
        <v>USDFUT1MU4ConvAdj_Quote</v>
      </c>
      <c r="AN11" s="213" t="e">
        <f>_xll.qlFuturesConvAdjustmentQuote($AM11,IborIndex,$AK11,$AL11,Volatility,MeanReversion,Permanent,Trigger,ObjectOverwrite)</f>
        <v>#NUM!</v>
      </c>
      <c r="AO11" s="68" t="str">
        <f ca="1">_xll.ohRangeRetrieveError(AN11)</f>
        <v>qlFuturesConvAdjustmentQuote - ObjectHandler error: attempt to retrieve object with unknown ID 'UsdLibor1M'</v>
      </c>
      <c r="AP11" s="310"/>
    </row>
    <row r="12" spans="1:43" x14ac:dyDescent="0.2">
      <c r="A12" s="141"/>
      <c r="B12" s="140">
        <v>7</v>
      </c>
      <c r="C12" s="139" t="b">
        <v>0</v>
      </c>
      <c r="D12" s="138" t="str">
        <v>X4</v>
      </c>
      <c r="E12" s="137" t="str">
        <f t="shared" si="0"/>
        <v>USDFUT1MX4_Quote</v>
      </c>
      <c r="F12" s="136" t="str">
        <f>_xll.qlSimpleQuote(E12,,PriceTickValue,Permanent,Trigger,ObjectOverwrite)</f>
        <v>USDFUT1MX4_Quote#0000</v>
      </c>
      <c r="G12" s="99" t="str">
        <f>_xll.ohRangeRetrieveError(F12)</f>
        <v/>
      </c>
      <c r="H12" s="135"/>
      <c r="J12" s="295"/>
      <c r="K12" s="301">
        <v>7</v>
      </c>
      <c r="L12" s="300" t="b">
        <v>0</v>
      </c>
      <c r="M12" s="221" t="str">
        <v>X4</v>
      </c>
      <c r="N12" s="299">
        <v>41962</v>
      </c>
      <c r="O12" s="221" t="str">
        <v>EMX4</v>
      </c>
      <c r="P12" s="298">
        <v>41960</v>
      </c>
      <c r="Q12" s="221">
        <v>0</v>
      </c>
      <c r="R12" s="221">
        <v>0</v>
      </c>
      <c r="S12" s="221">
        <v>0</v>
      </c>
      <c r="T12" s="221">
        <v>99.822500000000005</v>
      </c>
      <c r="U12" s="225" t="e">
        <f>_xll.qlMidSafe($Q12,$R12)</f>
        <v>#NUM!</v>
      </c>
      <c r="V12" s="223"/>
      <c r="W12" s="297">
        <v>99.773750000000007</v>
      </c>
      <c r="X12" s="223"/>
      <c r="Y12" s="296" t="e">
        <v>#NUM!</v>
      </c>
      <c r="Z12" s="225" t="e">
        <f>_xll.qlSimpleQuoteSetValue(F12,Y12,Trigger)</f>
        <v>#NUM!</v>
      </c>
      <c r="AA12" s="42"/>
      <c r="AB12" s="19"/>
      <c r="AC12" s="19"/>
      <c r="AD12" s="19"/>
      <c r="AE12" s="19"/>
      <c r="AF12" s="258" t="e">
        <f t="shared" si="1"/>
        <v>#NUM!</v>
      </c>
      <c r="AH12" s="141"/>
      <c r="AI12" s="140">
        <v>6</v>
      </c>
      <c r="AJ12" s="138" t="b">
        <v>0</v>
      </c>
      <c r="AK12" s="138" t="str">
        <v>V4</v>
      </c>
      <c r="AL12" s="213" t="str">
        <f t="shared" si="2"/>
        <v>USDFUT1MV4_Quote</v>
      </c>
      <c r="AM12" s="214" t="str">
        <f t="shared" si="3"/>
        <v>USDFUT1MV4ConvAdj_Quote</v>
      </c>
      <c r="AN12" s="213" t="e">
        <f>_xll.qlFuturesConvAdjustmentQuote($AM12,IborIndex,$AK12,$AL12,Volatility,MeanReversion,Permanent,Trigger,ObjectOverwrite)</f>
        <v>#NUM!</v>
      </c>
      <c r="AO12" s="68" t="str">
        <f ca="1">_xll.ohRangeRetrieveError(AN12)</f>
        <v>qlFuturesConvAdjustmentQuote - ObjectHandler error: attempt to retrieve object with unknown ID 'UsdLibor1M'</v>
      </c>
      <c r="AP12" s="310"/>
    </row>
    <row r="13" spans="1:43" x14ac:dyDescent="0.2">
      <c r="A13" s="141"/>
      <c r="B13" s="140">
        <v>8</v>
      </c>
      <c r="C13" s="139" t="b">
        <v>0</v>
      </c>
      <c r="D13" s="138" t="str">
        <v>Z4</v>
      </c>
      <c r="E13" s="137" t="str">
        <f t="shared" si="0"/>
        <v>USDFUT1MZ4_Quote</v>
      </c>
      <c r="F13" s="136" t="str">
        <f>_xll.qlSimpleQuote(E13,,PriceTickValue,Permanent,Trigger,ObjectOverwrite)</f>
        <v>USDFUT1MZ4_Quote#0000</v>
      </c>
      <c r="G13" s="99" t="str">
        <f>_xll.ohRangeRetrieveError(F13)</f>
        <v/>
      </c>
      <c r="H13" s="135"/>
      <c r="J13" s="295"/>
      <c r="K13" s="301">
        <v>8</v>
      </c>
      <c r="L13" s="300" t="b">
        <v>0</v>
      </c>
      <c r="M13" s="221" t="str">
        <v>Z4</v>
      </c>
      <c r="N13" s="299">
        <v>41990</v>
      </c>
      <c r="O13" s="221" t="str">
        <v>EMZ4</v>
      </c>
      <c r="P13" s="298">
        <v>41988</v>
      </c>
      <c r="Q13" s="221">
        <v>0</v>
      </c>
      <c r="R13" s="221">
        <v>0</v>
      </c>
      <c r="S13" s="221">
        <v>0</v>
      </c>
      <c r="T13" s="221">
        <v>99.802499999999995</v>
      </c>
      <c r="U13" s="225" t="e">
        <f>_xll.qlMidSafe($Q13,$R13)</f>
        <v>#NUM!</v>
      </c>
      <c r="V13" s="223"/>
      <c r="W13" s="297">
        <v>99.753749999999997</v>
      </c>
      <c r="X13" s="223"/>
      <c r="Y13" s="296" t="e">
        <v>#NUM!</v>
      </c>
      <c r="Z13" s="225" t="e">
        <f>_xll.qlSimpleQuoteSetValue(F13,Y13,Trigger)</f>
        <v>#NUM!</v>
      </c>
      <c r="AA13" s="42"/>
      <c r="AB13" s="19"/>
      <c r="AC13" s="19"/>
      <c r="AD13" s="19"/>
      <c r="AE13" s="19"/>
      <c r="AF13" s="258" t="e">
        <f t="shared" si="1"/>
        <v>#NUM!</v>
      </c>
      <c r="AH13" s="141"/>
      <c r="AI13" s="140">
        <v>7</v>
      </c>
      <c r="AJ13" s="138" t="b">
        <v>0</v>
      </c>
      <c r="AK13" s="138" t="str">
        <v>X4</v>
      </c>
      <c r="AL13" s="213" t="str">
        <f t="shared" si="2"/>
        <v>USDFUT1MX4_Quote</v>
      </c>
      <c r="AM13" s="214" t="str">
        <f t="shared" si="3"/>
        <v>USDFUT1MX4ConvAdj_Quote</v>
      </c>
      <c r="AN13" s="213" t="e">
        <f>_xll.qlFuturesConvAdjustmentQuote($AM13,IborIndex,$AK13,$AL13,Volatility,MeanReversion,Permanent,Trigger,ObjectOverwrite)</f>
        <v>#NUM!</v>
      </c>
      <c r="AO13" s="68" t="str">
        <f ca="1">_xll.ohRangeRetrieveError(AN13)</f>
        <v>qlFuturesConvAdjustmentQuote - ObjectHandler error: attempt to retrieve object with unknown ID 'UsdLibor1M'</v>
      </c>
      <c r="AP13" s="310"/>
    </row>
    <row r="14" spans="1:43" x14ac:dyDescent="0.2">
      <c r="A14" s="141"/>
      <c r="B14" s="140">
        <v>9</v>
      </c>
      <c r="C14" s="139" t="b">
        <v>0</v>
      </c>
      <c r="D14" s="138" t="str">
        <v>F5</v>
      </c>
      <c r="E14" s="137" t="str">
        <f t="shared" si="0"/>
        <v>USDFUT1MF5_Quote</v>
      </c>
      <c r="F14" s="136" t="str">
        <f>_xll.qlSimpleQuote(E14,,PriceTickValue,Permanent,Trigger,ObjectOverwrite)</f>
        <v>USDFUT1MF5_Quote#0000</v>
      </c>
      <c r="G14" s="99" t="str">
        <f>_xll.ohRangeRetrieveError(F14)</f>
        <v/>
      </c>
      <c r="H14" s="135"/>
      <c r="J14" s="295"/>
      <c r="K14" s="301">
        <v>9</v>
      </c>
      <c r="L14" s="300" t="b">
        <v>0</v>
      </c>
      <c r="M14" s="221" t="str">
        <v>F5</v>
      </c>
      <c r="N14" s="299">
        <v>42025</v>
      </c>
      <c r="O14" s="221" t="str">
        <v>EMF5</v>
      </c>
      <c r="P14" s="298">
        <v>42024</v>
      </c>
      <c r="Q14" s="221">
        <v>0</v>
      </c>
      <c r="R14" s="221">
        <v>0</v>
      </c>
      <c r="S14" s="221">
        <v>0</v>
      </c>
      <c r="T14" s="221">
        <v>99.784999999999997</v>
      </c>
      <c r="U14" s="225" t="e">
        <f>_xll.qlMidSafe($Q14,$R14)</f>
        <v>#NUM!</v>
      </c>
      <c r="V14" s="223"/>
      <c r="W14" s="297">
        <v>99.743750000000006</v>
      </c>
      <c r="X14" s="223"/>
      <c r="Y14" s="296" t="e">
        <v>#NUM!</v>
      </c>
      <c r="Z14" s="225" t="e">
        <f>_xll.qlSimpleQuoteSetValue(F14,Y14,Trigger)</f>
        <v>#NUM!</v>
      </c>
      <c r="AA14" s="42"/>
      <c r="AB14" s="19"/>
      <c r="AC14" s="19"/>
      <c r="AD14" s="19"/>
      <c r="AE14" s="19"/>
      <c r="AF14" s="258" t="e">
        <f t="shared" si="1"/>
        <v>#NUM!</v>
      </c>
      <c r="AH14" s="141"/>
      <c r="AI14" s="140">
        <v>8</v>
      </c>
      <c r="AJ14" s="138" t="b">
        <v>0</v>
      </c>
      <c r="AK14" s="138" t="str">
        <v>Z4</v>
      </c>
      <c r="AL14" s="213" t="str">
        <f t="shared" si="2"/>
        <v>USDFUT1MZ4_Quote</v>
      </c>
      <c r="AM14" s="214" t="str">
        <f t="shared" si="3"/>
        <v>USDFUT1MZ4ConvAdj_Quote</v>
      </c>
      <c r="AN14" s="213" t="e">
        <f>_xll.qlFuturesConvAdjustmentQuote($AM14,IborIndex,$AK14,$AL14,Volatility,MeanReversion,Permanent,Trigger,ObjectOverwrite)</f>
        <v>#NUM!</v>
      </c>
      <c r="AO14" s="68" t="str">
        <f ca="1">_xll.ohRangeRetrieveError(AN14)</f>
        <v>qlFuturesConvAdjustmentQuote - ObjectHandler error: attempt to retrieve object with unknown ID 'UsdLibor1M'</v>
      </c>
      <c r="AP14" s="310"/>
    </row>
    <row r="15" spans="1:43" x14ac:dyDescent="0.2">
      <c r="A15" s="141"/>
      <c r="B15" s="140">
        <v>10</v>
      </c>
      <c r="C15" s="139" t="b">
        <v>0</v>
      </c>
      <c r="D15" s="138" t="str">
        <v>G5</v>
      </c>
      <c r="E15" s="137" t="str">
        <f t="shared" si="0"/>
        <v>USDFUT1MG5_Quote</v>
      </c>
      <c r="F15" s="136" t="str">
        <f>_xll.qlSimpleQuote(E15,,PriceTickValue,Permanent,Trigger,ObjectOverwrite)</f>
        <v>USDFUT1MG5_Quote#0000</v>
      </c>
      <c r="G15" s="99" t="str">
        <f>_xll.ohRangeRetrieveError(F15)</f>
        <v/>
      </c>
      <c r="H15" s="135"/>
      <c r="J15" s="295"/>
      <c r="K15" s="301">
        <v>10</v>
      </c>
      <c r="L15" s="300" t="b">
        <v>0</v>
      </c>
      <c r="M15" s="221" t="str">
        <v>G5</v>
      </c>
      <c r="N15" s="299">
        <v>42053</v>
      </c>
      <c r="O15" s="221" t="str">
        <v>EMG5</v>
      </c>
      <c r="P15" s="298">
        <v>42052</v>
      </c>
      <c r="Q15" s="221">
        <v>0</v>
      </c>
      <c r="R15" s="221">
        <v>0</v>
      </c>
      <c r="S15" s="221">
        <v>0</v>
      </c>
      <c r="T15" s="221">
        <v>99.78</v>
      </c>
      <c r="U15" s="225" t="e">
        <f>_xll.qlMidSafe($Q15,$R15)</f>
        <v>#NUM!</v>
      </c>
      <c r="V15" s="223"/>
      <c r="W15" s="297">
        <v>99.72999999999999</v>
      </c>
      <c r="X15" s="223"/>
      <c r="Y15" s="296" t="e">
        <v>#NUM!</v>
      </c>
      <c r="Z15" s="225" t="e">
        <f>_xll.qlSimpleQuoteSetValue(F15,Y15,Trigger)</f>
        <v>#NUM!</v>
      </c>
      <c r="AA15" s="42"/>
      <c r="AB15" s="19"/>
      <c r="AC15" s="19"/>
      <c r="AD15" s="19"/>
      <c r="AE15" s="19"/>
      <c r="AF15" s="258" t="e">
        <f t="shared" si="1"/>
        <v>#NUM!</v>
      </c>
      <c r="AH15" s="141"/>
      <c r="AI15" s="140">
        <v>9</v>
      </c>
      <c r="AJ15" s="138" t="b">
        <v>0</v>
      </c>
      <c r="AK15" s="138" t="str">
        <v>F5</v>
      </c>
      <c r="AL15" s="213" t="str">
        <f t="shared" si="2"/>
        <v>USDFUT1MF5_Quote</v>
      </c>
      <c r="AM15" s="214" t="str">
        <f t="shared" si="3"/>
        <v>USDFUT1MF5ConvAdj_Quote</v>
      </c>
      <c r="AN15" s="213" t="e">
        <f>_xll.qlFuturesConvAdjustmentQuote($AM15,IborIndex,$AK15,$AL15,Volatility,MeanReversion,Permanent,Trigger,ObjectOverwrite)</f>
        <v>#NUM!</v>
      </c>
      <c r="AO15" s="68" t="str">
        <f ca="1">_xll.ohRangeRetrieveError(AN15)</f>
        <v>qlFuturesConvAdjustmentQuote - ObjectHandler error: attempt to retrieve object with unknown ID 'UsdLibor1M'</v>
      </c>
      <c r="AP15" s="310"/>
    </row>
    <row r="16" spans="1:43" x14ac:dyDescent="0.2">
      <c r="A16" s="141"/>
      <c r="B16" s="140">
        <v>11</v>
      </c>
      <c r="C16" s="139" t="b">
        <v>0</v>
      </c>
      <c r="D16" s="138" t="str">
        <v>H5</v>
      </c>
      <c r="E16" s="137" t="str">
        <f t="shared" si="0"/>
        <v>USDFUT1MH5_Quote</v>
      </c>
      <c r="F16" s="136" t="str">
        <f>_xll.qlSimpleQuote(E16,,PriceTickValue,Permanent,Trigger,ObjectOverwrite)</f>
        <v>USDFUT1MH5_Quote#0000</v>
      </c>
      <c r="G16" s="99" t="str">
        <f>_xll.ohRangeRetrieveError(F16)</f>
        <v/>
      </c>
      <c r="H16" s="135"/>
      <c r="J16" s="295"/>
      <c r="K16" s="301">
        <v>11</v>
      </c>
      <c r="L16" s="300" t="b">
        <v>0</v>
      </c>
      <c r="M16" s="221" t="str">
        <v>H5</v>
      </c>
      <c r="N16" s="299">
        <v>42081</v>
      </c>
      <c r="O16" s="221" t="str">
        <v>EMH5</v>
      </c>
      <c r="P16" s="298">
        <v>42079</v>
      </c>
      <c r="Q16" s="221">
        <v>0</v>
      </c>
      <c r="R16" s="221">
        <v>0</v>
      </c>
      <c r="S16" s="221">
        <v>0</v>
      </c>
      <c r="T16" s="221">
        <v>99.742500000000007</v>
      </c>
      <c r="U16" s="225" t="e">
        <f>_xll.qlMidSafe($Q16,$R16)</f>
        <v>#NUM!</v>
      </c>
      <c r="V16" s="223"/>
      <c r="W16" s="297">
        <v>99.704999999999998</v>
      </c>
      <c r="X16" s="223"/>
      <c r="Y16" s="296" t="e">
        <v>#NUM!</v>
      </c>
      <c r="Z16" s="225" t="e">
        <f>_xll.qlSimpleQuoteSetValue(F16,Y16,Trigger)</f>
        <v>#NUM!</v>
      </c>
      <c r="AA16" s="42"/>
      <c r="AB16" s="19"/>
      <c r="AC16" s="19"/>
      <c r="AD16" s="19"/>
      <c r="AE16" s="19"/>
      <c r="AF16" s="258" t="e">
        <f t="shared" si="1"/>
        <v>#NUM!</v>
      </c>
      <c r="AH16" s="141"/>
      <c r="AI16" s="140">
        <v>10</v>
      </c>
      <c r="AJ16" s="138" t="b">
        <v>0</v>
      </c>
      <c r="AK16" s="138" t="str">
        <v>G5</v>
      </c>
      <c r="AL16" s="213" t="str">
        <f t="shared" si="2"/>
        <v>USDFUT1MG5_Quote</v>
      </c>
      <c r="AM16" s="214" t="str">
        <f t="shared" si="3"/>
        <v>USDFUT1MG5ConvAdj_Quote</v>
      </c>
      <c r="AN16" s="213" t="e">
        <f>_xll.qlFuturesConvAdjustmentQuote($AM16,IborIndex,$AK16,$AL16,Volatility,MeanReversion,Permanent,Trigger,ObjectOverwrite)</f>
        <v>#NUM!</v>
      </c>
      <c r="AO16" s="68" t="str">
        <f ca="1">_xll.ohRangeRetrieveError(AN16)</f>
        <v>qlFuturesConvAdjustmentQuote - ObjectHandler error: attempt to retrieve object with unknown ID 'UsdLibor1M'</v>
      </c>
      <c r="AP16" s="310"/>
    </row>
    <row r="17" spans="1:42" x14ac:dyDescent="0.2">
      <c r="A17" s="141"/>
      <c r="B17" s="140">
        <v>12</v>
      </c>
      <c r="C17" s="139" t="b">
        <v>0</v>
      </c>
      <c r="D17" s="138" t="str">
        <v>J5</v>
      </c>
      <c r="E17" s="137" t="str">
        <f t="shared" si="0"/>
        <v>USDFUT1MJ5_Quote</v>
      </c>
      <c r="F17" s="136" t="str">
        <f>_xll.qlSimpleQuote(E17,,PriceTickValue,Permanent,Trigger,ObjectOverwrite)</f>
        <v>USDFUT1MJ5_Quote#0000</v>
      </c>
      <c r="G17" s="99" t="str">
        <f>_xll.ohRangeRetrieveError(F17)</f>
        <v/>
      </c>
      <c r="H17" s="135"/>
      <c r="J17" s="295"/>
      <c r="K17" s="294">
        <v>12</v>
      </c>
      <c r="L17" s="293" t="b">
        <v>0</v>
      </c>
      <c r="M17" s="234" t="str">
        <v>J5</v>
      </c>
      <c r="N17" s="292">
        <v>42109</v>
      </c>
      <c r="O17" s="234" t="str">
        <v>EMJ5</v>
      </c>
      <c r="P17" s="291">
        <v>42107</v>
      </c>
      <c r="Q17" s="234">
        <v>0</v>
      </c>
      <c r="R17" s="234">
        <v>0</v>
      </c>
      <c r="S17" s="234">
        <v>0</v>
      </c>
      <c r="T17" s="234">
        <v>99.707499999999996</v>
      </c>
      <c r="U17" s="237" t="e">
        <f>_xll.qlMidSafe($Q17,$R17)</f>
        <v>#NUM!</v>
      </c>
      <c r="V17" s="223"/>
      <c r="W17" s="290">
        <v>99.696249999999992</v>
      </c>
      <c r="X17" s="223"/>
      <c r="Y17" s="289" t="e">
        <v>#NUM!</v>
      </c>
      <c r="Z17" s="237" t="e">
        <f>_xll.qlSimpleQuoteSetValue(F17,Y17,Trigger)</f>
        <v>#NUM!</v>
      </c>
      <c r="AA17" s="42"/>
      <c r="AB17" s="19"/>
      <c r="AC17" s="19"/>
      <c r="AD17" s="19"/>
      <c r="AE17" s="19"/>
      <c r="AF17" s="258" t="e">
        <f t="shared" si="1"/>
        <v>#NUM!</v>
      </c>
      <c r="AH17" s="141"/>
      <c r="AI17" s="140">
        <v>11</v>
      </c>
      <c r="AJ17" s="138" t="b">
        <v>0</v>
      </c>
      <c r="AK17" s="138" t="str">
        <v>H5</v>
      </c>
      <c r="AL17" s="213" t="str">
        <f t="shared" si="2"/>
        <v>USDFUT1MH5_Quote</v>
      </c>
      <c r="AM17" s="214" t="str">
        <f t="shared" si="3"/>
        <v>USDFUT1MH5ConvAdj_Quote</v>
      </c>
      <c r="AN17" s="213" t="e">
        <f>_xll.qlFuturesConvAdjustmentQuote($AM17,IborIndex,$AK17,$AL17,Volatility,MeanReversion,Permanent,Trigger,ObjectOverwrite)</f>
        <v>#NUM!</v>
      </c>
      <c r="AO17" s="68" t="str">
        <f ca="1">_xll.ohRangeRetrieveError(AN17)</f>
        <v>qlFuturesConvAdjustmentQuote - ObjectHandler error: attempt to retrieve object with unknown ID 'UsdLibor1M'</v>
      </c>
      <c r="AP17" s="310"/>
    </row>
    <row r="18" spans="1:42" ht="12" thickBot="1" x14ac:dyDescent="0.25">
      <c r="A18" s="134"/>
      <c r="B18" s="133"/>
      <c r="C18" s="133"/>
      <c r="D18" s="133"/>
      <c r="E18" s="133"/>
      <c r="F18" s="133"/>
      <c r="G18" s="133"/>
      <c r="H18" s="132"/>
      <c r="J18" s="288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39"/>
      <c r="AB18" s="19"/>
      <c r="AC18" s="19"/>
      <c r="AD18" s="19"/>
      <c r="AE18" s="19"/>
      <c r="AF18" s="19"/>
      <c r="AH18" s="141"/>
      <c r="AI18" s="140">
        <v>12</v>
      </c>
      <c r="AJ18" s="138" t="b">
        <v>0</v>
      </c>
      <c r="AK18" s="138" t="str">
        <v>J5</v>
      </c>
      <c r="AL18" s="213" t="str">
        <f t="shared" si="2"/>
        <v>USDFUT1MJ5_Quote</v>
      </c>
      <c r="AM18" s="214" t="str">
        <f t="shared" si="3"/>
        <v>USDFUT1MJ5ConvAdj_Quote</v>
      </c>
      <c r="AN18" s="213" t="e">
        <f>_xll.qlFuturesConvAdjustmentQuote($AM18,IborIndex,$AK18,$AL18,Volatility,MeanReversion,Permanent,Trigger,ObjectOverwrite)</f>
        <v>#NUM!</v>
      </c>
      <c r="AO18" s="68" t="str">
        <f ca="1">_xll.ohRangeRetrieveError(AN18)</f>
        <v>qlFuturesConvAdjustmentQuote - ObjectHandler error: attempt to retrieve object with unknown ID 'UsdLibor1M'</v>
      </c>
      <c r="AP18" s="310"/>
    </row>
    <row r="19" spans="1:42" ht="12" thickBot="1" x14ac:dyDescent="0.25">
      <c r="AH19" s="288"/>
      <c r="AI19" s="40"/>
      <c r="AJ19" s="40"/>
      <c r="AK19" s="40"/>
      <c r="AL19" s="40"/>
      <c r="AM19" s="40"/>
      <c r="AN19" s="40"/>
      <c r="AO19" s="40"/>
      <c r="AP19" s="39"/>
    </row>
    <row r="21" spans="1:42" x14ac:dyDescent="0.2">
      <c r="K21" s="459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AQ6" sqref="AQ6"/>
    </sheetView>
  </sheetViews>
  <sheetFormatPr defaultRowHeight="11.25" x14ac:dyDescent="0.2"/>
  <cols>
    <col min="1" max="1" width="2.7109375" style="97" customWidth="1"/>
    <col min="2" max="2" width="3.5703125" style="97" bestFit="1" customWidth="1"/>
    <col min="3" max="3" width="5.7109375" style="97" bestFit="1" customWidth="1"/>
    <col min="4" max="4" width="6.140625" style="97" bestFit="1" customWidth="1"/>
    <col min="5" max="5" width="19.140625" style="97" bestFit="1" customWidth="1"/>
    <col min="6" max="6" width="20.140625" style="97" bestFit="1" customWidth="1"/>
    <col min="7" max="7" width="23.85546875" style="97" customWidth="1"/>
    <col min="8" max="10" width="2.7109375" style="97" customWidth="1"/>
    <col min="11" max="13" width="9.140625" style="97"/>
    <col min="14" max="14" width="14.28515625" style="97" bestFit="1" customWidth="1"/>
    <col min="15" max="19" width="9.140625" style="97"/>
    <col min="20" max="20" width="10.140625" style="97" customWidth="1"/>
    <col min="21" max="21" width="9.140625" style="97"/>
    <col min="22" max="22" width="2.7109375" style="97" customWidth="1"/>
    <col min="23" max="23" width="9.140625" style="97"/>
    <col min="24" max="24" width="2.7109375" style="97" customWidth="1"/>
    <col min="25" max="26" width="9.140625" style="97"/>
    <col min="27" max="28" width="2.7109375" style="97" customWidth="1"/>
    <col min="29" max="33" width="9.140625" style="97"/>
    <col min="34" max="34" width="2.7109375" style="97" customWidth="1"/>
    <col min="35" max="35" width="2.7109375" style="97" bestFit="1" customWidth="1"/>
    <col min="36" max="36" width="8.42578125" style="97" bestFit="1" customWidth="1"/>
    <col min="37" max="37" width="5.42578125" style="97" bestFit="1" customWidth="1"/>
    <col min="38" max="39" width="27.85546875" style="97" bestFit="1" customWidth="1"/>
    <col min="40" max="40" width="22.140625" style="97" customWidth="1"/>
    <col min="41" max="41" width="2.7109375" style="97" customWidth="1"/>
    <col min="42" max="16384" width="9.140625" style="97"/>
  </cols>
  <sheetData>
    <row r="1" spans="1:41" x14ac:dyDescent="0.2">
      <c r="J1" s="25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312"/>
      <c r="W1" s="312"/>
      <c r="X1" s="170"/>
      <c r="Y1" s="170"/>
      <c r="Z1" s="170"/>
      <c r="AA1" s="311"/>
      <c r="AB1" s="19"/>
      <c r="AC1" s="19"/>
      <c r="AD1" s="19"/>
      <c r="AE1" s="19"/>
      <c r="AF1" s="19"/>
      <c r="AH1" s="147" t="s">
        <v>205</v>
      </c>
      <c r="AO1" s="42"/>
    </row>
    <row r="2" spans="1:41" x14ac:dyDescent="0.2">
      <c r="J2" s="256"/>
      <c r="K2" s="131"/>
      <c r="L2" s="255"/>
      <c r="M2" s="255"/>
      <c r="N2" s="131"/>
      <c r="O2" s="131"/>
      <c r="P2" s="131"/>
      <c r="Q2" s="131"/>
      <c r="R2" s="131"/>
      <c r="S2" s="131"/>
      <c r="T2" s="131"/>
      <c r="U2" s="131"/>
      <c r="V2" s="223"/>
      <c r="W2" s="223"/>
      <c r="X2" s="131"/>
      <c r="Y2" s="223"/>
      <c r="Z2" s="131"/>
      <c r="AA2" s="310"/>
      <c r="AB2" s="19"/>
      <c r="AC2" s="19"/>
      <c r="AD2" s="19"/>
      <c r="AE2" s="19"/>
      <c r="AF2" s="19"/>
      <c r="AH2" s="147"/>
      <c r="AL2" s="217" t="s">
        <v>204</v>
      </c>
      <c r="AM2" s="216" t="str">
        <f>FuturesHWConvAdj!C5</f>
        <v>USDHW_Volatility_Quote#0000</v>
      </c>
      <c r="AO2" s="42"/>
    </row>
    <row r="3" spans="1:41" ht="12" thickBot="1" x14ac:dyDescent="0.25">
      <c r="J3" s="256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223"/>
      <c r="W3" s="223"/>
      <c r="X3" s="131"/>
      <c r="Y3" s="131"/>
      <c r="Z3" s="131"/>
      <c r="AA3" s="310"/>
      <c r="AB3" s="19"/>
      <c r="AC3" s="19"/>
      <c r="AD3" s="19"/>
      <c r="AE3" s="19"/>
      <c r="AF3" s="19"/>
      <c r="AH3" s="147"/>
      <c r="AL3" s="217" t="s">
        <v>203</v>
      </c>
      <c r="AM3" s="216" t="str">
        <f>FuturesHWConvAdj!C6</f>
        <v>USDHW_MeanReversion_Quote#0000</v>
      </c>
      <c r="AO3" s="42"/>
    </row>
    <row r="4" spans="1:41" ht="12" thickBot="1" x14ac:dyDescent="0.25">
      <c r="A4" s="152" t="s">
        <v>159</v>
      </c>
      <c r="B4" s="151"/>
      <c r="C4" s="151"/>
      <c r="D4" s="150" t="s">
        <v>157</v>
      </c>
      <c r="E4" s="150" t="s">
        <v>18</v>
      </c>
      <c r="F4" s="149"/>
      <c r="G4" s="149"/>
      <c r="H4" s="148"/>
      <c r="J4" s="256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223"/>
      <c r="W4" s="223"/>
      <c r="X4" s="131"/>
      <c r="Y4" s="131"/>
      <c r="Z4" s="253">
        <f>_xll.ohTrigger(Z6:Z47)</f>
        <v>938</v>
      </c>
      <c r="AA4" s="310"/>
      <c r="AB4" s="19"/>
      <c r="AC4" s="19"/>
      <c r="AD4" s="19"/>
      <c r="AE4" s="19"/>
      <c r="AF4" s="19"/>
      <c r="AH4" s="147"/>
      <c r="AL4" s="217" t="s">
        <v>96</v>
      </c>
      <c r="AM4" s="216" t="str">
        <f>Libor!I11</f>
        <v>UsdLibor3M#0000</v>
      </c>
      <c r="AN4" s="215" t="s">
        <v>18</v>
      </c>
      <c r="AO4" s="42"/>
    </row>
    <row r="5" spans="1:41" ht="22.5" x14ac:dyDescent="0.2">
      <c r="A5" s="147"/>
      <c r="B5" s="86" t="s">
        <v>156</v>
      </c>
      <c r="C5" s="87" t="s">
        <v>155</v>
      </c>
      <c r="D5" s="87" t="s">
        <v>154</v>
      </c>
      <c r="E5" s="85" t="str">
        <f>Currency&amp;"_010_"&amp;$D$4&amp;$E$4&amp;".xml"</f>
        <v>USD_010_FUT3M.xml</v>
      </c>
      <c r="F5" s="84" t="str">
        <f>IF(Serialize,_xll.ohObjectSave(F6:F47,SerializationPath&amp;E5,FileOverwrite,Serialize),"---")</f>
        <v>---</v>
      </c>
      <c r="G5" s="102" t="str">
        <f>_xll.ohRangeRetrieveError(F5)</f>
        <v/>
      </c>
      <c r="H5" s="135"/>
      <c r="J5" s="256"/>
      <c r="K5" s="318" t="s">
        <v>156</v>
      </c>
      <c r="L5" s="314" t="s">
        <v>155</v>
      </c>
      <c r="M5" s="314" t="s">
        <v>154</v>
      </c>
      <c r="N5" s="314" t="s">
        <v>248</v>
      </c>
      <c r="O5" s="317" t="str">
        <f>_xll.RData(O6:O47,P5:T5,"RTFEED:IDN",ReutersRtMode,,P6)</f>
        <v>Paused at 15:28:02</v>
      </c>
      <c r="P5" s="314" t="s">
        <v>247</v>
      </c>
      <c r="Q5" s="314" t="s">
        <v>207</v>
      </c>
      <c r="R5" s="314" t="s">
        <v>206</v>
      </c>
      <c r="S5" s="314" t="s">
        <v>224</v>
      </c>
      <c r="T5" s="314" t="s">
        <v>242</v>
      </c>
      <c r="U5" s="316" t="s">
        <v>241</v>
      </c>
      <c r="V5" s="223"/>
      <c r="W5" s="315" t="s">
        <v>237</v>
      </c>
      <c r="X5" s="223"/>
      <c r="Y5" s="318" t="s">
        <v>235</v>
      </c>
      <c r="Z5" s="313" t="s">
        <v>234</v>
      </c>
      <c r="AA5" s="42"/>
      <c r="AB5" s="19"/>
      <c r="AC5" s="179" t="s">
        <v>246</v>
      </c>
      <c r="AD5" s="177" t="s">
        <v>245</v>
      </c>
      <c r="AE5" s="19"/>
      <c r="AF5" s="282" t="s">
        <v>240</v>
      </c>
      <c r="AH5" s="147"/>
      <c r="AI5" s="86" t="s">
        <v>156</v>
      </c>
      <c r="AJ5" s="166" t="s">
        <v>155</v>
      </c>
      <c r="AK5" s="166" t="s">
        <v>154</v>
      </c>
      <c r="AL5" s="85" t="str">
        <f>Currency&amp;"_020_Futures"&amp;AN4&amp;"ConvAdj.xml"</f>
        <v>USD_020_Futures3MConvAdj.xml</v>
      </c>
      <c r="AM5" s="103" t="str">
        <f>IF(Serialize,_xll.ohObjectSave(AM6:AM47,SerializationPath&amp;AL5,FileOverwrite,Serialize),"---")</f>
        <v>---</v>
      </c>
      <c r="AN5" s="68" t="str">
        <f>_xll.ohRangeRetrieveError(AM5)</f>
        <v/>
      </c>
      <c r="AO5" s="42"/>
    </row>
    <row r="6" spans="1:41" x14ac:dyDescent="0.2">
      <c r="A6" s="141"/>
      <c r="B6" s="146">
        <v>1</v>
      </c>
      <c r="C6" s="145" t="b">
        <v>0</v>
      </c>
      <c r="D6" s="144" t="str">
        <f t="array" ref="D6:D47">_xll.qlIMMNextCodes(_xll.qlSettingsEvaluationDate(Trigger)-1,$C6:$C47)</f>
        <v>K4</v>
      </c>
      <c r="E6" s="137" t="str">
        <f t="shared" ref="E6:E37" si="0">Currency&amp;$D$4&amp;$E$4&amp;$D6&amp;QuoteSuffix</f>
        <v>USDFUT3MK4_Quote</v>
      </c>
      <c r="F6" s="143" t="str">
        <f>_xll.qlSimpleQuote(E6,,PriceTickValue,Permanent,Trigger,ObjectOverwrite)</f>
        <v>USDFUT3MK4_Quote#0000</v>
      </c>
      <c r="G6" s="142" t="str">
        <f>_xll.ohRangeRetrieveError(F6)</f>
        <v/>
      </c>
      <c r="H6" s="135"/>
      <c r="J6" s="295"/>
      <c r="K6" s="308">
        <v>1</v>
      </c>
      <c r="L6" s="307" t="b">
        <v>0</v>
      </c>
      <c r="M6" s="241" t="str">
        <f t="array" ref="M6:M47">_xll.qlIMMcode(FuturesDates)</f>
        <v>K4</v>
      </c>
      <c r="N6" s="306">
        <f t="array" ref="N6:N47">_xll.qlIMMNextDates(_xll.qlSettingsEvaluationDate(Trigger)-1,$L6:$L47)</f>
        <v>41780</v>
      </c>
      <c r="O6" s="241" t="str">
        <f t="array" ref="O6:O47">VLOOKUP(Currency,LiffeCodes,2)&amp;FuturesCodes</f>
        <v>EDK4</v>
      </c>
      <c r="P6" s="305">
        <v>41778</v>
      </c>
      <c r="Q6" s="241">
        <v>99.77</v>
      </c>
      <c r="R6" s="241">
        <v>99.772499999999994</v>
      </c>
      <c r="S6" s="241">
        <v>99.772499999999994</v>
      </c>
      <c r="T6" s="241">
        <v>99.772499999999994</v>
      </c>
      <c r="U6" s="243">
        <f>_xll.qlMidSafe($Q6,$R6)</f>
        <v>99.771249999999995</v>
      </c>
      <c r="V6" s="223"/>
      <c r="W6" s="304">
        <v>99.754999999999995</v>
      </c>
      <c r="X6" s="223"/>
      <c r="Y6" s="303">
        <f t="array" ref="Y6:Y47">QuoteLive</f>
        <v>99.771249999999995</v>
      </c>
      <c r="Z6" s="243">
        <f>_xll.qlSimpleQuoteSetValue(F6,Y6,Trigger)</f>
        <v>0</v>
      </c>
      <c r="AA6" s="42"/>
      <c r="AB6" s="19"/>
      <c r="AC6" s="79" t="s">
        <v>110</v>
      </c>
      <c r="AD6" s="77" t="s">
        <v>252</v>
      </c>
      <c r="AE6" s="19"/>
      <c r="AF6" s="258">
        <f t="shared" ref="AF6:AF47" si="1">(R6-U6)/50</f>
        <v>2.4999999999977263E-5</v>
      </c>
      <c r="AH6" s="141"/>
      <c r="AI6" s="146">
        <v>1</v>
      </c>
      <c r="AJ6" s="144" t="b">
        <v>0</v>
      </c>
      <c r="AK6" s="144" t="str">
        <f t="array" ref="AK6:AK47">_xll.qlIMMNextCodes(_xll.qlSettingsEvaluationDate(Trigger)-1,$AJ6:$AJ47)</f>
        <v>K4</v>
      </c>
      <c r="AL6" s="214" t="str">
        <f t="shared" ref="AL6:AL47" si="2">Currency&amp;"FUT"&amp;$AN$4&amp;$AK6&amp;"ConvAdj"&amp;QuoteSuffix</f>
        <v>USDFUT3MK4ConvAdj_Quote</v>
      </c>
      <c r="AM6" s="213" t="str">
        <f>_xll.qlFuturesConvAdjustmentQuote(AL6,IborIndex,AK6,F6,Volatility,MeanReversion,Permanent,AND(ISERROR(Z6),ISERROR(FuturesHWConvAdj!Q5:Q6)),ObjectOverwrite)</f>
        <v>USDFUT3MK4ConvAdj_Quote#1107</v>
      </c>
      <c r="AN6" s="68" t="str">
        <f>_xll.ohRangeRetrieveError(AM6)</f>
        <v/>
      </c>
      <c r="AO6" s="42"/>
    </row>
    <row r="7" spans="1:41" x14ac:dyDescent="0.2">
      <c r="A7" s="141"/>
      <c r="B7" s="140">
        <v>2</v>
      </c>
      <c r="C7" s="139" t="b">
        <v>0</v>
      </c>
      <c r="D7" s="138" t="str">
        <v>M4</v>
      </c>
      <c r="E7" s="137" t="str">
        <f t="shared" si="0"/>
        <v>USDFUT3MM4_Quote</v>
      </c>
      <c r="F7" s="136" t="str">
        <f>_xll.qlSimpleQuote(E7,,PriceTickValue,Permanent,Trigger,ObjectOverwrite)</f>
        <v>USDFUT3MM4_Quote#0000</v>
      </c>
      <c r="G7" s="99" t="str">
        <f>_xll.ohRangeRetrieveError(F7)</f>
        <v/>
      </c>
      <c r="H7" s="135"/>
      <c r="J7" s="295"/>
      <c r="K7" s="301">
        <v>2</v>
      </c>
      <c r="L7" s="300" t="b">
        <v>0</v>
      </c>
      <c r="M7" s="221" t="str">
        <v>M4</v>
      </c>
      <c r="N7" s="299">
        <v>41808</v>
      </c>
      <c r="O7" s="221" t="str">
        <v>EDM4</v>
      </c>
      <c r="P7" s="298">
        <v>41806</v>
      </c>
      <c r="Q7" s="221">
        <v>99.765000000000001</v>
      </c>
      <c r="R7" s="221">
        <v>99.77</v>
      </c>
      <c r="S7" s="221">
        <v>99.765000000000001</v>
      </c>
      <c r="T7" s="221">
        <v>99.77</v>
      </c>
      <c r="U7" s="225">
        <f>_xll.qlMidSafe($Q7,$R7)</f>
        <v>99.767499999999998</v>
      </c>
      <c r="V7" s="223"/>
      <c r="W7" s="302">
        <v>99.754999999999995</v>
      </c>
      <c r="X7" s="223"/>
      <c r="Y7" s="296">
        <v>99.767499999999998</v>
      </c>
      <c r="Z7" s="225">
        <f>_xll.qlSimpleQuoteSetValue(F7,Y7,Trigger)</f>
        <v>0</v>
      </c>
      <c r="AA7" s="42"/>
      <c r="AB7" s="19"/>
      <c r="AC7" s="79" t="s">
        <v>109</v>
      </c>
      <c r="AD7" s="77" t="s">
        <v>251</v>
      </c>
      <c r="AE7" s="19"/>
      <c r="AF7" s="258">
        <f t="shared" si="1"/>
        <v>4.9999999999954527E-5</v>
      </c>
      <c r="AH7" s="141"/>
      <c r="AI7" s="140">
        <v>2</v>
      </c>
      <c r="AJ7" s="138" t="b">
        <v>0</v>
      </c>
      <c r="AK7" s="138" t="str">
        <v>M4</v>
      </c>
      <c r="AL7" s="214" t="str">
        <f t="shared" si="2"/>
        <v>USDFUT3MM4ConvAdj_Quote</v>
      </c>
      <c r="AM7" s="213" t="str">
        <f>_xll.qlFuturesConvAdjustmentQuote(AL7,IborIndex,AK7,F7,Volatility,MeanReversion,Permanent,AND(ISERROR(Z7),ISERROR(FuturesHWConvAdj!Q6:Q7)),ObjectOverwrite)</f>
        <v>USDFUT3MM4ConvAdj_Quote#0937</v>
      </c>
      <c r="AN7" s="68" t="str">
        <f>_xll.ohRangeRetrieveError(AM7)</f>
        <v/>
      </c>
      <c r="AO7" s="42"/>
    </row>
    <row r="8" spans="1:41" x14ac:dyDescent="0.2">
      <c r="A8" s="141"/>
      <c r="B8" s="140">
        <v>3</v>
      </c>
      <c r="C8" s="139" t="b">
        <v>0</v>
      </c>
      <c r="D8" s="138" t="str">
        <v>N4</v>
      </c>
      <c r="E8" s="137" t="str">
        <f t="shared" si="0"/>
        <v>USDFUT3MN4_Quote</v>
      </c>
      <c r="F8" s="136" t="str">
        <f>_xll.qlSimpleQuote(E8,,PriceTickValue,Permanent,Trigger,ObjectOverwrite)</f>
        <v>USDFUT3MN4_Quote#0000</v>
      </c>
      <c r="G8" s="99" t="str">
        <f>_xll.ohRangeRetrieveError(F8)</f>
        <v/>
      </c>
      <c r="H8" s="135"/>
      <c r="J8" s="295"/>
      <c r="K8" s="301">
        <v>3</v>
      </c>
      <c r="L8" s="300" t="b">
        <v>0</v>
      </c>
      <c r="M8" s="221" t="str">
        <v>N4</v>
      </c>
      <c r="N8" s="299">
        <v>41836</v>
      </c>
      <c r="O8" s="221" t="str">
        <v>EDN4</v>
      </c>
      <c r="P8" s="298">
        <v>41834</v>
      </c>
      <c r="Q8" s="221">
        <v>99.76</v>
      </c>
      <c r="R8" s="221">
        <v>99.77</v>
      </c>
      <c r="S8" s="221">
        <v>0</v>
      </c>
      <c r="T8" s="221">
        <v>99.765000000000001</v>
      </c>
      <c r="U8" s="225">
        <f>_xll.qlMidSafe($Q8,$R8)</f>
        <v>99.765000000000001</v>
      </c>
      <c r="V8" s="223"/>
      <c r="W8" s="302">
        <v>99.747500000000002</v>
      </c>
      <c r="X8" s="223"/>
      <c r="Y8" s="296">
        <v>99.765000000000001</v>
      </c>
      <c r="Z8" s="225">
        <f>_xll.qlSimpleQuoteSetValue(F8,Y8,Trigger)</f>
        <v>0</v>
      </c>
      <c r="AA8" s="42"/>
      <c r="AB8" s="19"/>
      <c r="AC8" s="79" t="s">
        <v>106</v>
      </c>
      <c r="AD8" s="77" t="s">
        <v>250</v>
      </c>
      <c r="AE8" s="19"/>
      <c r="AF8" s="258">
        <f t="shared" si="1"/>
        <v>9.9999999999909054E-5</v>
      </c>
      <c r="AH8" s="141"/>
      <c r="AI8" s="140">
        <v>3</v>
      </c>
      <c r="AJ8" s="138" t="b">
        <v>0</v>
      </c>
      <c r="AK8" s="138" t="str">
        <v>N4</v>
      </c>
      <c r="AL8" s="214" t="str">
        <f t="shared" si="2"/>
        <v>USDFUT3MN4ConvAdj_Quote</v>
      </c>
      <c r="AM8" s="213" t="str">
        <f>_xll.qlFuturesConvAdjustmentQuote(AL8,IborIndex,AK8,F8,Volatility,MeanReversion,Permanent,AND(ISERROR(Z8),ISERROR(FuturesHWConvAdj!Q7:Q8)),ObjectOverwrite)</f>
        <v>USDFUT3MN4ConvAdj_Quote#0937</v>
      </c>
      <c r="AN8" s="68" t="str">
        <f>_xll.ohRangeRetrieveError(AM8)</f>
        <v/>
      </c>
      <c r="AO8" s="42"/>
    </row>
    <row r="9" spans="1:41" x14ac:dyDescent="0.2">
      <c r="A9" s="141"/>
      <c r="B9" s="140">
        <v>4</v>
      </c>
      <c r="C9" s="139" t="b">
        <v>0</v>
      </c>
      <c r="D9" s="138" t="str">
        <v>Q4</v>
      </c>
      <c r="E9" s="137" t="str">
        <f t="shared" si="0"/>
        <v>USDFUT3MQ4_Quote</v>
      </c>
      <c r="F9" s="136" t="str">
        <f>_xll.qlSimpleQuote(E9,,PriceTickValue,Permanent,Trigger,ObjectOverwrite)</f>
        <v>USDFUT3MQ4_Quote#0000</v>
      </c>
      <c r="G9" s="99" t="str">
        <f>_xll.ohRangeRetrieveError(F9)</f>
        <v/>
      </c>
      <c r="H9" s="135"/>
      <c r="J9" s="295"/>
      <c r="K9" s="301">
        <v>4</v>
      </c>
      <c r="L9" s="300" t="b">
        <v>0</v>
      </c>
      <c r="M9" s="221" t="str">
        <v>Q4</v>
      </c>
      <c r="N9" s="299">
        <v>41871</v>
      </c>
      <c r="O9" s="221" t="str">
        <v>EDQ4</v>
      </c>
      <c r="P9" s="298">
        <v>41869</v>
      </c>
      <c r="Q9" s="221">
        <v>99.754999999999995</v>
      </c>
      <c r="R9" s="221">
        <v>99.765000000000001</v>
      </c>
      <c r="S9" s="221">
        <v>99.765000000000001</v>
      </c>
      <c r="T9" s="221">
        <v>99.76</v>
      </c>
      <c r="U9" s="225">
        <f>_xll.qlMidSafe($Q9,$R9)</f>
        <v>99.759999999999991</v>
      </c>
      <c r="V9" s="223"/>
      <c r="W9" s="302">
        <v>99.74</v>
      </c>
      <c r="X9" s="223"/>
      <c r="Y9" s="296">
        <v>99.759999999999991</v>
      </c>
      <c r="Z9" s="225">
        <f>_xll.qlSimpleQuoteSetValue(F9,Y9,Trigger)</f>
        <v>0</v>
      </c>
      <c r="AA9" s="42"/>
      <c r="AB9" s="19"/>
      <c r="AC9" s="79" t="s">
        <v>105</v>
      </c>
      <c r="AD9" s="77"/>
      <c r="AE9" s="19"/>
      <c r="AF9" s="258">
        <f t="shared" si="1"/>
        <v>1.0000000000019326E-4</v>
      </c>
      <c r="AH9" s="141"/>
      <c r="AI9" s="140">
        <v>4</v>
      </c>
      <c r="AJ9" s="138" t="b">
        <v>0</v>
      </c>
      <c r="AK9" s="138" t="str">
        <v>Q4</v>
      </c>
      <c r="AL9" s="214" t="str">
        <f t="shared" si="2"/>
        <v>USDFUT3MQ4ConvAdj_Quote</v>
      </c>
      <c r="AM9" s="213" t="str">
        <f>_xll.qlFuturesConvAdjustmentQuote(AL9,IborIndex,AK9,F9,Volatility,MeanReversion,Permanent,AND(ISERROR(Z9),ISERROR(FuturesHWConvAdj!Q8:Q9)),ObjectOverwrite)</f>
        <v>USDFUT3MQ4ConvAdj_Quote#0937</v>
      </c>
      <c r="AN9" s="68" t="str">
        <f>_xll.ohRangeRetrieveError(AM9)</f>
        <v/>
      </c>
      <c r="AO9" s="42"/>
    </row>
    <row r="10" spans="1:41" ht="12" thickBot="1" x14ac:dyDescent="0.25">
      <c r="A10" s="141"/>
      <c r="B10" s="140">
        <v>5</v>
      </c>
      <c r="C10" s="139" t="b">
        <v>0</v>
      </c>
      <c r="D10" s="138" t="str">
        <v>U4</v>
      </c>
      <c r="E10" s="137" t="str">
        <f t="shared" si="0"/>
        <v>USDFUT3MU4_Quote</v>
      </c>
      <c r="F10" s="136" t="str">
        <f>_xll.qlSimpleQuote(E10,,PriceTickValue,Permanent,Trigger,ObjectOverwrite)</f>
        <v>USDFUT3MU4_Quote#0000</v>
      </c>
      <c r="G10" s="99" t="str">
        <f>_xll.ohRangeRetrieveError(F10)</f>
        <v/>
      </c>
      <c r="H10" s="135"/>
      <c r="I10" s="459"/>
      <c r="J10" s="295"/>
      <c r="K10" s="301">
        <v>5</v>
      </c>
      <c r="L10" s="300" t="b">
        <v>0</v>
      </c>
      <c r="M10" s="221" t="str">
        <v>U4</v>
      </c>
      <c r="N10" s="299">
        <v>41899</v>
      </c>
      <c r="O10" s="221" t="str">
        <v>EDU4</v>
      </c>
      <c r="P10" s="298">
        <v>41897</v>
      </c>
      <c r="Q10" s="221">
        <v>99.75</v>
      </c>
      <c r="R10" s="221">
        <v>99.754999999999995</v>
      </c>
      <c r="S10" s="221">
        <v>99.75</v>
      </c>
      <c r="T10" s="221">
        <v>99.75</v>
      </c>
      <c r="U10" s="225">
        <f>_xll.qlMidSafe($Q10,$R10)</f>
        <v>99.752499999999998</v>
      </c>
      <c r="V10" s="223"/>
      <c r="W10" s="297">
        <v>99.724999999999994</v>
      </c>
      <c r="X10" s="223"/>
      <c r="Y10" s="296">
        <v>99.752499999999998</v>
      </c>
      <c r="Z10" s="225">
        <f>_xll.qlSimpleQuoteSetValue(F10,Y10,Trigger)</f>
        <v>0</v>
      </c>
      <c r="AA10" s="42"/>
      <c r="AB10" s="19"/>
      <c r="AC10" s="76" t="s">
        <v>100</v>
      </c>
      <c r="AD10" s="74" t="s">
        <v>249</v>
      </c>
      <c r="AE10" s="19"/>
      <c r="AF10" s="258">
        <f t="shared" si="1"/>
        <v>4.9999999999954527E-5</v>
      </c>
      <c r="AH10" s="141"/>
      <c r="AI10" s="140">
        <v>5</v>
      </c>
      <c r="AJ10" s="138" t="b">
        <v>0</v>
      </c>
      <c r="AK10" s="138" t="str">
        <v>U4</v>
      </c>
      <c r="AL10" s="214" t="str">
        <f t="shared" si="2"/>
        <v>USDFUT3MU4ConvAdj_Quote</v>
      </c>
      <c r="AM10" s="213" t="str">
        <f>_xll.qlFuturesConvAdjustmentQuote(AL10,IborIndex,AK10,F10,Volatility,MeanReversion,Permanent,AND(ISERROR(Z10),ISERROR(FuturesHWConvAdj!Q9:Q10)),ObjectOverwrite)</f>
        <v>USDFUT3MU4ConvAdj_Quote#0937</v>
      </c>
      <c r="AN10" s="68" t="str">
        <f>_xll.ohRangeRetrieveError(AM10)</f>
        <v/>
      </c>
      <c r="AO10" s="42"/>
    </row>
    <row r="11" spans="1:41" x14ac:dyDescent="0.2">
      <c r="A11" s="141"/>
      <c r="B11" s="140">
        <v>6</v>
      </c>
      <c r="C11" s="139" t="b">
        <v>0</v>
      </c>
      <c r="D11" s="138" t="str">
        <v>V4</v>
      </c>
      <c r="E11" s="137" t="str">
        <f t="shared" si="0"/>
        <v>USDFUT3MV4_Quote</v>
      </c>
      <c r="F11" s="136" t="str">
        <f>_xll.qlSimpleQuote(E11,,PriceTickValue,Permanent,Trigger,ObjectOverwrite)</f>
        <v>USDFUT3MV4_Quote#0000</v>
      </c>
      <c r="G11" s="99" t="str">
        <f>_xll.ohRangeRetrieveError(F11)</f>
        <v/>
      </c>
      <c r="H11" s="135"/>
      <c r="J11" s="295"/>
      <c r="K11" s="301">
        <v>6</v>
      </c>
      <c r="L11" s="300" t="b">
        <v>0</v>
      </c>
      <c r="M11" s="221" t="str">
        <v>V4</v>
      </c>
      <c r="N11" s="299">
        <v>41927</v>
      </c>
      <c r="O11" s="221" t="str">
        <v>EDV4</v>
      </c>
      <c r="P11" s="298">
        <v>41925</v>
      </c>
      <c r="Q11" s="221">
        <v>99.745000000000005</v>
      </c>
      <c r="R11" s="221">
        <v>99.75</v>
      </c>
      <c r="S11" s="221">
        <v>0</v>
      </c>
      <c r="T11" s="221">
        <v>99.745000000000005</v>
      </c>
      <c r="U11" s="225">
        <f>_xll.qlMidSafe($Q11,$R11)</f>
        <v>99.747500000000002</v>
      </c>
      <c r="V11" s="223"/>
      <c r="W11" s="297">
        <v>99.707499999999996</v>
      </c>
      <c r="X11" s="223"/>
      <c r="Y11" s="296">
        <v>99.747500000000002</v>
      </c>
      <c r="Z11" s="225">
        <f>_xll.qlSimpleQuoteSetValue(F11,Y11,Trigger)</f>
        <v>0</v>
      </c>
      <c r="AA11" s="42"/>
      <c r="AB11" s="19"/>
      <c r="AC11" s="19"/>
      <c r="AD11" s="19"/>
      <c r="AE11" s="19"/>
      <c r="AF11" s="258">
        <f t="shared" si="1"/>
        <v>4.9999999999954527E-5</v>
      </c>
      <c r="AH11" s="141"/>
      <c r="AI11" s="140">
        <v>6</v>
      </c>
      <c r="AJ11" s="138" t="b">
        <v>0</v>
      </c>
      <c r="AK11" s="138" t="str">
        <v>V4</v>
      </c>
      <c r="AL11" s="214" t="str">
        <f t="shared" si="2"/>
        <v>USDFUT3MV4ConvAdj_Quote</v>
      </c>
      <c r="AM11" s="213" t="str">
        <f>_xll.qlFuturesConvAdjustmentQuote(AL11,IborIndex,AK11,F11,Volatility,MeanReversion,Permanent,AND(ISERROR(Z11),ISERROR(FuturesHWConvAdj!Q10:Q11)),ObjectOverwrite)</f>
        <v>USDFUT3MV4ConvAdj_Quote#0937</v>
      </c>
      <c r="AN11" s="68" t="str">
        <f>_xll.ohRangeRetrieveError(AM11)</f>
        <v/>
      </c>
      <c r="AO11" s="42"/>
    </row>
    <row r="12" spans="1:41" x14ac:dyDescent="0.2">
      <c r="A12" s="141"/>
      <c r="B12" s="140">
        <v>7</v>
      </c>
      <c r="C12" s="139" t="b">
        <v>0</v>
      </c>
      <c r="D12" s="138" t="str">
        <v>X4</v>
      </c>
      <c r="E12" s="137" t="str">
        <f t="shared" si="0"/>
        <v>USDFUT3MX4_Quote</v>
      </c>
      <c r="F12" s="136" t="str">
        <f>_xll.qlSimpleQuote(E12,,PriceTickValue,Permanent,Trigger,ObjectOverwrite)</f>
        <v>USDFUT3MX4_Quote#0000</v>
      </c>
      <c r="G12" s="99" t="str">
        <f>_xll.ohRangeRetrieveError(F12)</f>
        <v/>
      </c>
      <c r="H12" s="135"/>
      <c r="J12" s="295"/>
      <c r="K12" s="301">
        <v>7</v>
      </c>
      <c r="L12" s="300" t="b">
        <v>0</v>
      </c>
      <c r="M12" s="221" t="str">
        <v>X4</v>
      </c>
      <c r="N12" s="299">
        <v>41962</v>
      </c>
      <c r="O12" s="221" t="str">
        <v>EDX4</v>
      </c>
      <c r="P12" s="298" t="s">
        <v>219</v>
      </c>
      <c r="Q12" s="221" t="s">
        <v>219</v>
      </c>
      <c r="R12" s="221" t="s">
        <v>219</v>
      </c>
      <c r="S12" s="221" t="s">
        <v>219</v>
      </c>
      <c r="T12" s="221" t="s">
        <v>219</v>
      </c>
      <c r="U12" s="225" t="e">
        <f>_xll.qlMidSafe($Q12,$R12)</f>
        <v>#NUM!</v>
      </c>
      <c r="V12" s="223"/>
      <c r="W12" s="297">
        <v>99.692499999999995</v>
      </c>
      <c r="X12" s="223"/>
      <c r="Y12" s="296" t="e">
        <v>#NUM!</v>
      </c>
      <c r="Z12" s="225" t="e">
        <f>_xll.qlSimpleQuoteSetValue(F12,Y12,Trigger)</f>
        <v>#NUM!</v>
      </c>
      <c r="AA12" s="42"/>
      <c r="AB12" s="19"/>
      <c r="AC12" s="19"/>
      <c r="AD12" s="19"/>
      <c r="AE12" s="19"/>
      <c r="AF12" s="258" t="e">
        <f t="shared" si="1"/>
        <v>#VALUE!</v>
      </c>
      <c r="AH12" s="141"/>
      <c r="AI12" s="140">
        <v>7</v>
      </c>
      <c r="AJ12" s="138" t="b">
        <v>0</v>
      </c>
      <c r="AK12" s="138" t="str">
        <v>X4</v>
      </c>
      <c r="AL12" s="214" t="str">
        <f t="shared" si="2"/>
        <v>USDFUT3MX4ConvAdj_Quote</v>
      </c>
      <c r="AM12" s="213" t="str">
        <f>_xll.qlFuturesConvAdjustmentQuote(AL12,IborIndex,AK12,F12,Volatility,MeanReversion,Permanent,AND(ISERROR(Z12),ISERROR(FuturesHWConvAdj!Q11:Q12)),ObjectOverwrite)</f>
        <v>USDFUT3MX4ConvAdj_Quote#0937</v>
      </c>
      <c r="AN12" s="68" t="str">
        <f>_xll.ohRangeRetrieveError(AM12)</f>
        <v/>
      </c>
      <c r="AO12" s="42"/>
    </row>
    <row r="13" spans="1:41" x14ac:dyDescent="0.2">
      <c r="A13" s="141"/>
      <c r="B13" s="140">
        <v>8</v>
      </c>
      <c r="C13" s="139" t="b">
        <v>0</v>
      </c>
      <c r="D13" s="138" t="str">
        <v>Z4</v>
      </c>
      <c r="E13" s="137" t="str">
        <f t="shared" si="0"/>
        <v>USDFUT3MZ4_Quote</v>
      </c>
      <c r="F13" s="136" t="str">
        <f>_xll.qlSimpleQuote(E13,,PriceTickValue,Permanent,Trigger,ObjectOverwrite)</f>
        <v>USDFUT3MZ4_Quote#0000</v>
      </c>
      <c r="G13" s="99" t="str">
        <f>_xll.ohRangeRetrieveError(F13)</f>
        <v/>
      </c>
      <c r="H13" s="135"/>
      <c r="J13" s="295"/>
      <c r="K13" s="301">
        <v>8</v>
      </c>
      <c r="L13" s="300" t="b">
        <v>0</v>
      </c>
      <c r="M13" s="221" t="str">
        <v>Z4</v>
      </c>
      <c r="N13" s="299">
        <v>41990</v>
      </c>
      <c r="O13" s="221" t="str">
        <v>EDZ4</v>
      </c>
      <c r="P13" s="298">
        <v>41988</v>
      </c>
      <c r="Q13" s="221">
        <v>99.71</v>
      </c>
      <c r="R13" s="221">
        <v>99.715000000000003</v>
      </c>
      <c r="S13" s="221">
        <v>99.71</v>
      </c>
      <c r="T13" s="221">
        <v>99.715000000000003</v>
      </c>
      <c r="U13" s="225">
        <f>_xll.qlMidSafe($Q13,$R13)</f>
        <v>99.712500000000006</v>
      </c>
      <c r="V13" s="223"/>
      <c r="W13" s="297">
        <v>99.647499999999994</v>
      </c>
      <c r="X13" s="223"/>
      <c r="Y13" s="296">
        <v>99.712500000000006</v>
      </c>
      <c r="Z13" s="225">
        <f>_xll.qlSimpleQuoteSetValue(F13,Y13,Trigger)</f>
        <v>0</v>
      </c>
      <c r="AA13" s="42"/>
      <c r="AB13" s="19"/>
      <c r="AC13" s="19"/>
      <c r="AD13" s="19"/>
      <c r="AE13" s="19"/>
      <c r="AF13" s="258">
        <f t="shared" si="1"/>
        <v>4.9999999999954527E-5</v>
      </c>
      <c r="AH13" s="141"/>
      <c r="AI13" s="140">
        <v>8</v>
      </c>
      <c r="AJ13" s="138" t="b">
        <v>0</v>
      </c>
      <c r="AK13" s="138" t="str">
        <v>Z4</v>
      </c>
      <c r="AL13" s="214" t="str">
        <f t="shared" si="2"/>
        <v>USDFUT3MZ4ConvAdj_Quote</v>
      </c>
      <c r="AM13" s="213" t="str">
        <f>_xll.qlFuturesConvAdjustmentQuote(AL13,IborIndex,AK13,F13,Volatility,MeanReversion,Permanent,AND(ISERROR(Z13),ISERROR(FuturesHWConvAdj!Q12:Q13)),ObjectOverwrite)</f>
        <v>USDFUT3MZ4ConvAdj_Quote#0937</v>
      </c>
      <c r="AN13" s="68" t="str">
        <f>_xll.ohRangeRetrieveError(AM13)</f>
        <v/>
      </c>
      <c r="AO13" s="42"/>
    </row>
    <row r="14" spans="1:41" x14ac:dyDescent="0.2">
      <c r="A14" s="141"/>
      <c r="B14" s="140">
        <v>9</v>
      </c>
      <c r="C14" s="139" t="b">
        <v>0</v>
      </c>
      <c r="D14" s="138" t="str">
        <v>F5</v>
      </c>
      <c r="E14" s="137" t="str">
        <f t="shared" si="0"/>
        <v>USDFUT3MF5_Quote</v>
      </c>
      <c r="F14" s="136" t="str">
        <f>_xll.qlSimpleQuote(E14,,PriceTickValue,Permanent,Trigger,ObjectOverwrite)</f>
        <v>USDFUT3MF5_Quote#0000</v>
      </c>
      <c r="G14" s="99" t="str">
        <f>_xll.ohRangeRetrieveError(F14)</f>
        <v/>
      </c>
      <c r="H14" s="135"/>
      <c r="J14" s="295"/>
      <c r="K14" s="301">
        <v>9</v>
      </c>
      <c r="L14" s="300" t="b">
        <v>0</v>
      </c>
      <c r="M14" s="221" t="str">
        <v>F5</v>
      </c>
      <c r="N14" s="299">
        <v>42025</v>
      </c>
      <c r="O14" s="221" t="str">
        <v>EDF5</v>
      </c>
      <c r="P14" s="298" t="s">
        <v>219</v>
      </c>
      <c r="Q14" s="221" t="s">
        <v>219</v>
      </c>
      <c r="R14" s="221" t="s">
        <v>219</v>
      </c>
      <c r="S14" s="221" t="s">
        <v>219</v>
      </c>
      <c r="T14" s="221" t="s">
        <v>219</v>
      </c>
      <c r="U14" s="225" t="e">
        <f>_xll.qlMidSafe($Q14,$R14)</f>
        <v>#NUM!</v>
      </c>
      <c r="V14" s="223"/>
      <c r="W14" s="297">
        <v>99.647499999999994</v>
      </c>
      <c r="X14" s="223"/>
      <c r="Y14" s="296" t="e">
        <v>#NUM!</v>
      </c>
      <c r="Z14" s="225" t="e">
        <f>_xll.qlSimpleQuoteSetValue(F14,Y14,Trigger)</f>
        <v>#NUM!</v>
      </c>
      <c r="AA14" s="42"/>
      <c r="AB14" s="19"/>
      <c r="AC14" s="19"/>
      <c r="AD14" s="19"/>
      <c r="AE14" s="19"/>
      <c r="AF14" s="258" t="e">
        <f t="shared" si="1"/>
        <v>#VALUE!</v>
      </c>
      <c r="AH14" s="141"/>
      <c r="AI14" s="140">
        <v>9</v>
      </c>
      <c r="AJ14" s="138" t="b">
        <v>0</v>
      </c>
      <c r="AK14" s="138" t="str">
        <v>F5</v>
      </c>
      <c r="AL14" s="214" t="str">
        <f t="shared" si="2"/>
        <v>USDFUT3MF5ConvAdj_Quote</v>
      </c>
      <c r="AM14" s="213" t="str">
        <f>_xll.qlFuturesConvAdjustmentQuote(AL14,IborIndex,AK14,F14,Volatility,MeanReversion,Permanent,AND(ISERROR(Z14),ISERROR(FuturesHWConvAdj!Q13:Q14)),ObjectOverwrite)</f>
        <v>USDFUT3MF5ConvAdj_Quote#0937</v>
      </c>
      <c r="AN14" s="68" t="str">
        <f>_xll.ohRangeRetrieveError(AM14)</f>
        <v/>
      </c>
      <c r="AO14" s="42"/>
    </row>
    <row r="15" spans="1:41" x14ac:dyDescent="0.2">
      <c r="A15" s="141"/>
      <c r="B15" s="140">
        <v>10</v>
      </c>
      <c r="C15" s="139" t="b">
        <v>0</v>
      </c>
      <c r="D15" s="138" t="str">
        <v>G5</v>
      </c>
      <c r="E15" s="137" t="str">
        <f t="shared" si="0"/>
        <v>USDFUT3MG5_Quote</v>
      </c>
      <c r="F15" s="136" t="str">
        <f>_xll.qlSimpleQuote(E15,,PriceTickValue,Permanent,Trigger,ObjectOverwrite)</f>
        <v>USDFUT3MG5_Quote#0000</v>
      </c>
      <c r="G15" s="99" t="str">
        <f>_xll.ohRangeRetrieveError(F15)</f>
        <v/>
      </c>
      <c r="H15" s="135"/>
      <c r="J15" s="295"/>
      <c r="K15" s="301">
        <v>10</v>
      </c>
      <c r="L15" s="300" t="b">
        <v>0</v>
      </c>
      <c r="M15" s="221" t="str">
        <v>G5</v>
      </c>
      <c r="N15" s="299">
        <v>42053</v>
      </c>
      <c r="O15" s="221" t="str">
        <v>EDG5</v>
      </c>
      <c r="P15" s="298" t="s">
        <v>219</v>
      </c>
      <c r="Q15" s="221" t="s">
        <v>219</v>
      </c>
      <c r="R15" s="221" t="s">
        <v>219</v>
      </c>
      <c r="S15" s="221" t="s">
        <v>219</v>
      </c>
      <c r="T15" s="221" t="s">
        <v>219</v>
      </c>
      <c r="U15" s="225" t="e">
        <f>_xll.qlMidSafe($Q15,$R15)</f>
        <v>#NUM!</v>
      </c>
      <c r="V15" s="223"/>
      <c r="W15" s="297" t="e">
        <v>#NUM!</v>
      </c>
      <c r="X15" s="223"/>
      <c r="Y15" s="296" t="e">
        <v>#NUM!</v>
      </c>
      <c r="Z15" s="225" t="e">
        <f>_xll.qlSimpleQuoteSetValue(F15,Y15,Trigger)</f>
        <v>#NUM!</v>
      </c>
      <c r="AA15" s="42"/>
      <c r="AB15" s="19"/>
      <c r="AC15" s="19"/>
      <c r="AD15" s="19"/>
      <c r="AE15" s="19"/>
      <c r="AF15" s="258" t="e">
        <f t="shared" si="1"/>
        <v>#VALUE!</v>
      </c>
      <c r="AH15" s="141"/>
      <c r="AI15" s="140">
        <v>10</v>
      </c>
      <c r="AJ15" s="138" t="b">
        <v>0</v>
      </c>
      <c r="AK15" s="138" t="str">
        <v>G5</v>
      </c>
      <c r="AL15" s="214" t="str">
        <f t="shared" si="2"/>
        <v>USDFUT3MG5ConvAdj_Quote</v>
      </c>
      <c r="AM15" s="213" t="str">
        <f>_xll.qlFuturesConvAdjustmentQuote(AL15,IborIndex,AK15,F15,Volatility,MeanReversion,Permanent,AND(ISERROR(Z15),ISERROR(FuturesHWConvAdj!Q14:Q15)),ObjectOverwrite)</f>
        <v>USDFUT3MG5ConvAdj_Quote#0937</v>
      </c>
      <c r="AN15" s="68" t="str">
        <f>_xll.ohRangeRetrieveError(AM15)</f>
        <v/>
      </c>
      <c r="AO15" s="42"/>
    </row>
    <row r="16" spans="1:41" x14ac:dyDescent="0.2">
      <c r="A16" s="141"/>
      <c r="B16" s="140">
        <v>11</v>
      </c>
      <c r="C16" s="139" t="b">
        <v>0</v>
      </c>
      <c r="D16" s="138" t="str">
        <v>H5</v>
      </c>
      <c r="E16" s="137" t="str">
        <f t="shared" si="0"/>
        <v>USDFUT3MH5_Quote</v>
      </c>
      <c r="F16" s="136" t="str">
        <f>_xll.qlSimpleQuote(E16,,PriceTickValue,Permanent,Trigger,ObjectOverwrite)</f>
        <v>USDFUT3MH5_Quote#0000</v>
      </c>
      <c r="G16" s="99" t="str">
        <f>_xll.ohRangeRetrieveError(F16)</f>
        <v/>
      </c>
      <c r="H16" s="135"/>
      <c r="J16" s="295"/>
      <c r="K16" s="301">
        <v>11</v>
      </c>
      <c r="L16" s="300" t="b">
        <v>0</v>
      </c>
      <c r="M16" s="221" t="str">
        <v>H5</v>
      </c>
      <c r="N16" s="299">
        <v>42081</v>
      </c>
      <c r="O16" s="221" t="str">
        <v>EDH5</v>
      </c>
      <c r="P16" s="298">
        <v>42079</v>
      </c>
      <c r="Q16" s="221">
        <v>99.614999999999995</v>
      </c>
      <c r="R16" s="221">
        <v>99.62</v>
      </c>
      <c r="S16" s="221">
        <v>99.614999999999995</v>
      </c>
      <c r="T16" s="221">
        <v>99.625</v>
      </c>
      <c r="U16" s="225">
        <f>_xll.qlMidSafe($Q16,$R16)</f>
        <v>99.617500000000007</v>
      </c>
      <c r="V16" s="223"/>
      <c r="W16" s="297">
        <v>99.5625</v>
      </c>
      <c r="X16" s="223"/>
      <c r="Y16" s="296">
        <v>99.617500000000007</v>
      </c>
      <c r="Z16" s="225">
        <f>_xll.qlSimpleQuoteSetValue(F16,Y16,Trigger)</f>
        <v>0</v>
      </c>
      <c r="AA16" s="42"/>
      <c r="AB16" s="19"/>
      <c r="AC16" s="19"/>
      <c r="AD16" s="19"/>
      <c r="AE16" s="19"/>
      <c r="AF16" s="258">
        <f t="shared" si="1"/>
        <v>4.9999999999954527E-5</v>
      </c>
      <c r="AH16" s="141"/>
      <c r="AI16" s="140">
        <v>11</v>
      </c>
      <c r="AJ16" s="138" t="b">
        <v>0</v>
      </c>
      <c r="AK16" s="138" t="str">
        <v>H5</v>
      </c>
      <c r="AL16" s="214" t="str">
        <f t="shared" si="2"/>
        <v>USDFUT3MH5ConvAdj_Quote</v>
      </c>
      <c r="AM16" s="213" t="str">
        <f>_xll.qlFuturesConvAdjustmentQuote(AL16,IborIndex,AK16,F16,Volatility,MeanReversion,Permanent,AND(ISERROR(Z16),ISERROR(FuturesHWConvAdj!Q15:Q16)),ObjectOverwrite)</f>
        <v>USDFUT3MH5ConvAdj_Quote#0937</v>
      </c>
      <c r="AN16" s="68" t="str">
        <f>_xll.ohRangeRetrieveError(AM16)</f>
        <v/>
      </c>
      <c r="AO16" s="42"/>
    </row>
    <row r="17" spans="1:41" x14ac:dyDescent="0.2">
      <c r="A17" s="141"/>
      <c r="B17" s="140">
        <v>12</v>
      </c>
      <c r="C17" s="139" t="b">
        <v>0</v>
      </c>
      <c r="D17" s="138" t="str">
        <v>J5</v>
      </c>
      <c r="E17" s="137" t="str">
        <f t="shared" si="0"/>
        <v>USDFUT3MJ5_Quote</v>
      </c>
      <c r="F17" s="136" t="str">
        <f>_xll.qlSimpleQuote(E17,,PriceTickValue,Permanent,Trigger,ObjectOverwrite)</f>
        <v>USDFUT3MJ5_Quote#0000</v>
      </c>
      <c r="G17" s="99" t="str">
        <f>_xll.ohRangeRetrieveError(F17)</f>
        <v/>
      </c>
      <c r="H17" s="135"/>
      <c r="J17" s="295"/>
      <c r="K17" s="301">
        <v>12</v>
      </c>
      <c r="L17" s="300" t="b">
        <v>0</v>
      </c>
      <c r="M17" s="221" t="str">
        <v>J5</v>
      </c>
      <c r="N17" s="299">
        <v>42109</v>
      </c>
      <c r="O17" s="221" t="str">
        <v>EDJ5</v>
      </c>
      <c r="P17" s="298" t="s">
        <v>219</v>
      </c>
      <c r="Q17" s="221" t="s">
        <v>219</v>
      </c>
      <c r="R17" s="221" t="s">
        <v>219</v>
      </c>
      <c r="S17" s="221" t="s">
        <v>219</v>
      </c>
      <c r="T17" s="221" t="s">
        <v>219</v>
      </c>
      <c r="U17" s="225" t="e">
        <f>_xll.qlMidSafe($Q17,$R17)</f>
        <v>#NUM!</v>
      </c>
      <c r="V17" s="223"/>
      <c r="W17" s="297">
        <v>99.5625</v>
      </c>
      <c r="X17" s="223"/>
      <c r="Y17" s="296" t="e">
        <v>#NUM!</v>
      </c>
      <c r="Z17" s="225" t="e">
        <f>_xll.qlSimpleQuoteSetValue(F17,Y17,Trigger)</f>
        <v>#NUM!</v>
      </c>
      <c r="AA17" s="42"/>
      <c r="AB17" s="19"/>
      <c r="AC17" s="19"/>
      <c r="AD17" s="19"/>
      <c r="AE17" s="19"/>
      <c r="AF17" s="258" t="e">
        <f t="shared" si="1"/>
        <v>#VALUE!</v>
      </c>
      <c r="AH17" s="141"/>
      <c r="AI17" s="140">
        <v>12</v>
      </c>
      <c r="AJ17" s="138" t="b">
        <v>0</v>
      </c>
      <c r="AK17" s="138" t="str">
        <v>J5</v>
      </c>
      <c r="AL17" s="214" t="str">
        <f t="shared" si="2"/>
        <v>USDFUT3MJ5ConvAdj_Quote</v>
      </c>
      <c r="AM17" s="213" t="str">
        <f>_xll.qlFuturesConvAdjustmentQuote(AL17,IborIndex,AK17,F17,Volatility,MeanReversion,Permanent,AND(ISERROR(Z17),ISERROR(FuturesHWConvAdj!Q16:Q17)),ObjectOverwrite)</f>
        <v>USDFUT3MJ5ConvAdj_Quote#0937</v>
      </c>
      <c r="AN17" s="68" t="str">
        <f>_xll.ohRangeRetrieveError(AM17)</f>
        <v/>
      </c>
      <c r="AO17" s="42"/>
    </row>
    <row r="18" spans="1:41" x14ac:dyDescent="0.2">
      <c r="A18" s="141"/>
      <c r="B18" s="140">
        <v>13</v>
      </c>
      <c r="C18" s="139" t="b">
        <v>1</v>
      </c>
      <c r="D18" s="138" t="str">
        <v>M5</v>
      </c>
      <c r="E18" s="137" t="str">
        <f t="shared" si="0"/>
        <v>USDFUT3MM5_Quote</v>
      </c>
      <c r="F18" s="136" t="str">
        <f>_xll.qlSimpleQuote(E18,,PriceTickValue,Permanent,Trigger,ObjectOverwrite)</f>
        <v>USDFUT3MM5_Quote#0000</v>
      </c>
      <c r="G18" s="99" t="str">
        <f>_xll.ohRangeRetrieveError(F18)</f>
        <v/>
      </c>
      <c r="H18" s="135"/>
      <c r="J18" s="295"/>
      <c r="K18" s="301">
        <v>13</v>
      </c>
      <c r="L18" s="300" t="b">
        <v>1</v>
      </c>
      <c r="M18" s="221" t="str">
        <v>M5</v>
      </c>
      <c r="N18" s="299">
        <v>42172</v>
      </c>
      <c r="O18" s="221" t="str">
        <v>EDM5</v>
      </c>
      <c r="P18" s="298">
        <v>42170</v>
      </c>
      <c r="Q18" s="221">
        <v>99.43</v>
      </c>
      <c r="R18" s="221">
        <v>99.435000000000002</v>
      </c>
      <c r="S18" s="221">
        <v>99.435000000000002</v>
      </c>
      <c r="T18" s="221">
        <v>99.444999999999993</v>
      </c>
      <c r="U18" s="225">
        <f>_xll.qlMidSafe($Q18,$R18)</f>
        <v>99.432500000000005</v>
      </c>
      <c r="V18" s="223"/>
      <c r="W18" s="297">
        <v>99.4375</v>
      </c>
      <c r="X18" s="223"/>
      <c r="Y18" s="296">
        <v>99.432500000000005</v>
      </c>
      <c r="Z18" s="225">
        <f>_xll.qlSimpleQuoteSetValue(F18,Y18,Trigger)</f>
        <v>0</v>
      </c>
      <c r="AA18" s="42"/>
      <c r="AB18" s="19"/>
      <c r="AC18" s="19"/>
      <c r="AD18" s="19"/>
      <c r="AE18" s="19"/>
      <c r="AF18" s="258">
        <f t="shared" si="1"/>
        <v>4.9999999999954527E-5</v>
      </c>
      <c r="AH18" s="141"/>
      <c r="AI18" s="140">
        <v>13</v>
      </c>
      <c r="AJ18" s="138" t="b">
        <v>1</v>
      </c>
      <c r="AK18" s="138" t="str">
        <v>M5</v>
      </c>
      <c r="AL18" s="214" t="str">
        <f t="shared" si="2"/>
        <v>USDFUT3MM5ConvAdj_Quote</v>
      </c>
      <c r="AM18" s="213" t="str">
        <f>_xll.qlFuturesConvAdjustmentQuote(AL18,IborIndex,AK18,F18,Volatility,MeanReversion,Permanent,AND(ISERROR(Z18),ISERROR(FuturesHWConvAdj!Q17:Q18)),ObjectOverwrite)</f>
        <v>USDFUT3MM5ConvAdj_Quote#0937</v>
      </c>
      <c r="AN18" s="68" t="str">
        <f>_xll.ohRangeRetrieveError(AM18)</f>
        <v/>
      </c>
      <c r="AO18" s="42"/>
    </row>
    <row r="19" spans="1:41" x14ac:dyDescent="0.2">
      <c r="A19" s="141"/>
      <c r="B19" s="140">
        <v>14</v>
      </c>
      <c r="C19" s="139" t="b">
        <v>1</v>
      </c>
      <c r="D19" s="138" t="str">
        <v>U5</v>
      </c>
      <c r="E19" s="137" t="str">
        <f t="shared" si="0"/>
        <v>USDFUT3MU5_Quote</v>
      </c>
      <c r="F19" s="136" t="str">
        <f>_xll.qlSimpleQuote(E19,,PriceTickValue,Permanent,Trigger,ObjectOverwrite)</f>
        <v>USDFUT3MU5_Quote#0000</v>
      </c>
      <c r="G19" s="99" t="str">
        <f>_xll.ohRangeRetrieveError(F19)</f>
        <v/>
      </c>
      <c r="H19" s="135"/>
      <c r="J19" s="295"/>
      <c r="K19" s="301">
        <v>14</v>
      </c>
      <c r="L19" s="300" t="b">
        <v>1</v>
      </c>
      <c r="M19" s="221" t="str">
        <v>U5</v>
      </c>
      <c r="N19" s="299">
        <v>42263</v>
      </c>
      <c r="O19" s="221" t="str">
        <v>EDU5</v>
      </c>
      <c r="P19" s="298">
        <v>42261</v>
      </c>
      <c r="Q19" s="221">
        <v>99.185000000000002</v>
      </c>
      <c r="R19" s="221">
        <v>99.19</v>
      </c>
      <c r="S19" s="221">
        <v>99.185000000000002</v>
      </c>
      <c r="T19" s="221">
        <v>99.204999999999998</v>
      </c>
      <c r="U19" s="225">
        <f>_xll.qlMidSafe($Q19,$R19)</f>
        <v>99.1875</v>
      </c>
      <c r="V19" s="223"/>
      <c r="W19" s="297">
        <v>99.272499999999994</v>
      </c>
      <c r="X19" s="223"/>
      <c r="Y19" s="296">
        <v>99.1875</v>
      </c>
      <c r="Z19" s="225">
        <f>_xll.qlSimpleQuoteSetValue(F19,Y19,Trigger)</f>
        <v>0</v>
      </c>
      <c r="AA19" s="42"/>
      <c r="AB19" s="19"/>
      <c r="AC19" s="19"/>
      <c r="AD19" s="19"/>
      <c r="AE19" s="19"/>
      <c r="AF19" s="258">
        <f t="shared" si="1"/>
        <v>4.9999999999954527E-5</v>
      </c>
      <c r="AH19" s="141"/>
      <c r="AI19" s="140">
        <v>14</v>
      </c>
      <c r="AJ19" s="138" t="b">
        <v>1</v>
      </c>
      <c r="AK19" s="138" t="str">
        <v>U5</v>
      </c>
      <c r="AL19" s="214" t="str">
        <f t="shared" si="2"/>
        <v>USDFUT3MU5ConvAdj_Quote</v>
      </c>
      <c r="AM19" s="213" t="str">
        <f>_xll.qlFuturesConvAdjustmentQuote(AL19,IborIndex,AK19,F19,Volatility,MeanReversion,Permanent,AND(ISERROR(Z19),ISERROR(FuturesHWConvAdj!Q18:Q19)),ObjectOverwrite)</f>
        <v>USDFUT3MU5ConvAdj_Quote#0937</v>
      </c>
      <c r="AN19" s="68" t="str">
        <f>_xll.ohRangeRetrieveError(AM19)</f>
        <v/>
      </c>
      <c r="AO19" s="42"/>
    </row>
    <row r="20" spans="1:41" x14ac:dyDescent="0.2">
      <c r="A20" s="141"/>
      <c r="B20" s="140">
        <v>15</v>
      </c>
      <c r="C20" s="139" t="b">
        <v>1</v>
      </c>
      <c r="D20" s="138" t="str">
        <v>Z5</v>
      </c>
      <c r="E20" s="137" t="str">
        <f t="shared" si="0"/>
        <v>USDFUT3MZ5_Quote</v>
      </c>
      <c r="F20" s="136" t="str">
        <f>_xll.qlSimpleQuote(E20,,PriceTickValue,Permanent,Trigger,ObjectOverwrite)</f>
        <v>USDFUT3MZ5_Quote#0000</v>
      </c>
      <c r="G20" s="99" t="str">
        <f>_xll.ohRangeRetrieveError(F20)</f>
        <v/>
      </c>
      <c r="H20" s="135"/>
      <c r="J20" s="295"/>
      <c r="K20" s="301">
        <v>15</v>
      </c>
      <c r="L20" s="300" t="b">
        <v>1</v>
      </c>
      <c r="M20" s="221" t="str">
        <v>Z5</v>
      </c>
      <c r="N20" s="299">
        <v>42354</v>
      </c>
      <c r="O20" s="221" t="str">
        <v>EDZ5</v>
      </c>
      <c r="P20" s="298">
        <v>42352</v>
      </c>
      <c r="Q20" s="221">
        <v>98.89</v>
      </c>
      <c r="R20" s="221">
        <v>98.894999999999996</v>
      </c>
      <c r="S20" s="221">
        <v>98.89</v>
      </c>
      <c r="T20" s="221">
        <v>98.915000000000006</v>
      </c>
      <c r="U20" s="225">
        <f>_xll.qlMidSafe($Q20,$R20)</f>
        <v>98.892499999999998</v>
      </c>
      <c r="V20" s="223"/>
      <c r="W20" s="297">
        <v>99.067499999999995</v>
      </c>
      <c r="X20" s="223"/>
      <c r="Y20" s="296">
        <v>98.892499999999998</v>
      </c>
      <c r="Z20" s="225">
        <f>_xll.qlSimpleQuoteSetValue(F20,Y20,Trigger)</f>
        <v>0</v>
      </c>
      <c r="AA20" s="42"/>
      <c r="AB20" s="19"/>
      <c r="AC20" s="19"/>
      <c r="AD20" s="19"/>
      <c r="AE20" s="19"/>
      <c r="AF20" s="258">
        <f t="shared" si="1"/>
        <v>4.9999999999954527E-5</v>
      </c>
      <c r="AH20" s="141"/>
      <c r="AI20" s="140">
        <v>15</v>
      </c>
      <c r="AJ20" s="138" t="b">
        <v>1</v>
      </c>
      <c r="AK20" s="138" t="str">
        <v>Z5</v>
      </c>
      <c r="AL20" s="214" t="str">
        <f t="shared" si="2"/>
        <v>USDFUT3MZ5ConvAdj_Quote</v>
      </c>
      <c r="AM20" s="213" t="str">
        <f>_xll.qlFuturesConvAdjustmentQuote(AL20,IborIndex,AK20,F20,Volatility,MeanReversion,Permanent,AND(ISERROR(Z20),ISERROR(FuturesHWConvAdj!Q19:Q20)),ObjectOverwrite)</f>
        <v>USDFUT3MZ5ConvAdj_Quote#0937</v>
      </c>
      <c r="AN20" s="68" t="str">
        <f>_xll.ohRangeRetrieveError(AM20)</f>
        <v/>
      </c>
      <c r="AO20" s="42"/>
    </row>
    <row r="21" spans="1:41" x14ac:dyDescent="0.2">
      <c r="A21" s="141"/>
      <c r="B21" s="140">
        <v>16</v>
      </c>
      <c r="C21" s="139" t="b">
        <v>1</v>
      </c>
      <c r="D21" s="138" t="str">
        <v>H6</v>
      </c>
      <c r="E21" s="137" t="str">
        <f t="shared" si="0"/>
        <v>USDFUT3MH6_Quote</v>
      </c>
      <c r="F21" s="136" t="str">
        <f>_xll.qlSimpleQuote(E21,,PriceTickValue,Permanent,Trigger,ObjectOverwrite)</f>
        <v>USDFUT3MH6_Quote#0000</v>
      </c>
      <c r="G21" s="99" t="str">
        <f>_xll.ohRangeRetrieveError(F21)</f>
        <v/>
      </c>
      <c r="H21" s="135"/>
      <c r="J21" s="295"/>
      <c r="K21" s="301">
        <v>16</v>
      </c>
      <c r="L21" s="300" t="b">
        <v>1</v>
      </c>
      <c r="M21" s="221" t="str">
        <v>H6</v>
      </c>
      <c r="N21" s="299">
        <v>42445</v>
      </c>
      <c r="O21" s="221" t="str">
        <v>EDH6</v>
      </c>
      <c r="P21" s="298">
        <v>42443</v>
      </c>
      <c r="Q21" s="221">
        <v>98.58</v>
      </c>
      <c r="R21" s="221">
        <v>98.584999999999994</v>
      </c>
      <c r="S21" s="221">
        <v>98.584999999999994</v>
      </c>
      <c r="T21" s="221">
        <v>98.605000000000004</v>
      </c>
      <c r="U21" s="225">
        <f>_xll.qlMidSafe($Q21,$R21)</f>
        <v>98.582499999999996</v>
      </c>
      <c r="V21" s="223"/>
      <c r="W21" s="297">
        <v>98.822500000000005</v>
      </c>
      <c r="X21" s="223"/>
      <c r="Y21" s="296">
        <v>98.582499999999996</v>
      </c>
      <c r="Z21" s="225">
        <f>_xll.qlSimpleQuoteSetValue(F21,Y21,Trigger)</f>
        <v>0</v>
      </c>
      <c r="AA21" s="42"/>
      <c r="AB21" s="19"/>
      <c r="AC21" s="19"/>
      <c r="AD21" s="19"/>
      <c r="AE21" s="19"/>
      <c r="AF21" s="258">
        <f t="shared" si="1"/>
        <v>4.9999999999954527E-5</v>
      </c>
      <c r="AH21" s="141"/>
      <c r="AI21" s="140">
        <v>16</v>
      </c>
      <c r="AJ21" s="138" t="b">
        <v>1</v>
      </c>
      <c r="AK21" s="138" t="str">
        <v>H6</v>
      </c>
      <c r="AL21" s="214" t="str">
        <f t="shared" si="2"/>
        <v>USDFUT3MH6ConvAdj_Quote</v>
      </c>
      <c r="AM21" s="213" t="str">
        <f>_xll.qlFuturesConvAdjustmentQuote(AL21,IborIndex,AK21,F21,Volatility,MeanReversion,Permanent,AND(ISERROR(Z21),ISERROR(FuturesHWConvAdj!Q20:Q21)),ObjectOverwrite)</f>
        <v>USDFUT3MH6ConvAdj_Quote#0937</v>
      </c>
      <c r="AN21" s="68" t="str">
        <f>_xll.ohRangeRetrieveError(AM21)</f>
        <v/>
      </c>
      <c r="AO21" s="42"/>
    </row>
    <row r="22" spans="1:41" x14ac:dyDescent="0.2">
      <c r="A22" s="141"/>
      <c r="B22" s="140">
        <v>17</v>
      </c>
      <c r="C22" s="139" t="b">
        <v>1</v>
      </c>
      <c r="D22" s="138" t="str">
        <v>M6</v>
      </c>
      <c r="E22" s="137" t="str">
        <f t="shared" si="0"/>
        <v>USDFUT3MM6_Quote</v>
      </c>
      <c r="F22" s="136" t="str">
        <f>_xll.qlSimpleQuote(E22,,PriceTickValue,Permanent,Trigger,ObjectOverwrite)</f>
        <v>USDFUT3MM6_Quote#0000</v>
      </c>
      <c r="G22" s="99" t="str">
        <f>_xll.ohRangeRetrieveError(F22)</f>
        <v/>
      </c>
      <c r="H22" s="135"/>
      <c r="J22" s="295"/>
      <c r="K22" s="301">
        <v>17</v>
      </c>
      <c r="L22" s="300" t="b">
        <v>1</v>
      </c>
      <c r="M22" s="221" t="str">
        <v>M6</v>
      </c>
      <c r="N22" s="299">
        <v>42536</v>
      </c>
      <c r="O22" s="221" t="str">
        <v>EDM6</v>
      </c>
      <c r="P22" s="298">
        <v>42534</v>
      </c>
      <c r="Q22" s="221">
        <v>98.27</v>
      </c>
      <c r="R22" s="221">
        <v>98.275000000000006</v>
      </c>
      <c r="S22" s="221">
        <v>98.27</v>
      </c>
      <c r="T22" s="221">
        <v>98.295000000000002</v>
      </c>
      <c r="U22" s="225">
        <f>_xll.qlMidSafe($Q22,$R22)</f>
        <v>98.272500000000008</v>
      </c>
      <c r="V22" s="223"/>
      <c r="W22" s="297">
        <v>98.537499999999994</v>
      </c>
      <c r="X22" s="223"/>
      <c r="Y22" s="296">
        <v>98.272500000000008</v>
      </c>
      <c r="Z22" s="225">
        <f>_xll.qlSimpleQuoteSetValue(F22,Y22,Trigger)</f>
        <v>0</v>
      </c>
      <c r="AA22" s="42"/>
      <c r="AB22" s="19"/>
      <c r="AC22" s="19"/>
      <c r="AD22" s="19"/>
      <c r="AE22" s="19"/>
      <c r="AF22" s="258">
        <f t="shared" si="1"/>
        <v>4.9999999999954527E-5</v>
      </c>
      <c r="AH22" s="141"/>
      <c r="AI22" s="140">
        <v>17</v>
      </c>
      <c r="AJ22" s="138" t="b">
        <v>1</v>
      </c>
      <c r="AK22" s="138" t="str">
        <v>M6</v>
      </c>
      <c r="AL22" s="214" t="str">
        <f t="shared" si="2"/>
        <v>USDFUT3MM6ConvAdj_Quote</v>
      </c>
      <c r="AM22" s="213" t="str">
        <f>_xll.qlFuturesConvAdjustmentQuote(AL22,IborIndex,AK22,F22,Volatility,MeanReversion,Permanent,AND(ISERROR(Z22),ISERROR(FuturesHWConvAdj!Q21:Q22)),ObjectOverwrite)</f>
        <v>USDFUT3MM6ConvAdj_Quote#0937</v>
      </c>
      <c r="AN22" s="68" t="str">
        <f>_xll.ohRangeRetrieveError(AM22)</f>
        <v/>
      </c>
      <c r="AO22" s="42"/>
    </row>
    <row r="23" spans="1:41" x14ac:dyDescent="0.2">
      <c r="A23" s="141"/>
      <c r="B23" s="140">
        <v>18</v>
      </c>
      <c r="C23" s="139" t="b">
        <v>1</v>
      </c>
      <c r="D23" s="138" t="str">
        <v>U6</v>
      </c>
      <c r="E23" s="137" t="str">
        <f t="shared" si="0"/>
        <v>USDFUT3MU6_Quote</v>
      </c>
      <c r="F23" s="136" t="str">
        <f>_xll.qlSimpleQuote(E23,,PriceTickValue,Permanent,Trigger,ObjectOverwrite)</f>
        <v>USDFUT3MU6_Quote#0000</v>
      </c>
      <c r="G23" s="99" t="str">
        <f>_xll.ohRangeRetrieveError(F23)</f>
        <v/>
      </c>
      <c r="H23" s="135"/>
      <c r="J23" s="295"/>
      <c r="K23" s="301">
        <v>18</v>
      </c>
      <c r="L23" s="300" t="b">
        <v>1</v>
      </c>
      <c r="M23" s="221" t="str">
        <v>U6</v>
      </c>
      <c r="N23" s="299">
        <v>42634</v>
      </c>
      <c r="O23" s="221" t="str">
        <v>EDU6</v>
      </c>
      <c r="P23" s="298">
        <v>42632</v>
      </c>
      <c r="Q23" s="221">
        <v>97.974999999999994</v>
      </c>
      <c r="R23" s="221">
        <v>97.98</v>
      </c>
      <c r="S23" s="221">
        <v>97.98</v>
      </c>
      <c r="T23" s="221">
        <v>98.004999999999995</v>
      </c>
      <c r="U23" s="225">
        <f>_xll.qlMidSafe($Q23,$R23)</f>
        <v>97.977499999999992</v>
      </c>
      <c r="V23" s="223"/>
      <c r="W23" s="297">
        <v>98.242500000000007</v>
      </c>
      <c r="X23" s="223"/>
      <c r="Y23" s="296">
        <v>97.977499999999992</v>
      </c>
      <c r="Z23" s="225">
        <f>_xll.qlSimpleQuoteSetValue(F23,Y23,Trigger)</f>
        <v>0</v>
      </c>
      <c r="AA23" s="42"/>
      <c r="AB23" s="19"/>
      <c r="AC23" s="19"/>
      <c r="AD23" s="19"/>
      <c r="AE23" s="19"/>
      <c r="AF23" s="258">
        <f t="shared" si="1"/>
        <v>5.0000000000238744E-5</v>
      </c>
      <c r="AH23" s="141"/>
      <c r="AI23" s="140">
        <v>18</v>
      </c>
      <c r="AJ23" s="138" t="b">
        <v>1</v>
      </c>
      <c r="AK23" s="138" t="str">
        <v>U6</v>
      </c>
      <c r="AL23" s="214" t="str">
        <f t="shared" si="2"/>
        <v>USDFUT3MU6ConvAdj_Quote</v>
      </c>
      <c r="AM23" s="213" t="str">
        <f>_xll.qlFuturesConvAdjustmentQuote(AL23,IborIndex,AK23,F23,Volatility,MeanReversion,Permanent,AND(ISERROR(Z23),ISERROR(FuturesHWConvAdj!Q22:Q23)),ObjectOverwrite)</f>
        <v>USDFUT3MU6ConvAdj_Quote#0937</v>
      </c>
      <c r="AN23" s="68" t="str">
        <f>_xll.ohRangeRetrieveError(AM23)</f>
        <v/>
      </c>
      <c r="AO23" s="42"/>
    </row>
    <row r="24" spans="1:41" x14ac:dyDescent="0.2">
      <c r="A24" s="141"/>
      <c r="B24" s="140">
        <v>19</v>
      </c>
      <c r="C24" s="139" t="b">
        <v>1</v>
      </c>
      <c r="D24" s="138" t="str">
        <v>Z6</v>
      </c>
      <c r="E24" s="137" t="str">
        <f t="shared" si="0"/>
        <v>USDFUT3MZ6_Quote</v>
      </c>
      <c r="F24" s="136" t="str">
        <f>_xll.qlSimpleQuote(E24,,PriceTickValue,Permanent,Trigger,ObjectOverwrite)</f>
        <v>USDFUT3MZ6_Quote#0000</v>
      </c>
      <c r="G24" s="99" t="str">
        <f>_xll.ohRangeRetrieveError(F24)</f>
        <v/>
      </c>
      <c r="H24" s="135"/>
      <c r="J24" s="295"/>
      <c r="K24" s="301">
        <v>19</v>
      </c>
      <c r="L24" s="300" t="b">
        <v>1</v>
      </c>
      <c r="M24" s="221" t="str">
        <v>Z6</v>
      </c>
      <c r="N24" s="299">
        <v>42725</v>
      </c>
      <c r="O24" s="221" t="str">
        <v>EDZ6</v>
      </c>
      <c r="P24" s="298">
        <v>42723</v>
      </c>
      <c r="Q24" s="221">
        <v>97.704999999999998</v>
      </c>
      <c r="R24" s="221">
        <v>97.71</v>
      </c>
      <c r="S24" s="221">
        <v>97.71</v>
      </c>
      <c r="T24" s="221">
        <v>97.734999999999999</v>
      </c>
      <c r="U24" s="225">
        <f>_xll.qlMidSafe($Q24,$R24)</f>
        <v>97.707499999999996</v>
      </c>
      <c r="V24" s="223"/>
      <c r="W24" s="297">
        <v>97.957499999999996</v>
      </c>
      <c r="X24" s="223"/>
      <c r="Y24" s="296">
        <v>97.707499999999996</v>
      </c>
      <c r="Z24" s="225">
        <f>_xll.qlSimpleQuoteSetValue(F24,Y24,Trigger)</f>
        <v>0</v>
      </c>
      <c r="AA24" s="42"/>
      <c r="AB24" s="19"/>
      <c r="AC24" s="19"/>
      <c r="AD24" s="19"/>
      <c r="AE24" s="19"/>
      <c r="AF24" s="258">
        <f t="shared" si="1"/>
        <v>4.9999999999954527E-5</v>
      </c>
      <c r="AH24" s="141"/>
      <c r="AI24" s="140">
        <v>19</v>
      </c>
      <c r="AJ24" s="138" t="b">
        <v>1</v>
      </c>
      <c r="AK24" s="138" t="str">
        <v>Z6</v>
      </c>
      <c r="AL24" s="214" t="str">
        <f t="shared" si="2"/>
        <v>USDFUT3MZ6ConvAdj_Quote</v>
      </c>
      <c r="AM24" s="213" t="str">
        <f>_xll.qlFuturesConvAdjustmentQuote(AL24,IborIndex,AK24,F24,Volatility,MeanReversion,Permanent,AND(ISERROR(Z24),ISERROR(FuturesHWConvAdj!Q23:Q24)),ObjectOverwrite)</f>
        <v>USDFUT3MZ6ConvAdj_Quote#0937</v>
      </c>
      <c r="AN24" s="68" t="str">
        <f>_xll.ohRangeRetrieveError(AM24)</f>
        <v/>
      </c>
      <c r="AO24" s="42"/>
    </row>
    <row r="25" spans="1:41" x14ac:dyDescent="0.2">
      <c r="A25" s="141"/>
      <c r="B25" s="140">
        <v>20</v>
      </c>
      <c r="C25" s="139" t="b">
        <v>1</v>
      </c>
      <c r="D25" s="138" t="str">
        <v>H7</v>
      </c>
      <c r="E25" s="137" t="str">
        <f t="shared" si="0"/>
        <v>USDFUT3MH7_Quote</v>
      </c>
      <c r="F25" s="136" t="str">
        <f>_xll.qlSimpleQuote(E25,,PriceTickValue,Permanent,Trigger,ObjectOverwrite)</f>
        <v>USDFUT3MH7_Quote#0000</v>
      </c>
      <c r="G25" s="99" t="str">
        <f>_xll.ohRangeRetrieveError(F25)</f>
        <v/>
      </c>
      <c r="H25" s="135"/>
      <c r="J25" s="295"/>
      <c r="K25" s="301">
        <v>20</v>
      </c>
      <c r="L25" s="300" t="b">
        <v>1</v>
      </c>
      <c r="M25" s="221" t="str">
        <v>H7</v>
      </c>
      <c r="N25" s="299">
        <v>42809</v>
      </c>
      <c r="O25" s="221" t="str">
        <v>EDH7</v>
      </c>
      <c r="P25" s="298">
        <v>42807</v>
      </c>
      <c r="Q25" s="221">
        <v>97.474999999999994</v>
      </c>
      <c r="R25" s="221">
        <v>97.48</v>
      </c>
      <c r="S25" s="221">
        <v>97.48</v>
      </c>
      <c r="T25" s="221">
        <v>97.504999999999995</v>
      </c>
      <c r="U25" s="225">
        <f>_xll.qlMidSafe($Q25,$R25)</f>
        <v>97.477499999999992</v>
      </c>
      <c r="V25" s="223"/>
      <c r="W25" s="297">
        <v>97.682500000000005</v>
      </c>
      <c r="X25" s="223"/>
      <c r="Y25" s="296">
        <v>97.477499999999992</v>
      </c>
      <c r="Z25" s="225">
        <f>_xll.qlSimpleQuoteSetValue(F25,Y25,Trigger)</f>
        <v>0</v>
      </c>
      <c r="AA25" s="42"/>
      <c r="AB25" s="19"/>
      <c r="AC25" s="19"/>
      <c r="AD25" s="19"/>
      <c r="AE25" s="19"/>
      <c r="AF25" s="258">
        <f t="shared" si="1"/>
        <v>5.0000000000238744E-5</v>
      </c>
      <c r="AH25" s="141"/>
      <c r="AI25" s="140">
        <v>20</v>
      </c>
      <c r="AJ25" s="138" t="b">
        <v>1</v>
      </c>
      <c r="AK25" s="138" t="str">
        <v>H7</v>
      </c>
      <c r="AL25" s="214" t="str">
        <f t="shared" si="2"/>
        <v>USDFUT3MH7ConvAdj_Quote</v>
      </c>
      <c r="AM25" s="213" t="str">
        <f>_xll.qlFuturesConvAdjustmentQuote(AL25,IborIndex,AK25,F25,Volatility,MeanReversion,Permanent,AND(ISERROR(Z25),ISERROR(FuturesHWConvAdj!Q24:Q25)),ObjectOverwrite)</f>
        <v>USDFUT3MH7ConvAdj_Quote#0937</v>
      </c>
      <c r="AN25" s="68" t="str">
        <f>_xll.ohRangeRetrieveError(AM25)</f>
        <v/>
      </c>
      <c r="AO25" s="42"/>
    </row>
    <row r="26" spans="1:41" x14ac:dyDescent="0.2">
      <c r="A26" s="141"/>
      <c r="B26" s="140">
        <v>21</v>
      </c>
      <c r="C26" s="139" t="b">
        <v>1</v>
      </c>
      <c r="D26" s="138" t="str">
        <v>M7</v>
      </c>
      <c r="E26" s="137" t="str">
        <f t="shared" si="0"/>
        <v>USDFUT3MM7_Quote</v>
      </c>
      <c r="F26" s="136" t="str">
        <f>_xll.qlSimpleQuote(E26,,PriceTickValue,Permanent,Trigger,ObjectOverwrite)</f>
        <v>USDFUT3MM7_Quote#0000</v>
      </c>
      <c r="G26" s="99" t="str">
        <f>_xll.ohRangeRetrieveError(F26)</f>
        <v/>
      </c>
      <c r="H26" s="135"/>
      <c r="J26" s="295"/>
      <c r="K26" s="301">
        <v>21</v>
      </c>
      <c r="L26" s="300" t="b">
        <v>1</v>
      </c>
      <c r="M26" s="221" t="str">
        <v>M7</v>
      </c>
      <c r="N26" s="299">
        <v>42907</v>
      </c>
      <c r="O26" s="221" t="str">
        <v>EDM7</v>
      </c>
      <c r="P26" s="298">
        <v>42905</v>
      </c>
      <c r="Q26" s="221">
        <v>97.254999999999995</v>
      </c>
      <c r="R26" s="221">
        <v>97.26</v>
      </c>
      <c r="S26" s="221">
        <v>97.26</v>
      </c>
      <c r="T26" s="221">
        <v>97.284999999999997</v>
      </c>
      <c r="U26" s="225">
        <f>_xll.qlMidSafe($Q26,$R26)</f>
        <v>97.257499999999993</v>
      </c>
      <c r="V26" s="223"/>
      <c r="W26" s="297">
        <v>97.432500000000005</v>
      </c>
      <c r="X26" s="223"/>
      <c r="Y26" s="296">
        <v>97.257499999999993</v>
      </c>
      <c r="Z26" s="225">
        <f>_xll.qlSimpleQuoteSetValue(F26,Y26,Trigger)</f>
        <v>0</v>
      </c>
      <c r="AA26" s="42"/>
      <c r="AB26" s="19"/>
      <c r="AC26" s="19"/>
      <c r="AD26" s="19"/>
      <c r="AE26" s="19"/>
      <c r="AF26" s="258">
        <f t="shared" si="1"/>
        <v>5.0000000000238744E-5</v>
      </c>
      <c r="AH26" s="141"/>
      <c r="AI26" s="140">
        <v>21</v>
      </c>
      <c r="AJ26" s="138" t="b">
        <v>1</v>
      </c>
      <c r="AK26" s="138" t="str">
        <v>M7</v>
      </c>
      <c r="AL26" s="214" t="str">
        <f t="shared" si="2"/>
        <v>USDFUT3MM7ConvAdj_Quote</v>
      </c>
      <c r="AM26" s="213" t="str">
        <f>_xll.qlFuturesConvAdjustmentQuote(AL26,IborIndex,AK26,F26,Volatility,MeanReversion,Permanent,AND(ISERROR(Z26),ISERROR(FuturesHWConvAdj!Q25:Q26)),ObjectOverwrite)</f>
        <v>USDFUT3MM7ConvAdj_Quote#0937</v>
      </c>
      <c r="AN26" s="68" t="str">
        <f>_xll.ohRangeRetrieveError(AM26)</f>
        <v/>
      </c>
      <c r="AO26" s="42"/>
    </row>
    <row r="27" spans="1:41" x14ac:dyDescent="0.2">
      <c r="A27" s="141"/>
      <c r="B27" s="140">
        <v>22</v>
      </c>
      <c r="C27" s="139" t="b">
        <v>1</v>
      </c>
      <c r="D27" s="138" t="str">
        <v>U7</v>
      </c>
      <c r="E27" s="137" t="str">
        <f t="shared" si="0"/>
        <v>USDFUT3MU7_Quote</v>
      </c>
      <c r="F27" s="136" t="str">
        <f>_xll.qlSimpleQuote(E27,,PriceTickValue,Permanent,Trigger,ObjectOverwrite)</f>
        <v>USDFUT3MU7_Quote#0000</v>
      </c>
      <c r="G27" s="99" t="str">
        <f>_xll.ohRangeRetrieveError(F27)</f>
        <v/>
      </c>
      <c r="H27" s="135"/>
      <c r="J27" s="295"/>
      <c r="K27" s="301">
        <v>22</v>
      </c>
      <c r="L27" s="300" t="b">
        <v>1</v>
      </c>
      <c r="M27" s="221" t="str">
        <v>U7</v>
      </c>
      <c r="N27" s="299">
        <v>42998</v>
      </c>
      <c r="O27" s="221" t="str">
        <v>EDU7</v>
      </c>
      <c r="P27" s="298">
        <v>42996</v>
      </c>
      <c r="Q27" s="221">
        <v>97.06</v>
      </c>
      <c r="R27" s="221">
        <v>97.064999999999998</v>
      </c>
      <c r="S27" s="221">
        <v>97.064999999999998</v>
      </c>
      <c r="T27" s="221">
        <v>97.094999999999999</v>
      </c>
      <c r="U27" s="225">
        <f>_xll.qlMidSafe($Q27,$R27)</f>
        <v>97.0625</v>
      </c>
      <c r="V27" s="223"/>
      <c r="W27" s="297">
        <v>97.177499999999995</v>
      </c>
      <c r="X27" s="223"/>
      <c r="Y27" s="296">
        <v>97.0625</v>
      </c>
      <c r="Z27" s="225">
        <f>_xll.qlSimpleQuoteSetValue(F27,Y27,Trigger)</f>
        <v>0</v>
      </c>
      <c r="AA27" s="42"/>
      <c r="AB27" s="19"/>
      <c r="AC27" s="19"/>
      <c r="AD27" s="19"/>
      <c r="AE27" s="19"/>
      <c r="AF27" s="258">
        <f t="shared" si="1"/>
        <v>4.9999999999954527E-5</v>
      </c>
      <c r="AH27" s="141"/>
      <c r="AI27" s="140">
        <v>22</v>
      </c>
      <c r="AJ27" s="138" t="b">
        <v>1</v>
      </c>
      <c r="AK27" s="138" t="str">
        <v>U7</v>
      </c>
      <c r="AL27" s="214" t="str">
        <f t="shared" si="2"/>
        <v>USDFUT3MU7ConvAdj_Quote</v>
      </c>
      <c r="AM27" s="213" t="str">
        <f>_xll.qlFuturesConvAdjustmentQuote(AL27,IborIndex,AK27,F27,Volatility,MeanReversion,Permanent,AND(ISERROR(Z27),ISERROR(FuturesHWConvAdj!Q26:Q27)),ObjectOverwrite)</f>
        <v>USDFUT3MU7ConvAdj_Quote#0937</v>
      </c>
      <c r="AN27" s="68" t="str">
        <f>_xll.ohRangeRetrieveError(AM27)</f>
        <v/>
      </c>
      <c r="AO27" s="42"/>
    </row>
    <row r="28" spans="1:41" x14ac:dyDescent="0.2">
      <c r="A28" s="141"/>
      <c r="B28" s="140">
        <v>23</v>
      </c>
      <c r="C28" s="139" t="b">
        <v>1</v>
      </c>
      <c r="D28" s="138" t="str">
        <v>Z7</v>
      </c>
      <c r="E28" s="137" t="str">
        <f t="shared" si="0"/>
        <v>USDFUT3MZ7_Quote</v>
      </c>
      <c r="F28" s="136" t="str">
        <f>_xll.qlSimpleQuote(E28,,PriceTickValue,Permanent,Trigger,ObjectOverwrite)</f>
        <v>USDFUT3MZ7_Quote#0000</v>
      </c>
      <c r="G28" s="99" t="str">
        <f>_xll.ohRangeRetrieveError(F28)</f>
        <v/>
      </c>
      <c r="H28" s="135"/>
      <c r="J28" s="295"/>
      <c r="K28" s="301">
        <v>23</v>
      </c>
      <c r="L28" s="300" t="b">
        <v>1</v>
      </c>
      <c r="M28" s="221" t="str">
        <v>Z7</v>
      </c>
      <c r="N28" s="299">
        <v>43089</v>
      </c>
      <c r="O28" s="221" t="str">
        <v>EDZ7</v>
      </c>
      <c r="P28" s="298">
        <v>43087</v>
      </c>
      <c r="Q28" s="221">
        <v>96.875</v>
      </c>
      <c r="R28" s="221">
        <v>96.88</v>
      </c>
      <c r="S28" s="221">
        <v>96.88</v>
      </c>
      <c r="T28" s="221">
        <v>96.91</v>
      </c>
      <c r="U28" s="225">
        <f>_xll.qlMidSafe($Q28,$R28)</f>
        <v>96.877499999999998</v>
      </c>
      <c r="V28" s="223"/>
      <c r="W28" s="297">
        <v>96.952500000000001</v>
      </c>
      <c r="X28" s="223"/>
      <c r="Y28" s="296">
        <v>96.877499999999998</v>
      </c>
      <c r="Z28" s="225">
        <f>_xll.qlSimpleQuoteSetValue(F28,Y28,Trigger)</f>
        <v>0</v>
      </c>
      <c r="AA28" s="42"/>
      <c r="AB28" s="19"/>
      <c r="AC28" s="19"/>
      <c r="AD28" s="19"/>
      <c r="AE28" s="19"/>
      <c r="AF28" s="258">
        <f t="shared" si="1"/>
        <v>4.9999999999954527E-5</v>
      </c>
      <c r="AH28" s="141"/>
      <c r="AI28" s="140">
        <v>23</v>
      </c>
      <c r="AJ28" s="138" t="b">
        <v>1</v>
      </c>
      <c r="AK28" s="138" t="str">
        <v>Z7</v>
      </c>
      <c r="AL28" s="214" t="str">
        <f t="shared" si="2"/>
        <v>USDFUT3MZ7ConvAdj_Quote</v>
      </c>
      <c r="AM28" s="213" t="str">
        <f>_xll.qlFuturesConvAdjustmentQuote(AL28,IborIndex,AK28,F28,Volatility,MeanReversion,Permanent,AND(ISERROR(Z28),ISERROR(FuturesHWConvAdj!Q27:Q28)),ObjectOverwrite)</f>
        <v>USDFUT3MZ7ConvAdj_Quote#0937</v>
      </c>
      <c r="AN28" s="68" t="str">
        <f>_xll.ohRangeRetrieveError(AM28)</f>
        <v/>
      </c>
      <c r="AO28" s="42"/>
    </row>
    <row r="29" spans="1:41" x14ac:dyDescent="0.2">
      <c r="A29" s="141"/>
      <c r="B29" s="140">
        <v>24</v>
      </c>
      <c r="C29" s="139" t="b">
        <v>1</v>
      </c>
      <c r="D29" s="138" t="str">
        <v>H8</v>
      </c>
      <c r="E29" s="137" t="str">
        <f t="shared" si="0"/>
        <v>USDFUT3MH8_Quote</v>
      </c>
      <c r="F29" s="136" t="str">
        <f>_xll.qlSimpleQuote(E29,,PriceTickValue,Permanent,Trigger,ObjectOverwrite)</f>
        <v>USDFUT3MH8_Quote#0000</v>
      </c>
      <c r="G29" s="99" t="str">
        <f>_xll.ohRangeRetrieveError(F29)</f>
        <v/>
      </c>
      <c r="H29" s="135"/>
      <c r="J29" s="295"/>
      <c r="K29" s="301">
        <v>24</v>
      </c>
      <c r="L29" s="300" t="b">
        <v>1</v>
      </c>
      <c r="M29" s="221" t="str">
        <v>H8</v>
      </c>
      <c r="N29" s="299">
        <v>43180</v>
      </c>
      <c r="O29" s="221" t="str">
        <v>EDH8</v>
      </c>
      <c r="P29" s="298">
        <v>43178</v>
      </c>
      <c r="Q29" s="221">
        <v>96.715000000000003</v>
      </c>
      <c r="R29" s="221">
        <v>96.724999999999994</v>
      </c>
      <c r="S29" s="221">
        <v>96.724999999999994</v>
      </c>
      <c r="T29" s="221">
        <v>96.754999999999995</v>
      </c>
      <c r="U29" s="225">
        <f>_xll.qlMidSafe($Q29,$R29)</f>
        <v>96.72</v>
      </c>
      <c r="V29" s="223"/>
      <c r="W29" s="297">
        <v>96.732500000000002</v>
      </c>
      <c r="X29" s="223"/>
      <c r="Y29" s="296">
        <v>96.72</v>
      </c>
      <c r="Z29" s="225">
        <f>_xll.qlSimpleQuoteSetValue(F29,Y29,Trigger)</f>
        <v>0</v>
      </c>
      <c r="AA29" s="42"/>
      <c r="AB29" s="19"/>
      <c r="AC29" s="19"/>
      <c r="AD29" s="19"/>
      <c r="AE29" s="19"/>
      <c r="AF29" s="258">
        <f t="shared" si="1"/>
        <v>9.9999999999909054E-5</v>
      </c>
      <c r="AH29" s="141"/>
      <c r="AI29" s="140">
        <v>24</v>
      </c>
      <c r="AJ29" s="138" t="b">
        <v>1</v>
      </c>
      <c r="AK29" s="138" t="str">
        <v>H8</v>
      </c>
      <c r="AL29" s="214" t="str">
        <f t="shared" si="2"/>
        <v>USDFUT3MH8ConvAdj_Quote</v>
      </c>
      <c r="AM29" s="213" t="str">
        <f>_xll.qlFuturesConvAdjustmentQuote(AL29,IborIndex,AK29,F29,Volatility,MeanReversion,Permanent,AND(ISERROR(Z29),ISERROR(FuturesHWConvAdj!Q28:Q29)),ObjectOverwrite)</f>
        <v>USDFUT3MH8ConvAdj_Quote#0937</v>
      </c>
      <c r="AN29" s="68" t="str">
        <f>_xll.ohRangeRetrieveError(AM29)</f>
        <v/>
      </c>
      <c r="AO29" s="42"/>
    </row>
    <row r="30" spans="1:41" x14ac:dyDescent="0.2">
      <c r="A30" s="141"/>
      <c r="B30" s="140">
        <v>25</v>
      </c>
      <c r="C30" s="139" t="b">
        <v>1</v>
      </c>
      <c r="D30" s="138" t="str">
        <v>M8</v>
      </c>
      <c r="E30" s="137" t="str">
        <f t="shared" si="0"/>
        <v>USDFUT3MM8_Quote</v>
      </c>
      <c r="F30" s="136" t="str">
        <f>_xll.qlSimpleQuote(E30,,PriceTickValue,Permanent,Trigger,ObjectOverwrite)</f>
        <v>USDFUT3MM8_Quote#0000</v>
      </c>
      <c r="G30" s="99" t="str">
        <f>_xll.ohRangeRetrieveError(F30)</f>
        <v/>
      </c>
      <c r="H30" s="135"/>
      <c r="J30" s="295"/>
      <c r="K30" s="301">
        <v>25</v>
      </c>
      <c r="L30" s="300" t="b">
        <v>1</v>
      </c>
      <c r="M30" s="221" t="str">
        <v>M8</v>
      </c>
      <c r="N30" s="299">
        <v>43271</v>
      </c>
      <c r="O30" s="221" t="str">
        <v>EDM8</v>
      </c>
      <c r="P30" s="298">
        <v>43269</v>
      </c>
      <c r="Q30" s="221">
        <v>96.57</v>
      </c>
      <c r="R30" s="221">
        <v>96.575000000000003</v>
      </c>
      <c r="S30" s="221">
        <v>96.57</v>
      </c>
      <c r="T30" s="221">
        <v>96.605000000000004</v>
      </c>
      <c r="U30" s="225">
        <f>_xll.qlMidSafe($Q30,$R30)</f>
        <v>96.572499999999991</v>
      </c>
      <c r="V30" s="223"/>
      <c r="W30" s="297">
        <v>96.542500000000004</v>
      </c>
      <c r="X30" s="223"/>
      <c r="Y30" s="296">
        <v>96.572499999999991</v>
      </c>
      <c r="Z30" s="225">
        <f>_xll.qlSimpleQuoteSetValue(F30,Y30,Trigger)</f>
        <v>0</v>
      </c>
      <c r="AA30" s="42"/>
      <c r="AB30" s="19"/>
      <c r="AC30" s="19"/>
      <c r="AD30" s="19"/>
      <c r="AE30" s="19"/>
      <c r="AF30" s="258">
        <f t="shared" si="1"/>
        <v>5.0000000000238744E-5</v>
      </c>
      <c r="AH30" s="141"/>
      <c r="AI30" s="140">
        <v>25</v>
      </c>
      <c r="AJ30" s="138" t="b">
        <v>1</v>
      </c>
      <c r="AK30" s="138" t="str">
        <v>M8</v>
      </c>
      <c r="AL30" s="214" t="str">
        <f t="shared" si="2"/>
        <v>USDFUT3MM8ConvAdj_Quote</v>
      </c>
      <c r="AM30" s="213" t="str">
        <f>_xll.qlFuturesConvAdjustmentQuote(AL30,IborIndex,AK30,F30,Volatility,MeanReversion,Permanent,AND(ISERROR(Z30),ISERROR(FuturesHWConvAdj!Q29:Q30)),ObjectOverwrite)</f>
        <v>USDFUT3MM8ConvAdj_Quote#0937</v>
      </c>
      <c r="AN30" s="68" t="str">
        <f>_xll.ohRangeRetrieveError(AM30)</f>
        <v/>
      </c>
      <c r="AO30" s="42"/>
    </row>
    <row r="31" spans="1:41" x14ac:dyDescent="0.2">
      <c r="A31" s="141"/>
      <c r="B31" s="140">
        <v>26</v>
      </c>
      <c r="C31" s="139" t="b">
        <v>1</v>
      </c>
      <c r="D31" s="138" t="str">
        <v>U8</v>
      </c>
      <c r="E31" s="137" t="str">
        <f t="shared" si="0"/>
        <v>USDFUT3MU8_Quote</v>
      </c>
      <c r="F31" s="136" t="str">
        <f>_xll.qlSimpleQuote(E31,,PriceTickValue,Permanent,Trigger,ObjectOverwrite)</f>
        <v>USDFUT3MU8_Quote#0000</v>
      </c>
      <c r="G31" s="99" t="str">
        <f>_xll.ohRangeRetrieveError(F31)</f>
        <v/>
      </c>
      <c r="H31" s="135"/>
      <c r="J31" s="295"/>
      <c r="K31" s="301">
        <v>26</v>
      </c>
      <c r="L31" s="300" t="b">
        <v>1</v>
      </c>
      <c r="M31" s="221" t="str">
        <v>U8</v>
      </c>
      <c r="N31" s="299">
        <v>43362</v>
      </c>
      <c r="O31" s="221" t="str">
        <v>EDU8</v>
      </c>
      <c r="P31" s="298">
        <v>43360</v>
      </c>
      <c r="Q31" s="221">
        <v>96.44</v>
      </c>
      <c r="R31" s="221">
        <v>96.444999999999993</v>
      </c>
      <c r="S31" s="221">
        <v>96.44</v>
      </c>
      <c r="T31" s="221">
        <v>96.474999999999994</v>
      </c>
      <c r="U31" s="225">
        <f>_xll.qlMidSafe($Q31,$R31)</f>
        <v>96.442499999999995</v>
      </c>
      <c r="V31" s="223"/>
      <c r="W31" s="297">
        <v>96.364999999999995</v>
      </c>
      <c r="X31" s="223"/>
      <c r="Y31" s="296">
        <v>96.442499999999995</v>
      </c>
      <c r="Z31" s="225">
        <f>_xll.qlSimpleQuoteSetValue(F31,Y31,Trigger)</f>
        <v>0</v>
      </c>
      <c r="AA31" s="42"/>
      <c r="AB31" s="19"/>
      <c r="AC31" s="19"/>
      <c r="AD31" s="19"/>
      <c r="AE31" s="19"/>
      <c r="AF31" s="258">
        <f t="shared" si="1"/>
        <v>4.9999999999954527E-5</v>
      </c>
      <c r="AH31" s="141"/>
      <c r="AI31" s="140">
        <v>26</v>
      </c>
      <c r="AJ31" s="138" t="b">
        <v>1</v>
      </c>
      <c r="AK31" s="138" t="str">
        <v>U8</v>
      </c>
      <c r="AL31" s="214" t="str">
        <f t="shared" si="2"/>
        <v>USDFUT3MU8ConvAdj_Quote</v>
      </c>
      <c r="AM31" s="213" t="str">
        <f>_xll.qlFuturesConvAdjustmentQuote(AL31,IborIndex,AK31,F31,Volatility,MeanReversion,Permanent,AND(ISERROR(Z31),ISERROR(FuturesHWConvAdj!Q30:Q31)),ObjectOverwrite)</f>
        <v>USDFUT3MU8ConvAdj_Quote#0937</v>
      </c>
      <c r="AN31" s="68" t="str">
        <f>_xll.ohRangeRetrieveError(AM31)</f>
        <v/>
      </c>
      <c r="AO31" s="42"/>
    </row>
    <row r="32" spans="1:41" x14ac:dyDescent="0.2">
      <c r="A32" s="141"/>
      <c r="B32" s="140">
        <v>27</v>
      </c>
      <c r="C32" s="139" t="b">
        <v>1</v>
      </c>
      <c r="D32" s="138" t="str">
        <v>Z8</v>
      </c>
      <c r="E32" s="137" t="str">
        <f t="shared" si="0"/>
        <v>USDFUT3MZ8_Quote</v>
      </c>
      <c r="F32" s="136" t="str">
        <f>_xll.qlSimpleQuote(E32,,PriceTickValue,Permanent,Trigger,ObjectOverwrite)</f>
        <v>USDFUT3MZ8_Quote#0000</v>
      </c>
      <c r="G32" s="99" t="str">
        <f>_xll.ohRangeRetrieveError(F32)</f>
        <v/>
      </c>
      <c r="H32" s="135"/>
      <c r="J32" s="295"/>
      <c r="K32" s="301">
        <v>27</v>
      </c>
      <c r="L32" s="300" t="b">
        <v>1</v>
      </c>
      <c r="M32" s="221" t="str">
        <v>Z8</v>
      </c>
      <c r="N32" s="299">
        <v>43453</v>
      </c>
      <c r="O32" s="221" t="str">
        <v>EDZ8</v>
      </c>
      <c r="P32" s="298">
        <v>43451</v>
      </c>
      <c r="Q32" s="221">
        <v>96.32</v>
      </c>
      <c r="R32" s="221">
        <v>96.33</v>
      </c>
      <c r="S32" s="221">
        <v>96.33</v>
      </c>
      <c r="T32" s="221">
        <v>96.36</v>
      </c>
      <c r="U32" s="225">
        <f>_xll.qlMidSafe($Q32,$R32)</f>
        <v>96.324999999999989</v>
      </c>
      <c r="V32" s="223"/>
      <c r="W32" s="297">
        <v>96.202500000000001</v>
      </c>
      <c r="X32" s="223"/>
      <c r="Y32" s="296">
        <v>96.324999999999989</v>
      </c>
      <c r="Z32" s="225">
        <f>_xll.qlSimpleQuoteSetValue(F32,Y32,Trigger)</f>
        <v>0</v>
      </c>
      <c r="AA32" s="42"/>
      <c r="AB32" s="19"/>
      <c r="AC32" s="19"/>
      <c r="AD32" s="19"/>
      <c r="AE32" s="19"/>
      <c r="AF32" s="258">
        <f t="shared" si="1"/>
        <v>1.0000000000019326E-4</v>
      </c>
      <c r="AH32" s="141"/>
      <c r="AI32" s="140">
        <v>27</v>
      </c>
      <c r="AJ32" s="138" t="b">
        <v>1</v>
      </c>
      <c r="AK32" s="138" t="str">
        <v>Z8</v>
      </c>
      <c r="AL32" s="214" t="str">
        <f t="shared" si="2"/>
        <v>USDFUT3MZ8ConvAdj_Quote</v>
      </c>
      <c r="AM32" s="213" t="str">
        <f>_xll.qlFuturesConvAdjustmentQuote(AL32,IborIndex,AK32,F32,Volatility,MeanReversion,Permanent,AND(ISERROR(Z32),ISERROR(FuturesHWConvAdj!Q31:Q32)),ObjectOverwrite)</f>
        <v>USDFUT3MZ8ConvAdj_Quote#0937</v>
      </c>
      <c r="AN32" s="68" t="str">
        <f>_xll.ohRangeRetrieveError(AM32)</f>
        <v/>
      </c>
      <c r="AO32" s="42"/>
    </row>
    <row r="33" spans="1:41" x14ac:dyDescent="0.2">
      <c r="A33" s="141"/>
      <c r="B33" s="140">
        <v>28</v>
      </c>
      <c r="C33" s="139" t="b">
        <v>1</v>
      </c>
      <c r="D33" s="138" t="str">
        <v>H9</v>
      </c>
      <c r="E33" s="137" t="str">
        <f t="shared" si="0"/>
        <v>USDFUT3MH9_Quote</v>
      </c>
      <c r="F33" s="136" t="str">
        <f>_xll.qlSimpleQuote(E33,,PriceTickValue,Permanent,Trigger,ObjectOverwrite)</f>
        <v>USDFUT3MH9_Quote#0000</v>
      </c>
      <c r="G33" s="99" t="str">
        <f>_xll.ohRangeRetrieveError(F33)</f>
        <v/>
      </c>
      <c r="H33" s="135"/>
      <c r="J33" s="295"/>
      <c r="K33" s="301">
        <v>28</v>
      </c>
      <c r="L33" s="300" t="b">
        <v>1</v>
      </c>
      <c r="M33" s="221" t="str">
        <v>H9</v>
      </c>
      <c r="N33" s="299">
        <v>43544</v>
      </c>
      <c r="O33" s="221" t="str">
        <v>EDH9</v>
      </c>
      <c r="P33" s="298">
        <v>43542</v>
      </c>
      <c r="Q33" s="221">
        <v>96.22</v>
      </c>
      <c r="R33" s="221">
        <v>96.23</v>
      </c>
      <c r="S33" s="221">
        <v>96.22</v>
      </c>
      <c r="T33" s="221">
        <v>96.26</v>
      </c>
      <c r="U33" s="225">
        <f>_xll.qlMidSafe($Q33,$R33)</f>
        <v>96.224999999999994</v>
      </c>
      <c r="V33" s="223"/>
      <c r="W33" s="297">
        <v>96.052499999999995</v>
      </c>
      <c r="X33" s="223"/>
      <c r="Y33" s="296">
        <v>96.224999999999994</v>
      </c>
      <c r="Z33" s="225">
        <f>_xll.qlSimpleQuoteSetValue(F33,Y33,Trigger)</f>
        <v>2.4999999999977263E-3</v>
      </c>
      <c r="AA33" s="42"/>
      <c r="AB33" s="19"/>
      <c r="AC33" s="19"/>
      <c r="AD33" s="19"/>
      <c r="AE33" s="19"/>
      <c r="AF33" s="258">
        <f t="shared" si="1"/>
        <v>1.0000000000019326E-4</v>
      </c>
      <c r="AH33" s="141"/>
      <c r="AI33" s="140">
        <v>28</v>
      </c>
      <c r="AJ33" s="138" t="b">
        <v>1</v>
      </c>
      <c r="AK33" s="138" t="str">
        <v>H9</v>
      </c>
      <c r="AL33" s="214" t="str">
        <f t="shared" si="2"/>
        <v>USDFUT3MH9ConvAdj_Quote</v>
      </c>
      <c r="AM33" s="213" t="str">
        <f>_xll.qlFuturesConvAdjustmentQuote(AL33,IborIndex,AK33,F33,Volatility,MeanReversion,Permanent,AND(ISERROR(Z33),ISERROR(FuturesHWConvAdj!Q32:Q33)),ObjectOverwrite)</f>
        <v>USDFUT3MH9ConvAdj_Quote#0937</v>
      </c>
      <c r="AN33" s="68" t="str">
        <f>_xll.ohRangeRetrieveError(AM33)</f>
        <v/>
      </c>
      <c r="AO33" s="42"/>
    </row>
    <row r="34" spans="1:41" x14ac:dyDescent="0.2">
      <c r="A34" s="141"/>
      <c r="B34" s="140">
        <v>29</v>
      </c>
      <c r="C34" s="139" t="b">
        <v>1</v>
      </c>
      <c r="D34" s="138" t="str">
        <v>M9</v>
      </c>
      <c r="E34" s="137" t="str">
        <f t="shared" si="0"/>
        <v>USDFUT3MM9_Quote</v>
      </c>
      <c r="F34" s="136" t="str">
        <f>_xll.qlSimpleQuote(E34,,PriceTickValue,Permanent,Trigger,ObjectOverwrite)</f>
        <v>USDFUT3MM9_Quote#0000</v>
      </c>
      <c r="G34" s="99" t="str">
        <f>_xll.ohRangeRetrieveError(F34)</f>
        <v/>
      </c>
      <c r="H34" s="135"/>
      <c r="J34" s="295"/>
      <c r="K34" s="301">
        <v>29</v>
      </c>
      <c r="L34" s="300" t="b">
        <v>1</v>
      </c>
      <c r="M34" s="221" t="str">
        <v>M9</v>
      </c>
      <c r="N34" s="299">
        <v>43635</v>
      </c>
      <c r="O34" s="221" t="str">
        <v>EDM9</v>
      </c>
      <c r="P34" s="298">
        <v>43633</v>
      </c>
      <c r="Q34" s="221">
        <v>96.13</v>
      </c>
      <c r="R34" s="221">
        <v>96.135000000000005</v>
      </c>
      <c r="S34" s="221">
        <v>96.13</v>
      </c>
      <c r="T34" s="221">
        <v>96.165000000000006</v>
      </c>
      <c r="U34" s="225">
        <f>_xll.qlMidSafe($Q34,$R34)</f>
        <v>96.132499999999993</v>
      </c>
      <c r="V34" s="223"/>
      <c r="W34" s="297">
        <v>95.93</v>
      </c>
      <c r="X34" s="223"/>
      <c r="Y34" s="296">
        <v>96.132499999999993</v>
      </c>
      <c r="Z34" s="225">
        <f>_xll.qlSimpleQuoteSetValue(F34,Y34,Trigger)</f>
        <v>0</v>
      </c>
      <c r="AA34" s="42"/>
      <c r="AB34" s="19"/>
      <c r="AC34" s="19"/>
      <c r="AD34" s="19"/>
      <c r="AE34" s="19"/>
      <c r="AF34" s="258">
        <f t="shared" si="1"/>
        <v>5.0000000000238744E-5</v>
      </c>
      <c r="AH34" s="141"/>
      <c r="AI34" s="140">
        <v>29</v>
      </c>
      <c r="AJ34" s="138" t="b">
        <v>1</v>
      </c>
      <c r="AK34" s="138" t="str">
        <v>M9</v>
      </c>
      <c r="AL34" s="214" t="str">
        <f t="shared" si="2"/>
        <v>USDFUT3MM9ConvAdj_Quote</v>
      </c>
      <c r="AM34" s="213" t="str">
        <f>_xll.qlFuturesConvAdjustmentQuote(AL34,IborIndex,AK34,F34,Volatility,MeanReversion,Permanent,AND(ISERROR(Z34),ISERROR(FuturesHWConvAdj!Q33:Q34)),ObjectOverwrite)</f>
        <v>USDFUT3MM9ConvAdj_Quote#0937</v>
      </c>
      <c r="AN34" s="68" t="str">
        <f>_xll.ohRangeRetrieveError(AM34)</f>
        <v/>
      </c>
      <c r="AO34" s="42"/>
    </row>
    <row r="35" spans="1:41" x14ac:dyDescent="0.2">
      <c r="A35" s="141"/>
      <c r="B35" s="140">
        <v>30</v>
      </c>
      <c r="C35" s="139" t="b">
        <v>1</v>
      </c>
      <c r="D35" s="138" t="str">
        <v>U9</v>
      </c>
      <c r="E35" s="137" t="str">
        <f t="shared" si="0"/>
        <v>USDFUT3MU9_Quote</v>
      </c>
      <c r="F35" s="136" t="str">
        <f>_xll.qlSimpleQuote(E35,,PriceTickValue,Permanent,Trigger,ObjectOverwrite)</f>
        <v>USDFUT3MU9_Quote#0000</v>
      </c>
      <c r="G35" s="99" t="str">
        <f>_xll.ohRangeRetrieveError(F35)</f>
        <v/>
      </c>
      <c r="H35" s="135"/>
      <c r="J35" s="295"/>
      <c r="K35" s="301">
        <v>30</v>
      </c>
      <c r="L35" s="300" t="b">
        <v>1</v>
      </c>
      <c r="M35" s="221" t="str">
        <v>U9</v>
      </c>
      <c r="N35" s="299">
        <v>43726</v>
      </c>
      <c r="O35" s="221" t="str">
        <v>EDU9</v>
      </c>
      <c r="P35" s="298">
        <v>43724</v>
      </c>
      <c r="Q35" s="221">
        <v>96.045000000000002</v>
      </c>
      <c r="R35" s="221">
        <v>96.05</v>
      </c>
      <c r="S35" s="221">
        <v>96.05</v>
      </c>
      <c r="T35" s="221">
        <v>96.08</v>
      </c>
      <c r="U35" s="225">
        <f>_xll.qlMidSafe($Q35,$R35)</f>
        <v>96.047499999999999</v>
      </c>
      <c r="V35" s="223"/>
      <c r="W35" s="297">
        <v>95.814999999999998</v>
      </c>
      <c r="X35" s="223"/>
      <c r="Y35" s="296">
        <v>96.047499999999999</v>
      </c>
      <c r="Z35" s="225">
        <f>_xll.qlSimpleQuoteSetValue(F35,Y35,Trigger)</f>
        <v>0</v>
      </c>
      <c r="AA35" s="42"/>
      <c r="AB35" s="19"/>
      <c r="AC35" s="19"/>
      <c r="AD35" s="19"/>
      <c r="AE35" s="19"/>
      <c r="AF35" s="258">
        <f t="shared" si="1"/>
        <v>4.9999999999954527E-5</v>
      </c>
      <c r="AH35" s="141"/>
      <c r="AI35" s="140">
        <v>30</v>
      </c>
      <c r="AJ35" s="138" t="b">
        <v>1</v>
      </c>
      <c r="AK35" s="138" t="str">
        <v>U9</v>
      </c>
      <c r="AL35" s="214" t="str">
        <f t="shared" si="2"/>
        <v>USDFUT3MU9ConvAdj_Quote</v>
      </c>
      <c r="AM35" s="213" t="str">
        <f>_xll.qlFuturesConvAdjustmentQuote(AL35,IborIndex,AK35,F35,Volatility,MeanReversion,Permanent,AND(ISERROR(Z35),ISERROR(FuturesHWConvAdj!Q34:Q35)),ObjectOverwrite)</f>
        <v>USDFUT3MU9ConvAdj_Quote#0937</v>
      </c>
      <c r="AN35" s="68" t="str">
        <f>_xll.ohRangeRetrieveError(AM35)</f>
        <v/>
      </c>
      <c r="AO35" s="42"/>
    </row>
    <row r="36" spans="1:41" x14ac:dyDescent="0.2">
      <c r="A36" s="141"/>
      <c r="B36" s="140">
        <v>31</v>
      </c>
      <c r="C36" s="139" t="b">
        <v>1</v>
      </c>
      <c r="D36" s="138" t="str">
        <v>Z9</v>
      </c>
      <c r="E36" s="137" t="str">
        <f t="shared" si="0"/>
        <v>USDFUT3MZ9_Quote</v>
      </c>
      <c r="F36" s="136" t="str">
        <f>_xll.qlSimpleQuote(E36,,PriceTickValue,Permanent,Trigger,ObjectOverwrite)</f>
        <v>USDFUT3MZ9_Quote#0000</v>
      </c>
      <c r="G36" s="99" t="str">
        <f>_xll.ohRangeRetrieveError(F36)</f>
        <v/>
      </c>
      <c r="H36" s="135"/>
      <c r="J36" s="295"/>
      <c r="K36" s="301">
        <v>31</v>
      </c>
      <c r="L36" s="300" t="b">
        <v>1</v>
      </c>
      <c r="M36" s="221" t="str">
        <v>Z9</v>
      </c>
      <c r="N36" s="299">
        <v>43817</v>
      </c>
      <c r="O36" s="221" t="str">
        <v>EDZ9</v>
      </c>
      <c r="P36" s="298">
        <v>43815</v>
      </c>
      <c r="Q36" s="221">
        <v>95.96</v>
      </c>
      <c r="R36" s="221">
        <v>95.97</v>
      </c>
      <c r="S36" s="221">
        <v>95.965000000000003</v>
      </c>
      <c r="T36" s="221">
        <v>95.995000000000005</v>
      </c>
      <c r="U36" s="225">
        <f>_xll.qlMidSafe($Q36,$R36)</f>
        <v>95.965000000000003</v>
      </c>
      <c r="V36" s="223"/>
      <c r="W36" s="297">
        <v>95.704999999999998</v>
      </c>
      <c r="X36" s="223"/>
      <c r="Y36" s="296">
        <v>95.965000000000003</v>
      </c>
      <c r="Z36" s="225">
        <f>_xll.qlSimpleQuoteSetValue(F36,Y36,Trigger)</f>
        <v>0</v>
      </c>
      <c r="AA36" s="42"/>
      <c r="AB36" s="19"/>
      <c r="AC36" s="19"/>
      <c r="AD36" s="19"/>
      <c r="AE36" s="19"/>
      <c r="AF36" s="258">
        <f t="shared" si="1"/>
        <v>9.9999999999909054E-5</v>
      </c>
      <c r="AH36" s="141"/>
      <c r="AI36" s="140">
        <v>31</v>
      </c>
      <c r="AJ36" s="138" t="b">
        <v>1</v>
      </c>
      <c r="AK36" s="138" t="str">
        <v>Z9</v>
      </c>
      <c r="AL36" s="214" t="str">
        <f t="shared" si="2"/>
        <v>USDFUT3MZ9ConvAdj_Quote</v>
      </c>
      <c r="AM36" s="213" t="str">
        <f>_xll.qlFuturesConvAdjustmentQuote(AL36,IborIndex,AK36,F36,Volatility,MeanReversion,Permanent,AND(ISERROR(Z36),ISERROR(FuturesHWConvAdj!Q35:Q36)),ObjectOverwrite)</f>
        <v>USDFUT3MZ9ConvAdj_Quote#0937</v>
      </c>
      <c r="AN36" s="68" t="str">
        <f>_xll.ohRangeRetrieveError(AM36)</f>
        <v/>
      </c>
      <c r="AO36" s="42"/>
    </row>
    <row r="37" spans="1:41" x14ac:dyDescent="0.2">
      <c r="A37" s="141"/>
      <c r="B37" s="140">
        <v>32</v>
      </c>
      <c r="C37" s="139" t="b">
        <v>1</v>
      </c>
      <c r="D37" s="138" t="str">
        <v>H0</v>
      </c>
      <c r="E37" s="137" t="str">
        <f t="shared" si="0"/>
        <v>USDFUT3MH0_Quote</v>
      </c>
      <c r="F37" s="136" t="str">
        <f>_xll.qlSimpleQuote(E37,,PriceTickValue,Permanent,Trigger,ObjectOverwrite)</f>
        <v>USDFUT3MH0_Quote#0000</v>
      </c>
      <c r="G37" s="99" t="str">
        <f>_xll.ohRangeRetrieveError(F37)</f>
        <v/>
      </c>
      <c r="H37" s="135"/>
      <c r="J37" s="295"/>
      <c r="K37" s="301">
        <v>32</v>
      </c>
      <c r="L37" s="300" t="b">
        <v>1</v>
      </c>
      <c r="M37" s="221" t="str">
        <v>H0</v>
      </c>
      <c r="N37" s="299">
        <v>43908</v>
      </c>
      <c r="O37" s="221" t="str">
        <v>EDH0</v>
      </c>
      <c r="P37" s="298">
        <v>43906</v>
      </c>
      <c r="Q37" s="221">
        <v>95.894999999999996</v>
      </c>
      <c r="R37" s="221">
        <v>95.905000000000001</v>
      </c>
      <c r="S37" s="221">
        <v>95.885000000000005</v>
      </c>
      <c r="T37" s="221">
        <v>95.93</v>
      </c>
      <c r="U37" s="225">
        <f>_xll.qlMidSafe($Q37,$R37)</f>
        <v>95.9</v>
      </c>
      <c r="V37" s="223"/>
      <c r="W37" s="297">
        <v>95.602500000000006</v>
      </c>
      <c r="X37" s="223"/>
      <c r="Y37" s="296">
        <v>95.9</v>
      </c>
      <c r="Z37" s="225">
        <f>_xll.qlSimpleQuoteSetValue(F37,Y37,Trigger)</f>
        <v>0</v>
      </c>
      <c r="AA37" s="42"/>
      <c r="AB37" s="19"/>
      <c r="AC37" s="19"/>
      <c r="AD37" s="19"/>
      <c r="AE37" s="19"/>
      <c r="AF37" s="258">
        <f t="shared" si="1"/>
        <v>9.9999999999909054E-5</v>
      </c>
      <c r="AH37" s="141"/>
      <c r="AI37" s="140">
        <v>32</v>
      </c>
      <c r="AJ37" s="138" t="b">
        <v>1</v>
      </c>
      <c r="AK37" s="138" t="str">
        <v>H0</v>
      </c>
      <c r="AL37" s="214" t="str">
        <f t="shared" si="2"/>
        <v>USDFUT3MH0ConvAdj_Quote</v>
      </c>
      <c r="AM37" s="213" t="str">
        <f>_xll.qlFuturesConvAdjustmentQuote(AL37,IborIndex,AK37,F37,Volatility,MeanReversion,Permanent,AND(ISERROR(Z37),ISERROR(FuturesHWConvAdj!Q36:Q37)),ObjectOverwrite)</f>
        <v>USDFUT3MH0ConvAdj_Quote#0937</v>
      </c>
      <c r="AN37" s="68" t="str">
        <f>_xll.ohRangeRetrieveError(AM37)</f>
        <v/>
      </c>
      <c r="AO37" s="42"/>
    </row>
    <row r="38" spans="1:41" x14ac:dyDescent="0.2">
      <c r="A38" s="141"/>
      <c r="B38" s="140">
        <v>33</v>
      </c>
      <c r="C38" s="139" t="b">
        <v>1</v>
      </c>
      <c r="D38" s="138" t="str">
        <v>M0</v>
      </c>
      <c r="E38" s="137" t="str">
        <f t="shared" ref="E38:E47" si="3">Currency&amp;$D$4&amp;$E$4&amp;$D38&amp;QuoteSuffix</f>
        <v>USDFUT3MM0_Quote</v>
      </c>
      <c r="F38" s="136" t="str">
        <f>_xll.qlSimpleQuote(E38,,PriceTickValue,Permanent,Trigger,ObjectOverwrite)</f>
        <v>USDFUT3MM0_Quote#0000</v>
      </c>
      <c r="G38" s="99" t="str">
        <f>_xll.ohRangeRetrieveError(F38)</f>
        <v/>
      </c>
      <c r="H38" s="135"/>
      <c r="J38" s="295"/>
      <c r="K38" s="301">
        <v>33</v>
      </c>
      <c r="L38" s="300" t="b">
        <v>1</v>
      </c>
      <c r="M38" s="221" t="str">
        <v>M0</v>
      </c>
      <c r="N38" s="299">
        <v>43999</v>
      </c>
      <c r="O38" s="221" t="str">
        <v>EDM0</v>
      </c>
      <c r="P38" s="298">
        <v>43997</v>
      </c>
      <c r="Q38" s="221">
        <v>95.84</v>
      </c>
      <c r="R38" s="221">
        <v>95.85</v>
      </c>
      <c r="S38" s="221">
        <v>95.855000000000004</v>
      </c>
      <c r="T38" s="221">
        <v>95.87</v>
      </c>
      <c r="U38" s="225">
        <f>_xll.qlMidSafe($Q38,$R38)</f>
        <v>95.844999999999999</v>
      </c>
      <c r="V38" s="223"/>
      <c r="W38" s="297">
        <v>95.525000000000006</v>
      </c>
      <c r="X38" s="223"/>
      <c r="Y38" s="296">
        <v>95.844999999999999</v>
      </c>
      <c r="Z38" s="225">
        <f>_xll.qlSimpleQuoteSetValue(F38,Y38,Trigger)</f>
        <v>2.4999999999977263E-3</v>
      </c>
      <c r="AA38" s="42"/>
      <c r="AB38" s="19"/>
      <c r="AC38" s="19"/>
      <c r="AD38" s="19"/>
      <c r="AE38" s="19"/>
      <c r="AF38" s="258">
        <f t="shared" si="1"/>
        <v>9.9999999999909054E-5</v>
      </c>
      <c r="AH38" s="141"/>
      <c r="AI38" s="140">
        <v>33</v>
      </c>
      <c r="AJ38" s="138" t="b">
        <v>1</v>
      </c>
      <c r="AK38" s="138" t="str">
        <v>M0</v>
      </c>
      <c r="AL38" s="214" t="str">
        <f t="shared" si="2"/>
        <v>USDFUT3MM0ConvAdj_Quote</v>
      </c>
      <c r="AM38" s="213" t="str">
        <f>_xll.qlFuturesConvAdjustmentQuote(AL38,IborIndex,AK38,F38,Volatility,MeanReversion,Permanent,AND(ISERROR(Z38),ISERROR(FuturesHWConvAdj!Q37:Q38)),ObjectOverwrite)</f>
        <v>USDFUT3MM0ConvAdj_Quote#0937</v>
      </c>
      <c r="AN38" s="68" t="str">
        <f>_xll.ohRangeRetrieveError(AM38)</f>
        <v/>
      </c>
      <c r="AO38" s="42"/>
    </row>
    <row r="39" spans="1:41" x14ac:dyDescent="0.2">
      <c r="A39" s="141"/>
      <c r="B39" s="140">
        <v>34</v>
      </c>
      <c r="C39" s="139" t="b">
        <v>1</v>
      </c>
      <c r="D39" s="138" t="str">
        <v>U0</v>
      </c>
      <c r="E39" s="137" t="str">
        <f t="shared" si="3"/>
        <v>USDFUT3MU0_Quote</v>
      </c>
      <c r="F39" s="136" t="str">
        <f>_xll.qlSimpleQuote(E39,,PriceTickValue,Permanent,Trigger,ObjectOverwrite)</f>
        <v>USDFUT3MU0_Quote#0000</v>
      </c>
      <c r="G39" s="99" t="str">
        <f>_xll.ohRangeRetrieveError(F39)</f>
        <v/>
      </c>
      <c r="H39" s="135"/>
      <c r="J39" s="295"/>
      <c r="K39" s="301">
        <v>34</v>
      </c>
      <c r="L39" s="300" t="b">
        <v>1</v>
      </c>
      <c r="M39" s="221" t="str">
        <v>U0</v>
      </c>
      <c r="N39" s="299">
        <v>44090</v>
      </c>
      <c r="O39" s="221" t="str">
        <v>EDU0</v>
      </c>
      <c r="P39" s="298">
        <v>44088</v>
      </c>
      <c r="Q39" s="221">
        <v>95.784999999999997</v>
      </c>
      <c r="R39" s="221">
        <v>95.795000000000002</v>
      </c>
      <c r="S39" s="221">
        <v>95.79</v>
      </c>
      <c r="T39" s="221">
        <v>95.82</v>
      </c>
      <c r="U39" s="225">
        <f>_xll.qlMidSafe($Q39,$R39)</f>
        <v>95.789999999999992</v>
      </c>
      <c r="V39" s="223"/>
      <c r="W39" s="297">
        <v>95.452500000000001</v>
      </c>
      <c r="X39" s="223"/>
      <c r="Y39" s="296">
        <v>95.789999999999992</v>
      </c>
      <c r="Z39" s="225">
        <f>_xll.qlSimpleQuoteSetValue(F39,Y39,Trigger)</f>
        <v>0</v>
      </c>
      <c r="AA39" s="42"/>
      <c r="AB39" s="19"/>
      <c r="AC39" s="19"/>
      <c r="AD39" s="19"/>
      <c r="AE39" s="19"/>
      <c r="AF39" s="258">
        <f t="shared" si="1"/>
        <v>1.0000000000019326E-4</v>
      </c>
      <c r="AH39" s="141"/>
      <c r="AI39" s="140">
        <v>34</v>
      </c>
      <c r="AJ39" s="138" t="b">
        <v>1</v>
      </c>
      <c r="AK39" s="138" t="str">
        <v>U0</v>
      </c>
      <c r="AL39" s="214" t="str">
        <f t="shared" si="2"/>
        <v>USDFUT3MU0ConvAdj_Quote</v>
      </c>
      <c r="AM39" s="213" t="str">
        <f>_xll.qlFuturesConvAdjustmentQuote(AL39,IborIndex,AK39,F39,Volatility,MeanReversion,Permanent,AND(ISERROR(Z39),ISERROR(FuturesHWConvAdj!Q38:Q39)),ObjectOverwrite)</f>
        <v>USDFUT3MU0ConvAdj_Quote#0937</v>
      </c>
      <c r="AN39" s="68" t="str">
        <f>_xll.ohRangeRetrieveError(AM39)</f>
        <v/>
      </c>
      <c r="AO39" s="42"/>
    </row>
    <row r="40" spans="1:41" x14ac:dyDescent="0.2">
      <c r="A40" s="141"/>
      <c r="B40" s="140">
        <v>35</v>
      </c>
      <c r="C40" s="139" t="b">
        <v>1</v>
      </c>
      <c r="D40" s="138" t="str">
        <v>Z0</v>
      </c>
      <c r="E40" s="137" t="str">
        <f t="shared" si="3"/>
        <v>USDFUT3MZ0_Quote</v>
      </c>
      <c r="F40" s="136" t="str">
        <f>_xll.qlSimpleQuote(E40,,PriceTickValue,Permanent,Trigger,ObjectOverwrite)</f>
        <v>USDFUT3MZ0_Quote#0000</v>
      </c>
      <c r="G40" s="99" t="str">
        <f>_xll.ohRangeRetrieveError(F40)</f>
        <v/>
      </c>
      <c r="H40" s="135"/>
      <c r="J40" s="295"/>
      <c r="K40" s="301">
        <v>35</v>
      </c>
      <c r="L40" s="300" t="b">
        <v>1</v>
      </c>
      <c r="M40" s="221" t="str">
        <v>Z0</v>
      </c>
      <c r="N40" s="299">
        <v>44181</v>
      </c>
      <c r="O40" s="221" t="str">
        <v>EDZ0</v>
      </c>
      <c r="P40" s="298">
        <v>44179</v>
      </c>
      <c r="Q40" s="221">
        <v>95.73</v>
      </c>
      <c r="R40" s="221">
        <v>95.745000000000005</v>
      </c>
      <c r="S40" s="221">
        <v>0</v>
      </c>
      <c r="T40" s="221">
        <v>95.765000000000001</v>
      </c>
      <c r="U40" s="225">
        <f>_xll.qlMidSafe($Q40,$R40)</f>
        <v>95.737500000000011</v>
      </c>
      <c r="V40" s="223"/>
      <c r="W40" s="297">
        <v>95.385000000000005</v>
      </c>
      <c r="X40" s="223"/>
      <c r="Y40" s="296">
        <v>95.737500000000011</v>
      </c>
      <c r="Z40" s="225">
        <f>_xll.qlSimpleQuoteSetValue(F40,Y40,Trigger)</f>
        <v>0</v>
      </c>
      <c r="AA40" s="42"/>
      <c r="AB40" s="19"/>
      <c r="AC40" s="19"/>
      <c r="AD40" s="19"/>
      <c r="AE40" s="19"/>
      <c r="AF40" s="258">
        <f t="shared" si="1"/>
        <v>1.4999999999986357E-4</v>
      </c>
      <c r="AH40" s="141"/>
      <c r="AI40" s="140">
        <v>35</v>
      </c>
      <c r="AJ40" s="138" t="b">
        <v>1</v>
      </c>
      <c r="AK40" s="138" t="str">
        <v>Z0</v>
      </c>
      <c r="AL40" s="214" t="str">
        <f t="shared" si="2"/>
        <v>USDFUT3MZ0ConvAdj_Quote</v>
      </c>
      <c r="AM40" s="213" t="str">
        <f>_xll.qlFuturesConvAdjustmentQuote(AL40,IborIndex,AK40,F40,Volatility,MeanReversion,Permanent,AND(ISERROR(Z40),ISERROR(FuturesHWConvAdj!Q39:Q40)),ObjectOverwrite)</f>
        <v>USDFUT3MZ0ConvAdj_Quote#0937</v>
      </c>
      <c r="AN40" s="68" t="str">
        <f>_xll.ohRangeRetrieveError(AM40)</f>
        <v/>
      </c>
      <c r="AO40" s="42"/>
    </row>
    <row r="41" spans="1:41" x14ac:dyDescent="0.2">
      <c r="A41" s="141"/>
      <c r="B41" s="140">
        <v>36</v>
      </c>
      <c r="C41" s="139" t="b">
        <v>1</v>
      </c>
      <c r="D41" s="138" t="str">
        <v>H1</v>
      </c>
      <c r="E41" s="137" t="str">
        <f t="shared" si="3"/>
        <v>USDFUT3MH1_Quote</v>
      </c>
      <c r="F41" s="136" t="str">
        <f>_xll.qlSimpleQuote(E41,,PriceTickValue,Permanent,Trigger,ObjectOverwrite)</f>
        <v>USDFUT3MH1_Quote#0000</v>
      </c>
      <c r="G41" s="99" t="str">
        <f>_xll.ohRangeRetrieveError(F41)</f>
        <v/>
      </c>
      <c r="H41" s="135"/>
      <c r="J41" s="295"/>
      <c r="K41" s="301">
        <v>36</v>
      </c>
      <c r="L41" s="300" t="b">
        <v>1</v>
      </c>
      <c r="M41" s="221" t="str">
        <v>H1</v>
      </c>
      <c r="N41" s="299">
        <v>44272</v>
      </c>
      <c r="O41" s="221" t="str">
        <v>EDH1</v>
      </c>
      <c r="P41" s="298">
        <v>44270</v>
      </c>
      <c r="Q41" s="221">
        <v>95.694999999999993</v>
      </c>
      <c r="R41" s="221">
        <v>95.734999999999999</v>
      </c>
      <c r="S41" s="221">
        <v>95.694999999999993</v>
      </c>
      <c r="T41" s="221">
        <v>95.73</v>
      </c>
      <c r="U41" s="225">
        <f>_xll.qlMidSafe($Q41,$R41)</f>
        <v>95.715000000000003</v>
      </c>
      <c r="V41" s="223"/>
      <c r="W41" s="297">
        <v>95.317499999999995</v>
      </c>
      <c r="X41" s="223"/>
      <c r="Y41" s="296">
        <v>95.715000000000003</v>
      </c>
      <c r="Z41" s="225">
        <f>_xll.qlSimpleQuoteSetValue(F41,Y41,Trigger)</f>
        <v>0</v>
      </c>
      <c r="AA41" s="42"/>
      <c r="AB41" s="19"/>
      <c r="AC41" s="19"/>
      <c r="AD41" s="19"/>
      <c r="AE41" s="19"/>
      <c r="AF41" s="258">
        <f t="shared" si="1"/>
        <v>3.9999999999992044E-4</v>
      </c>
      <c r="AH41" s="141"/>
      <c r="AI41" s="140">
        <v>36</v>
      </c>
      <c r="AJ41" s="138" t="b">
        <v>1</v>
      </c>
      <c r="AK41" s="138" t="str">
        <v>H1</v>
      </c>
      <c r="AL41" s="214" t="str">
        <f t="shared" si="2"/>
        <v>USDFUT3MH1ConvAdj_Quote</v>
      </c>
      <c r="AM41" s="213" t="str">
        <f>_xll.qlFuturesConvAdjustmentQuote(AL41,IborIndex,AK41,F41,Volatility,MeanReversion,Permanent,AND(ISERROR(Z41),ISERROR(FuturesHWConvAdj!Q40:Q41)),ObjectOverwrite)</f>
        <v>USDFUT3MH1ConvAdj_Quote#0937</v>
      </c>
      <c r="AN41" s="68" t="str">
        <f>_xll.ohRangeRetrieveError(AM41)</f>
        <v/>
      </c>
      <c r="AO41" s="42"/>
    </row>
    <row r="42" spans="1:41" x14ac:dyDescent="0.2">
      <c r="A42" s="141"/>
      <c r="B42" s="140">
        <v>37</v>
      </c>
      <c r="C42" s="139" t="b">
        <v>1</v>
      </c>
      <c r="D42" s="138" t="str">
        <v>M1</v>
      </c>
      <c r="E42" s="137" t="str">
        <f t="shared" si="3"/>
        <v>USDFUT3MM1_Quote</v>
      </c>
      <c r="F42" s="136" t="str">
        <f>_xll.qlSimpleQuote(E42,,PriceTickValue,Permanent,Trigger,ObjectOverwrite)</f>
        <v>USDFUT3MM1_Quote#0000</v>
      </c>
      <c r="G42" s="99" t="str">
        <f>_xll.ohRangeRetrieveError(F42)</f>
        <v/>
      </c>
      <c r="H42" s="135"/>
      <c r="J42" s="295"/>
      <c r="K42" s="301">
        <v>37</v>
      </c>
      <c r="L42" s="300" t="b">
        <v>1</v>
      </c>
      <c r="M42" s="221" t="str">
        <v>M1</v>
      </c>
      <c r="N42" s="299">
        <v>44363</v>
      </c>
      <c r="O42" s="221" t="str">
        <v>EDM1</v>
      </c>
      <c r="P42" s="298">
        <v>44361</v>
      </c>
      <c r="Q42" s="221">
        <v>95.644999999999996</v>
      </c>
      <c r="R42" s="221">
        <v>95.7</v>
      </c>
      <c r="S42" s="221">
        <v>95.655000000000001</v>
      </c>
      <c r="T42" s="221">
        <v>95.69</v>
      </c>
      <c r="U42" s="225">
        <f>_xll.qlMidSafe($Q42,$R42)</f>
        <v>95.672499999999999</v>
      </c>
      <c r="V42" s="223"/>
      <c r="W42" s="297">
        <v>95.277500000000003</v>
      </c>
      <c r="X42" s="223"/>
      <c r="Y42" s="296">
        <v>95.672499999999999</v>
      </c>
      <c r="Z42" s="225">
        <f>_xll.qlSimpleQuoteSetValue(F42,Y42,Trigger)</f>
        <v>0</v>
      </c>
      <c r="AA42" s="42"/>
      <c r="AB42" s="19"/>
      <c r="AC42" s="19"/>
      <c r="AD42" s="19"/>
      <c r="AE42" s="19"/>
      <c r="AF42" s="258">
        <f t="shared" si="1"/>
        <v>5.5000000000006823E-4</v>
      </c>
      <c r="AH42" s="141"/>
      <c r="AI42" s="140">
        <v>37</v>
      </c>
      <c r="AJ42" s="138" t="b">
        <v>1</v>
      </c>
      <c r="AK42" s="138" t="str">
        <v>M1</v>
      </c>
      <c r="AL42" s="214" t="str">
        <f t="shared" si="2"/>
        <v>USDFUT3MM1ConvAdj_Quote</v>
      </c>
      <c r="AM42" s="213" t="str">
        <f>_xll.qlFuturesConvAdjustmentQuote(AL42,IborIndex,AK42,F42,Volatility,MeanReversion,Permanent,AND(ISERROR(Z42),ISERROR(FuturesHWConvAdj!Q41:Q42)),ObjectOverwrite)</f>
        <v>USDFUT3MM1ConvAdj_Quote#0937</v>
      </c>
      <c r="AN42" s="68" t="str">
        <f>_xll.ohRangeRetrieveError(AM42)</f>
        <v/>
      </c>
      <c r="AO42" s="42"/>
    </row>
    <row r="43" spans="1:41" x14ac:dyDescent="0.2">
      <c r="A43" s="141"/>
      <c r="B43" s="140">
        <v>38</v>
      </c>
      <c r="C43" s="139" t="b">
        <v>1</v>
      </c>
      <c r="D43" s="138" t="str">
        <v>U1</v>
      </c>
      <c r="E43" s="137" t="str">
        <f t="shared" si="3"/>
        <v>USDFUT3MU1_Quote</v>
      </c>
      <c r="F43" s="136" t="str">
        <f>_xll.qlSimpleQuote(E43,,PriceTickValue,Permanent,Trigger,ObjectOverwrite)</f>
        <v>USDFUT3MU1_Quote#0000</v>
      </c>
      <c r="G43" s="99" t="str">
        <f>_xll.ohRangeRetrieveError(F43)</f>
        <v/>
      </c>
      <c r="H43" s="135"/>
      <c r="J43" s="295"/>
      <c r="K43" s="301">
        <v>38</v>
      </c>
      <c r="L43" s="300" t="b">
        <v>1</v>
      </c>
      <c r="M43" s="221" t="str">
        <v>U1</v>
      </c>
      <c r="N43" s="299">
        <v>44454</v>
      </c>
      <c r="O43" s="221" t="str">
        <v>EDU1</v>
      </c>
      <c r="P43" s="298">
        <v>44452</v>
      </c>
      <c r="Q43" s="221">
        <v>95.594999999999999</v>
      </c>
      <c r="R43" s="221">
        <v>95.665000000000006</v>
      </c>
      <c r="S43" s="221">
        <v>0</v>
      </c>
      <c r="T43" s="221">
        <v>95.66</v>
      </c>
      <c r="U43" s="225">
        <f>_xll.qlMidSafe($Q43,$R43)</f>
        <v>95.63</v>
      </c>
      <c r="V43" s="223"/>
      <c r="W43" s="297">
        <v>95.224999999999994</v>
      </c>
      <c r="X43" s="223"/>
      <c r="Y43" s="296">
        <v>95.63</v>
      </c>
      <c r="Z43" s="225">
        <f>_xll.qlSimpleQuoteSetValue(F43,Y43,Trigger)</f>
        <v>0</v>
      </c>
      <c r="AA43" s="42"/>
      <c r="AB43" s="19"/>
      <c r="AC43" s="19"/>
      <c r="AD43" s="19"/>
      <c r="AE43" s="19"/>
      <c r="AF43" s="258">
        <f t="shared" si="1"/>
        <v>7.0000000000021597E-4</v>
      </c>
      <c r="AH43" s="141"/>
      <c r="AI43" s="140">
        <v>38</v>
      </c>
      <c r="AJ43" s="138" t="b">
        <v>1</v>
      </c>
      <c r="AK43" s="138" t="str">
        <v>U1</v>
      </c>
      <c r="AL43" s="214" t="str">
        <f t="shared" si="2"/>
        <v>USDFUT3MU1ConvAdj_Quote</v>
      </c>
      <c r="AM43" s="213" t="str">
        <f>_xll.qlFuturesConvAdjustmentQuote(AL43,IborIndex,AK43,F43,Volatility,MeanReversion,Permanent,AND(ISERROR(Z43),ISERROR(FuturesHWConvAdj!Q42:Q43)),ObjectOverwrite)</f>
        <v>USDFUT3MU1ConvAdj_Quote#0937</v>
      </c>
      <c r="AN43" s="68" t="str">
        <f>_xll.ohRangeRetrieveError(AM43)</f>
        <v/>
      </c>
      <c r="AO43" s="42"/>
    </row>
    <row r="44" spans="1:41" x14ac:dyDescent="0.2">
      <c r="A44" s="141"/>
      <c r="B44" s="140">
        <v>39</v>
      </c>
      <c r="C44" s="139" t="b">
        <v>1</v>
      </c>
      <c r="D44" s="138" t="str">
        <v>Z1</v>
      </c>
      <c r="E44" s="137" t="str">
        <f t="shared" si="3"/>
        <v>USDFUT3MZ1_Quote</v>
      </c>
      <c r="F44" s="136" t="str">
        <f>_xll.qlSimpleQuote(E44,,PriceTickValue,Permanent,Trigger,ObjectOverwrite)</f>
        <v>USDFUT3MZ1_Quote#0000</v>
      </c>
      <c r="G44" s="99" t="str">
        <f>_xll.ohRangeRetrieveError(F44)</f>
        <v/>
      </c>
      <c r="H44" s="135"/>
      <c r="J44" s="295"/>
      <c r="K44" s="301">
        <v>39</v>
      </c>
      <c r="L44" s="300" t="b">
        <v>1</v>
      </c>
      <c r="M44" s="221" t="str">
        <v>Z1</v>
      </c>
      <c r="N44" s="299">
        <v>44545</v>
      </c>
      <c r="O44" s="221" t="str">
        <v>EDZ1</v>
      </c>
      <c r="P44" s="298">
        <v>44543</v>
      </c>
      <c r="Q44" s="221">
        <v>95.58</v>
      </c>
      <c r="R44" s="221">
        <v>95.62</v>
      </c>
      <c r="S44" s="221">
        <v>0</v>
      </c>
      <c r="T44" s="221">
        <v>95.62</v>
      </c>
      <c r="U44" s="225">
        <f>_xll.qlMidSafe($Q44,$R44)</f>
        <v>95.6</v>
      </c>
      <c r="V44" s="223"/>
      <c r="W44" s="297">
        <v>95.192499999999995</v>
      </c>
      <c r="X44" s="223"/>
      <c r="Y44" s="296">
        <v>95.6</v>
      </c>
      <c r="Z44" s="225">
        <f>_xll.qlSimpleQuoteSetValue(F44,Y44,Trigger)</f>
        <v>0</v>
      </c>
      <c r="AA44" s="42"/>
      <c r="AB44" s="19"/>
      <c r="AC44" s="19"/>
      <c r="AD44" s="19"/>
      <c r="AE44" s="19"/>
      <c r="AF44" s="258">
        <f t="shared" si="1"/>
        <v>4.0000000000020466E-4</v>
      </c>
      <c r="AH44" s="141"/>
      <c r="AI44" s="140">
        <v>39</v>
      </c>
      <c r="AJ44" s="138" t="b">
        <v>1</v>
      </c>
      <c r="AK44" s="138" t="str">
        <v>Z1</v>
      </c>
      <c r="AL44" s="214" t="str">
        <f t="shared" si="2"/>
        <v>USDFUT3MZ1ConvAdj_Quote</v>
      </c>
      <c r="AM44" s="213" t="str">
        <f>_xll.qlFuturesConvAdjustmentQuote(AL44,IborIndex,AK44,F44,Volatility,MeanReversion,Permanent,AND(ISERROR(Z44),ISERROR(FuturesHWConvAdj!Q43:Q44)),ObjectOverwrite)</f>
        <v>USDFUT3MZ1ConvAdj_Quote#0937</v>
      </c>
      <c r="AN44" s="68" t="str">
        <f>_xll.ohRangeRetrieveError(AM44)</f>
        <v/>
      </c>
      <c r="AO44" s="42"/>
    </row>
    <row r="45" spans="1:41" x14ac:dyDescent="0.2">
      <c r="A45" s="141"/>
      <c r="B45" s="140">
        <v>40</v>
      </c>
      <c r="C45" s="139" t="b">
        <v>1</v>
      </c>
      <c r="D45" s="138" t="str">
        <v>H2</v>
      </c>
      <c r="E45" s="137" t="str">
        <f t="shared" si="3"/>
        <v>USDFUT3MH2_Quote</v>
      </c>
      <c r="F45" s="136" t="str">
        <f>_xll.qlSimpleQuote(E45,,PriceTickValue,Permanent,Trigger,ObjectOverwrite)</f>
        <v>USDFUT3MH2_Quote#0000</v>
      </c>
      <c r="G45" s="99" t="str">
        <f>_xll.ohRangeRetrieveError(F45)</f>
        <v/>
      </c>
      <c r="H45" s="135"/>
      <c r="J45" s="295"/>
      <c r="K45" s="301">
        <v>40</v>
      </c>
      <c r="L45" s="300" t="b">
        <v>1</v>
      </c>
      <c r="M45" s="221" t="str">
        <v>H2</v>
      </c>
      <c r="N45" s="299">
        <v>44636</v>
      </c>
      <c r="O45" s="221" t="str">
        <v>EDH2</v>
      </c>
      <c r="P45" s="298">
        <v>44634</v>
      </c>
      <c r="Q45" s="221">
        <v>95.525000000000006</v>
      </c>
      <c r="R45" s="221">
        <v>95.61</v>
      </c>
      <c r="S45" s="221">
        <v>0</v>
      </c>
      <c r="T45" s="221">
        <v>95.594999999999999</v>
      </c>
      <c r="U45" s="225">
        <f>_xll.qlMidSafe($Q45,$R45)</f>
        <v>95.567499999999995</v>
      </c>
      <c r="V45" s="223"/>
      <c r="W45" s="297">
        <v>95.137500000000003</v>
      </c>
      <c r="X45" s="223"/>
      <c r="Y45" s="296">
        <v>95.567499999999995</v>
      </c>
      <c r="Z45" s="225">
        <f>_xll.qlSimpleQuoteSetValue(F45,Y45,Trigger)</f>
        <v>0</v>
      </c>
      <c r="AA45" s="42"/>
      <c r="AB45" s="19"/>
      <c r="AC45" s="19"/>
      <c r="AD45" s="19"/>
      <c r="AE45" s="19"/>
      <c r="AF45" s="258">
        <f t="shared" si="1"/>
        <v>8.5000000000007953E-4</v>
      </c>
      <c r="AH45" s="141"/>
      <c r="AI45" s="140">
        <v>40</v>
      </c>
      <c r="AJ45" s="138" t="b">
        <v>1</v>
      </c>
      <c r="AK45" s="138" t="str">
        <v>H2</v>
      </c>
      <c r="AL45" s="214" t="str">
        <f t="shared" si="2"/>
        <v>USDFUT3MH2ConvAdj_Quote</v>
      </c>
      <c r="AM45" s="213" t="str">
        <f>_xll.qlFuturesConvAdjustmentQuote(AL45,IborIndex,AK45,F45,Volatility,MeanReversion,Permanent,AND(ISERROR(Z45),ISERROR(FuturesHWConvAdj!Q44:Q45)),ObjectOverwrite)</f>
        <v>USDFUT3MH2ConvAdj_Quote#0937</v>
      </c>
      <c r="AN45" s="68" t="str">
        <f>_xll.ohRangeRetrieveError(AM45)</f>
        <v/>
      </c>
      <c r="AO45" s="42"/>
    </row>
    <row r="46" spans="1:41" x14ac:dyDescent="0.2">
      <c r="A46" s="141"/>
      <c r="B46" s="140">
        <v>41</v>
      </c>
      <c r="C46" s="139" t="b">
        <v>1</v>
      </c>
      <c r="D46" s="138" t="str">
        <v>M2</v>
      </c>
      <c r="E46" s="137" t="str">
        <f t="shared" si="3"/>
        <v>USDFUT3MM2_Quote</v>
      </c>
      <c r="F46" s="136" t="str">
        <f>_xll.qlSimpleQuote(E46,,PriceTickValue,Permanent,Trigger,ObjectOverwrite)</f>
        <v>USDFUT3MM2_Quote#0000</v>
      </c>
      <c r="G46" s="99" t="str">
        <f>_xll.ohRangeRetrieveError(F46)</f>
        <v/>
      </c>
      <c r="H46" s="135"/>
      <c r="J46" s="295"/>
      <c r="K46" s="301">
        <v>41</v>
      </c>
      <c r="L46" s="300" t="b">
        <v>1</v>
      </c>
      <c r="M46" s="221" t="str">
        <v>M2</v>
      </c>
      <c r="N46" s="299">
        <v>44727</v>
      </c>
      <c r="O46" s="221" t="str">
        <v>EDM2</v>
      </c>
      <c r="P46" s="298">
        <v>44725</v>
      </c>
      <c r="Q46" s="221">
        <v>95.5</v>
      </c>
      <c r="R46" s="221">
        <v>95.594999999999999</v>
      </c>
      <c r="S46" s="221">
        <v>0</v>
      </c>
      <c r="T46" s="221">
        <v>95.57</v>
      </c>
      <c r="U46" s="225">
        <f>_xll.qlMidSafe($Q46,$R46)</f>
        <v>95.547499999999999</v>
      </c>
      <c r="V46" s="223"/>
      <c r="W46" s="297">
        <v>95.117500000000007</v>
      </c>
      <c r="X46" s="223"/>
      <c r="Y46" s="296">
        <v>95.547499999999999</v>
      </c>
      <c r="Z46" s="225">
        <f>_xll.qlSimpleQuoteSetValue(F46,Y46,Trigger)</f>
        <v>0</v>
      </c>
      <c r="AA46" s="42"/>
      <c r="AB46" s="19"/>
      <c r="AC46" s="19"/>
      <c r="AD46" s="19"/>
      <c r="AE46" s="19"/>
      <c r="AF46" s="258">
        <f t="shared" si="1"/>
        <v>9.4999999999998861E-4</v>
      </c>
      <c r="AH46" s="141"/>
      <c r="AI46" s="140">
        <v>41</v>
      </c>
      <c r="AJ46" s="138" t="b">
        <v>1</v>
      </c>
      <c r="AK46" s="138" t="str">
        <v>M2</v>
      </c>
      <c r="AL46" s="214" t="str">
        <f t="shared" si="2"/>
        <v>USDFUT3MM2ConvAdj_Quote</v>
      </c>
      <c r="AM46" s="213" t="str">
        <f>_xll.qlFuturesConvAdjustmentQuote(AL46,IborIndex,AK46,F46,Volatility,MeanReversion,Permanent,AND(ISERROR(Z46),ISERROR(FuturesHWConvAdj!Q45:Q46)),ObjectOverwrite)</f>
        <v>USDFUT3MM2ConvAdj_Quote#0937</v>
      </c>
      <c r="AN46" s="68" t="str">
        <f>_xll.ohRangeRetrieveError(AM46)</f>
        <v/>
      </c>
      <c r="AO46" s="42"/>
    </row>
    <row r="47" spans="1:41" x14ac:dyDescent="0.2">
      <c r="A47" s="141"/>
      <c r="B47" s="140">
        <v>42</v>
      </c>
      <c r="C47" s="139" t="b">
        <v>1</v>
      </c>
      <c r="D47" s="138" t="str">
        <v>U2</v>
      </c>
      <c r="E47" s="137" t="str">
        <f t="shared" si="3"/>
        <v>USDFUT3MU2_Quote</v>
      </c>
      <c r="F47" s="136" t="str">
        <f>_xll.qlSimpleQuote(E47,,PriceTickValue,Permanent,Trigger,ObjectOverwrite)</f>
        <v>USDFUT3MU2_Quote#0000</v>
      </c>
      <c r="G47" s="99" t="str">
        <f>_xll.ohRangeRetrieveError(F47)</f>
        <v/>
      </c>
      <c r="H47" s="135"/>
      <c r="J47" s="295"/>
      <c r="K47" s="294">
        <v>42</v>
      </c>
      <c r="L47" s="293" t="b">
        <v>1</v>
      </c>
      <c r="M47" s="234" t="str">
        <v>U2</v>
      </c>
      <c r="N47" s="292">
        <v>44825</v>
      </c>
      <c r="O47" s="234" t="str">
        <v>EDU2</v>
      </c>
      <c r="P47" s="291">
        <v>44823</v>
      </c>
      <c r="Q47" s="234">
        <v>95.48</v>
      </c>
      <c r="R47" s="234">
        <v>95.57</v>
      </c>
      <c r="S47" s="234">
        <v>0</v>
      </c>
      <c r="T47" s="234">
        <v>95.545000000000002</v>
      </c>
      <c r="U47" s="237">
        <f>_xll.qlMidSafe($Q47,$R47)</f>
        <v>95.525000000000006</v>
      </c>
      <c r="V47" s="223"/>
      <c r="W47" s="290">
        <v>95.092500000000001</v>
      </c>
      <c r="X47" s="223"/>
      <c r="Y47" s="289">
        <v>95.525000000000006</v>
      </c>
      <c r="Z47" s="237">
        <f>_xll.qlSimpleQuoteSetValue(F47,Y47,Trigger)</f>
        <v>5.0000000000096634E-3</v>
      </c>
      <c r="AA47" s="42"/>
      <c r="AB47" s="19"/>
      <c r="AC47" s="19"/>
      <c r="AD47" s="19"/>
      <c r="AE47" s="19"/>
      <c r="AF47" s="258">
        <f t="shared" si="1"/>
        <v>8.9999999999974985E-4</v>
      </c>
      <c r="AH47" s="141"/>
      <c r="AI47" s="140">
        <v>42</v>
      </c>
      <c r="AJ47" s="138" t="b">
        <v>1</v>
      </c>
      <c r="AK47" s="138" t="str">
        <v>U2</v>
      </c>
      <c r="AL47" s="214" t="str">
        <f t="shared" si="2"/>
        <v>USDFUT3MU2ConvAdj_Quote</v>
      </c>
      <c r="AM47" s="213" t="str">
        <f>_xll.qlFuturesConvAdjustmentQuote(AL47,IborIndex,AK47,F47,Volatility,MeanReversion,Permanent,AND(ISERROR(Z47),ISERROR(FuturesHWConvAdj!Q46:Q47)),ObjectOverwrite)</f>
        <v>USDFUT3MU2ConvAdj_Quote#0937</v>
      </c>
      <c r="AN47" s="68" t="str">
        <f>_xll.ohRangeRetrieveError(AM47)</f>
        <v/>
      </c>
      <c r="AO47" s="42"/>
    </row>
    <row r="48" spans="1:41" ht="12" thickBot="1" x14ac:dyDescent="0.25">
      <c r="A48" s="134"/>
      <c r="B48" s="133"/>
      <c r="C48" s="133"/>
      <c r="D48" s="133"/>
      <c r="E48" s="133"/>
      <c r="F48" s="133"/>
      <c r="G48" s="133"/>
      <c r="H48" s="132"/>
      <c r="J48" s="288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39"/>
      <c r="AB48" s="19"/>
      <c r="AC48" s="19"/>
      <c r="AD48" s="19"/>
      <c r="AE48" s="19"/>
      <c r="AF48" s="19"/>
      <c r="AH48" s="134"/>
      <c r="AI48" s="133"/>
      <c r="AJ48" s="133"/>
      <c r="AK48" s="133"/>
      <c r="AL48" s="133"/>
      <c r="AM48" s="133"/>
      <c r="AN48" s="133"/>
      <c r="AO48" s="39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8" sqref="F8"/>
    </sheetView>
  </sheetViews>
  <sheetFormatPr defaultRowHeight="11.25" x14ac:dyDescent="0.2"/>
  <cols>
    <col min="1" max="1" width="2.7109375" style="97" customWidth="1"/>
    <col min="2" max="2" width="3.5703125" style="97" bestFit="1" customWidth="1"/>
    <col min="3" max="3" width="5.7109375" style="97" bestFit="1" customWidth="1"/>
    <col min="4" max="4" width="6.5703125" style="97" bestFit="1" customWidth="1"/>
    <col min="5" max="5" width="20.140625" style="97" bestFit="1" customWidth="1"/>
    <col min="6" max="6" width="23.140625" style="97" bestFit="1" customWidth="1"/>
    <col min="7" max="7" width="33.85546875" style="97" customWidth="1"/>
    <col min="8" max="8" width="2.7109375" style="97" customWidth="1"/>
    <col min="9" max="16384" width="9.140625" style="97"/>
  </cols>
  <sheetData>
    <row r="1" spans="1:8" x14ac:dyDescent="0.2">
      <c r="A1" s="152" t="s">
        <v>159</v>
      </c>
      <c r="B1" s="151"/>
      <c r="C1" s="151"/>
      <c r="D1" s="150" t="s">
        <v>158</v>
      </c>
      <c r="E1" s="150" t="s">
        <v>15</v>
      </c>
      <c r="F1" s="149"/>
      <c r="G1" s="149"/>
      <c r="H1" s="148"/>
    </row>
    <row r="2" spans="1:8" ht="22.5" x14ac:dyDescent="0.2">
      <c r="A2" s="147"/>
      <c r="B2" s="86" t="s">
        <v>156</v>
      </c>
      <c r="C2" s="87" t="s">
        <v>155</v>
      </c>
      <c r="D2" s="87" t="s">
        <v>154</v>
      </c>
      <c r="E2" s="85" t="str">
        <f>Currency&amp;"_010_"&amp;$D$1&amp;$E$1&amp;".xml"</f>
        <v>USD_010_IMMFRA6M.xml</v>
      </c>
      <c r="F2" s="84" t="str">
        <f>IF(Serialize,_xll.ohObjectSave(F3:F122,SerializationPath&amp;E2,FileOverwrite,Serialize),"---")</f>
        <v>---</v>
      </c>
      <c r="G2" s="102" t="str">
        <f>_xll.ohRangeRetrieveError(F2)</f>
        <v/>
      </c>
      <c r="H2" s="135"/>
    </row>
    <row r="3" spans="1:8" x14ac:dyDescent="0.2">
      <c r="A3" s="141"/>
      <c r="B3" s="146">
        <v>1</v>
      </c>
      <c r="C3" s="145" t="b">
        <v>0</v>
      </c>
      <c r="D3" s="144" t="str">
        <f t="array" ref="D3:D122">_xll.qlIMMNextCodes(_xll.qlSettingsEvaluationDate(Trigger)-1,$C3:$C122)</f>
        <v>K4</v>
      </c>
      <c r="E3" s="137" t="str">
        <f t="shared" ref="E3:E34" si="0">Currency&amp;$D$1&amp;$E$1&amp;$D3&amp;QuoteSuffix</f>
        <v>USDIMMFRA6MK4_Quote</v>
      </c>
      <c r="F3" s="143" t="str">
        <f>_xll.qlSimpleQuote(E3,,PriceTickValue,Permanent,Trigger,ObjectOverwrite)</f>
        <v>USDIMMFRA6MK4_Quote#0000</v>
      </c>
      <c r="G3" s="142" t="str">
        <f>_xll.ohRangeRetrieveError(F3)</f>
        <v/>
      </c>
      <c r="H3" s="135"/>
    </row>
    <row r="4" spans="1:8" x14ac:dyDescent="0.2">
      <c r="A4" s="141"/>
      <c r="B4" s="140">
        <v>2</v>
      </c>
      <c r="C4" s="139" t="b">
        <v>0</v>
      </c>
      <c r="D4" s="138" t="str">
        <v>M4</v>
      </c>
      <c r="E4" s="137" t="str">
        <f t="shared" si="0"/>
        <v>USDIMMFRA6MM4_Quote</v>
      </c>
      <c r="F4" s="136" t="str">
        <f>_xll.qlSimpleQuote(E4,,PriceTickValue,Permanent,Trigger,ObjectOverwrite)</f>
        <v>USDIMMFRA6MM4_Quote#0000</v>
      </c>
      <c r="G4" s="99" t="str">
        <f>_xll.ohRangeRetrieveError(F4)</f>
        <v/>
      </c>
      <c r="H4" s="135"/>
    </row>
    <row r="5" spans="1:8" x14ac:dyDescent="0.2">
      <c r="A5" s="141"/>
      <c r="B5" s="140">
        <v>3</v>
      </c>
      <c r="C5" s="139" t="b">
        <v>0</v>
      </c>
      <c r="D5" s="138" t="str">
        <v>N4</v>
      </c>
      <c r="E5" s="137" t="str">
        <f t="shared" si="0"/>
        <v>USDIMMFRA6MN4_Quote</v>
      </c>
      <c r="F5" s="136" t="str">
        <f>_xll.qlSimpleQuote(E5,,PriceTickValue,Permanent,Trigger,ObjectOverwrite)</f>
        <v>USDIMMFRA6MN4_Quote#0000</v>
      </c>
      <c r="G5" s="99" t="str">
        <f>_xll.ohRangeRetrieveError(F5)</f>
        <v/>
      </c>
      <c r="H5" s="135"/>
    </row>
    <row r="6" spans="1:8" x14ac:dyDescent="0.2">
      <c r="A6" s="141"/>
      <c r="B6" s="140">
        <v>4</v>
      </c>
      <c r="C6" s="139" t="b">
        <v>0</v>
      </c>
      <c r="D6" s="138" t="str">
        <v>Q4</v>
      </c>
      <c r="E6" s="137" t="str">
        <f t="shared" si="0"/>
        <v>USDIMMFRA6MQ4_Quote</v>
      </c>
      <c r="F6" s="136" t="str">
        <f>_xll.qlSimpleQuote(E6,,PriceTickValue,Permanent,Trigger,ObjectOverwrite)</f>
        <v>USDIMMFRA6MQ4_Quote#0000</v>
      </c>
      <c r="G6" s="99" t="str">
        <f>_xll.ohRangeRetrieveError(F6)</f>
        <v/>
      </c>
      <c r="H6" s="135"/>
    </row>
    <row r="7" spans="1:8" x14ac:dyDescent="0.2">
      <c r="A7" s="141"/>
      <c r="B7" s="140">
        <v>5</v>
      </c>
      <c r="C7" s="139" t="b">
        <v>0</v>
      </c>
      <c r="D7" s="138" t="str">
        <v>U4</v>
      </c>
      <c r="E7" s="137" t="str">
        <f t="shared" si="0"/>
        <v>USDIMMFRA6MU4_Quote</v>
      </c>
      <c r="F7" s="136" t="str">
        <f>_xll.qlSimpleQuote(E7,,PriceTickValue,Permanent,Trigger,ObjectOverwrite)</f>
        <v>USDIMMFRA6MU4_Quote#0000</v>
      </c>
      <c r="G7" s="99" t="str">
        <f>_xll.ohRangeRetrieveError(F7)</f>
        <v/>
      </c>
      <c r="H7" s="135"/>
    </row>
    <row r="8" spans="1:8" x14ac:dyDescent="0.2">
      <c r="A8" s="141"/>
      <c r="B8" s="140">
        <v>6</v>
      </c>
      <c r="C8" s="139" t="b">
        <v>0</v>
      </c>
      <c r="D8" s="138" t="str">
        <v>V4</v>
      </c>
      <c r="E8" s="137" t="str">
        <f t="shared" si="0"/>
        <v>USDIMMFRA6MV4_Quote</v>
      </c>
      <c r="F8" s="136" t="str">
        <f>_xll.qlSimpleQuote(E8,,PriceTickValue,Permanent,Trigger,ObjectOverwrite)</f>
        <v>USDIMMFRA6MV4_Quote#0000</v>
      </c>
      <c r="G8" s="99" t="str">
        <f>_xll.ohRangeRetrieveError(F8)</f>
        <v/>
      </c>
      <c r="H8" s="135"/>
    </row>
    <row r="9" spans="1:8" x14ac:dyDescent="0.2">
      <c r="A9" s="141"/>
      <c r="B9" s="140">
        <v>7</v>
      </c>
      <c r="C9" s="139" t="b">
        <v>0</v>
      </c>
      <c r="D9" s="138" t="str">
        <v>X4</v>
      </c>
      <c r="E9" s="137" t="str">
        <f t="shared" si="0"/>
        <v>USDIMMFRA6MX4_Quote</v>
      </c>
      <c r="F9" s="136" t="str">
        <f>_xll.qlSimpleQuote(E9,,PriceTickValue,Permanent,Trigger,ObjectOverwrite)</f>
        <v>USDIMMFRA6MX4_Quote#0000</v>
      </c>
      <c r="G9" s="99" t="str">
        <f>_xll.ohRangeRetrieveError(F9)</f>
        <v/>
      </c>
      <c r="H9" s="135"/>
    </row>
    <row r="10" spans="1:8" x14ac:dyDescent="0.2">
      <c r="A10" s="141"/>
      <c r="B10" s="140">
        <v>8</v>
      </c>
      <c r="C10" s="139" t="b">
        <v>0</v>
      </c>
      <c r="D10" s="138" t="str">
        <v>Z4</v>
      </c>
      <c r="E10" s="137" t="str">
        <f t="shared" si="0"/>
        <v>USDIMMFRA6MZ4_Quote</v>
      </c>
      <c r="F10" s="136" t="str">
        <f>_xll.qlSimpleQuote(E10,,PriceTickValue,Permanent,Trigger,ObjectOverwrite)</f>
        <v>USDIMMFRA6MZ4_Quote#0000</v>
      </c>
      <c r="G10" s="99" t="str">
        <f>_xll.ohRangeRetrieveError(F10)</f>
        <v/>
      </c>
      <c r="H10" s="135"/>
    </row>
    <row r="11" spans="1:8" x14ac:dyDescent="0.2">
      <c r="A11" s="141"/>
      <c r="B11" s="140">
        <v>9</v>
      </c>
      <c r="C11" s="139" t="b">
        <v>0</v>
      </c>
      <c r="D11" s="138" t="str">
        <v>F5</v>
      </c>
      <c r="E11" s="137" t="str">
        <f t="shared" si="0"/>
        <v>USDIMMFRA6MF5_Quote</v>
      </c>
      <c r="F11" s="136" t="str">
        <f>_xll.qlSimpleQuote(E11,,PriceTickValue,Permanent,Trigger,ObjectOverwrite)</f>
        <v>USDIMMFRA6MF5_Quote#0000</v>
      </c>
      <c r="G11" s="99" t="str">
        <f>_xll.ohRangeRetrieveError(F11)</f>
        <v/>
      </c>
      <c r="H11" s="135"/>
    </row>
    <row r="12" spans="1:8" x14ac:dyDescent="0.2">
      <c r="A12" s="141"/>
      <c r="B12" s="140">
        <v>10</v>
      </c>
      <c r="C12" s="139" t="b">
        <v>0</v>
      </c>
      <c r="D12" s="138" t="str">
        <v>G5</v>
      </c>
      <c r="E12" s="137" t="str">
        <f t="shared" si="0"/>
        <v>USDIMMFRA6MG5_Quote</v>
      </c>
      <c r="F12" s="136" t="str">
        <f>_xll.qlSimpleQuote(E12,,PriceTickValue,Permanent,Trigger,ObjectOverwrite)</f>
        <v>USDIMMFRA6MG5_Quote#0000</v>
      </c>
      <c r="G12" s="99" t="str">
        <f>_xll.ohRangeRetrieveError(F12)</f>
        <v/>
      </c>
      <c r="H12" s="135"/>
    </row>
    <row r="13" spans="1:8" x14ac:dyDescent="0.2">
      <c r="A13" s="141"/>
      <c r="B13" s="140">
        <v>11</v>
      </c>
      <c r="C13" s="139" t="b">
        <v>0</v>
      </c>
      <c r="D13" s="138" t="str">
        <v>H5</v>
      </c>
      <c r="E13" s="137" t="str">
        <f t="shared" si="0"/>
        <v>USDIMMFRA6MH5_Quote</v>
      </c>
      <c r="F13" s="136" t="str">
        <f>_xll.qlSimpleQuote(E13,,PriceTickValue,Permanent,Trigger,ObjectOverwrite)</f>
        <v>USDIMMFRA6MH5_Quote#0000</v>
      </c>
      <c r="G13" s="99" t="str">
        <f>_xll.ohRangeRetrieveError(F13)</f>
        <v/>
      </c>
      <c r="H13" s="135"/>
    </row>
    <row r="14" spans="1:8" x14ac:dyDescent="0.2">
      <c r="A14" s="141"/>
      <c r="B14" s="140">
        <v>12</v>
      </c>
      <c r="C14" s="139" t="b">
        <v>0</v>
      </c>
      <c r="D14" s="138" t="str">
        <v>J5</v>
      </c>
      <c r="E14" s="137" t="str">
        <f t="shared" si="0"/>
        <v>USDIMMFRA6MJ5_Quote</v>
      </c>
      <c r="F14" s="136" t="str">
        <f>_xll.qlSimpleQuote(E14,,PriceTickValue,Permanent,Trigger,ObjectOverwrite)</f>
        <v>USDIMMFRA6MJ5_Quote#0000</v>
      </c>
      <c r="G14" s="99" t="str">
        <f>_xll.ohRangeRetrieveError(F14)</f>
        <v/>
      </c>
      <c r="H14" s="135"/>
    </row>
    <row r="15" spans="1:8" x14ac:dyDescent="0.2">
      <c r="A15" s="141"/>
      <c r="B15" s="140">
        <v>13</v>
      </c>
      <c r="C15" s="139" t="b">
        <v>0</v>
      </c>
      <c r="D15" s="138" t="str">
        <v>K5</v>
      </c>
      <c r="E15" s="137" t="str">
        <f t="shared" si="0"/>
        <v>USDIMMFRA6MK5_Quote</v>
      </c>
      <c r="F15" s="136" t="str">
        <f>_xll.qlSimpleQuote(E15,,PriceTickValue,Permanent,Trigger,ObjectOverwrite)</f>
        <v>USDIMMFRA6MK5_Quote#0000</v>
      </c>
      <c r="G15" s="99" t="str">
        <f>_xll.ohRangeRetrieveError(F15)</f>
        <v/>
      </c>
      <c r="H15" s="135"/>
    </row>
    <row r="16" spans="1:8" x14ac:dyDescent="0.2">
      <c r="A16" s="141"/>
      <c r="B16" s="140">
        <v>14</v>
      </c>
      <c r="C16" s="139" t="b">
        <v>0</v>
      </c>
      <c r="D16" s="138" t="str">
        <v>M5</v>
      </c>
      <c r="E16" s="137" t="str">
        <f t="shared" si="0"/>
        <v>USDIMMFRA6MM5_Quote</v>
      </c>
      <c r="F16" s="136" t="str">
        <f>_xll.qlSimpleQuote(E16,,PriceTickValue,Permanent,Trigger,ObjectOverwrite)</f>
        <v>USDIMMFRA6MM5_Quote#0000</v>
      </c>
      <c r="G16" s="99" t="str">
        <f>_xll.ohRangeRetrieveError(F16)</f>
        <v/>
      </c>
      <c r="H16" s="135"/>
    </row>
    <row r="17" spans="1:8" x14ac:dyDescent="0.2">
      <c r="A17" s="141"/>
      <c r="B17" s="140">
        <v>15</v>
      </c>
      <c r="C17" s="139" t="b">
        <v>0</v>
      </c>
      <c r="D17" s="138" t="str">
        <v>N5</v>
      </c>
      <c r="E17" s="137" t="str">
        <f t="shared" si="0"/>
        <v>USDIMMFRA6MN5_Quote</v>
      </c>
      <c r="F17" s="136" t="str">
        <f>_xll.qlSimpleQuote(E17,,PriceTickValue,Permanent,Trigger,ObjectOverwrite)</f>
        <v>USDIMMFRA6MN5_Quote#0000</v>
      </c>
      <c r="G17" s="99" t="str">
        <f>_xll.ohRangeRetrieveError(F17)</f>
        <v/>
      </c>
      <c r="H17" s="135"/>
    </row>
    <row r="18" spans="1:8" x14ac:dyDescent="0.2">
      <c r="A18" s="141"/>
      <c r="B18" s="140">
        <v>16</v>
      </c>
      <c r="C18" s="139" t="b">
        <v>0</v>
      </c>
      <c r="D18" s="138" t="str">
        <v>Q5</v>
      </c>
      <c r="E18" s="137" t="str">
        <f t="shared" si="0"/>
        <v>USDIMMFRA6MQ5_Quote</v>
      </c>
      <c r="F18" s="136" t="str">
        <f>_xll.qlSimpleQuote(E18,,PriceTickValue,Permanent,Trigger,ObjectOverwrite)</f>
        <v>USDIMMFRA6MQ5_Quote#0000</v>
      </c>
      <c r="G18" s="99" t="str">
        <f>_xll.ohRangeRetrieveError(F18)</f>
        <v/>
      </c>
      <c r="H18" s="135"/>
    </row>
    <row r="19" spans="1:8" x14ac:dyDescent="0.2">
      <c r="A19" s="141"/>
      <c r="B19" s="140">
        <v>17</v>
      </c>
      <c r="C19" s="139" t="b">
        <v>0</v>
      </c>
      <c r="D19" s="138" t="str">
        <v>U5</v>
      </c>
      <c r="E19" s="137" t="str">
        <f t="shared" si="0"/>
        <v>USDIMMFRA6MU5_Quote</v>
      </c>
      <c r="F19" s="136" t="str">
        <f>_xll.qlSimpleQuote(E19,,PriceTickValue,Permanent,Trigger,ObjectOverwrite)</f>
        <v>USDIMMFRA6MU5_Quote#0000</v>
      </c>
      <c r="G19" s="99" t="str">
        <f>_xll.ohRangeRetrieveError(F19)</f>
        <v/>
      </c>
      <c r="H19" s="135"/>
    </row>
    <row r="20" spans="1:8" x14ac:dyDescent="0.2">
      <c r="A20" s="141"/>
      <c r="B20" s="140">
        <v>18</v>
      </c>
      <c r="C20" s="139" t="b">
        <v>0</v>
      </c>
      <c r="D20" s="138" t="str">
        <v>V5</v>
      </c>
      <c r="E20" s="137" t="str">
        <f t="shared" si="0"/>
        <v>USDIMMFRA6MV5_Quote</v>
      </c>
      <c r="F20" s="136" t="str">
        <f>_xll.qlSimpleQuote(E20,,PriceTickValue,Permanent,Trigger,ObjectOverwrite)</f>
        <v>USDIMMFRA6MV5_Quote#0000</v>
      </c>
      <c r="G20" s="99" t="str">
        <f>_xll.ohRangeRetrieveError(F20)</f>
        <v/>
      </c>
      <c r="H20" s="135"/>
    </row>
    <row r="21" spans="1:8" x14ac:dyDescent="0.2">
      <c r="A21" s="141"/>
      <c r="B21" s="140">
        <v>19</v>
      </c>
      <c r="C21" s="139" t="b">
        <v>0</v>
      </c>
      <c r="D21" s="138" t="str">
        <v>X5</v>
      </c>
      <c r="E21" s="137" t="str">
        <f t="shared" si="0"/>
        <v>USDIMMFRA6MX5_Quote</v>
      </c>
      <c r="F21" s="136" t="str">
        <f>_xll.qlSimpleQuote(E21,,PriceTickValue,Permanent,Trigger,ObjectOverwrite)</f>
        <v>USDIMMFRA6MX5_Quote#0000</v>
      </c>
      <c r="G21" s="99" t="str">
        <f>_xll.ohRangeRetrieveError(F21)</f>
        <v/>
      </c>
      <c r="H21" s="135"/>
    </row>
    <row r="22" spans="1:8" x14ac:dyDescent="0.2">
      <c r="A22" s="141"/>
      <c r="B22" s="140">
        <v>20</v>
      </c>
      <c r="C22" s="139" t="b">
        <v>0</v>
      </c>
      <c r="D22" s="138" t="str">
        <v>Z5</v>
      </c>
      <c r="E22" s="137" t="str">
        <f t="shared" si="0"/>
        <v>USDIMMFRA6MZ5_Quote</v>
      </c>
      <c r="F22" s="136" t="str">
        <f>_xll.qlSimpleQuote(E22,,PriceTickValue,Permanent,Trigger,ObjectOverwrite)</f>
        <v>USDIMMFRA6MZ5_Quote#0000</v>
      </c>
      <c r="G22" s="99" t="str">
        <f>_xll.ohRangeRetrieveError(F22)</f>
        <v/>
      </c>
      <c r="H22" s="135"/>
    </row>
    <row r="23" spans="1:8" x14ac:dyDescent="0.2">
      <c r="A23" s="141"/>
      <c r="B23" s="140">
        <v>21</v>
      </c>
      <c r="C23" s="139" t="b">
        <v>0</v>
      </c>
      <c r="D23" s="138" t="str">
        <v>F6</v>
      </c>
      <c r="E23" s="137" t="str">
        <f t="shared" si="0"/>
        <v>USDIMMFRA6MF6_Quote</v>
      </c>
      <c r="F23" s="136" t="str">
        <f>_xll.qlSimpleQuote(E23,,PriceTickValue,Permanent,Trigger,ObjectOverwrite)</f>
        <v>USDIMMFRA6MF6_Quote#0000</v>
      </c>
      <c r="G23" s="99" t="str">
        <f>_xll.ohRangeRetrieveError(F23)</f>
        <v/>
      </c>
      <c r="H23" s="135"/>
    </row>
    <row r="24" spans="1:8" x14ac:dyDescent="0.2">
      <c r="A24" s="141"/>
      <c r="B24" s="140">
        <v>22</v>
      </c>
      <c r="C24" s="139" t="b">
        <v>0</v>
      </c>
      <c r="D24" s="138" t="str">
        <v>G6</v>
      </c>
      <c r="E24" s="137" t="str">
        <f t="shared" si="0"/>
        <v>USDIMMFRA6MG6_Quote</v>
      </c>
      <c r="F24" s="136" t="str">
        <f>_xll.qlSimpleQuote(E24,,PriceTickValue,Permanent,Trigger,ObjectOverwrite)</f>
        <v>USDIMMFRA6MG6_Quote#0000</v>
      </c>
      <c r="G24" s="99" t="str">
        <f>_xll.ohRangeRetrieveError(F24)</f>
        <v/>
      </c>
      <c r="H24" s="135"/>
    </row>
    <row r="25" spans="1:8" x14ac:dyDescent="0.2">
      <c r="A25" s="141"/>
      <c r="B25" s="140">
        <v>23</v>
      </c>
      <c r="C25" s="139" t="b">
        <v>0</v>
      </c>
      <c r="D25" s="138" t="str">
        <v>H6</v>
      </c>
      <c r="E25" s="137" t="str">
        <f t="shared" si="0"/>
        <v>USDIMMFRA6MH6_Quote</v>
      </c>
      <c r="F25" s="136" t="str">
        <f>_xll.qlSimpleQuote(E25,,PriceTickValue,Permanent,Trigger,ObjectOverwrite)</f>
        <v>USDIMMFRA6MH6_Quote#0000</v>
      </c>
      <c r="G25" s="99" t="str">
        <f>_xll.ohRangeRetrieveError(F25)</f>
        <v/>
      </c>
      <c r="H25" s="135"/>
    </row>
    <row r="26" spans="1:8" x14ac:dyDescent="0.2">
      <c r="A26" s="141"/>
      <c r="B26" s="140">
        <v>24</v>
      </c>
      <c r="C26" s="139" t="b">
        <v>0</v>
      </c>
      <c r="D26" s="138" t="str">
        <v>J6</v>
      </c>
      <c r="E26" s="137" t="str">
        <f t="shared" si="0"/>
        <v>USDIMMFRA6MJ6_Quote</v>
      </c>
      <c r="F26" s="136" t="str">
        <f>_xll.qlSimpleQuote(E26,,PriceTickValue,Permanent,Trigger,ObjectOverwrite)</f>
        <v>USDIMMFRA6MJ6_Quote#0000</v>
      </c>
      <c r="G26" s="99" t="str">
        <f>_xll.ohRangeRetrieveError(F26)</f>
        <v/>
      </c>
      <c r="H26" s="135"/>
    </row>
    <row r="27" spans="1:8" x14ac:dyDescent="0.2">
      <c r="A27" s="141"/>
      <c r="B27" s="140">
        <v>25</v>
      </c>
      <c r="C27" s="139" t="b">
        <v>0</v>
      </c>
      <c r="D27" s="138" t="str">
        <v>K6</v>
      </c>
      <c r="E27" s="137" t="str">
        <f t="shared" si="0"/>
        <v>USDIMMFRA6MK6_Quote</v>
      </c>
      <c r="F27" s="136" t="str">
        <f>_xll.qlSimpleQuote(E27,,PriceTickValue,Permanent,Trigger,ObjectOverwrite)</f>
        <v>USDIMMFRA6MK6_Quote#0000</v>
      </c>
      <c r="G27" s="99" t="str">
        <f>_xll.ohRangeRetrieveError(F27)</f>
        <v/>
      </c>
      <c r="H27" s="135"/>
    </row>
    <row r="28" spans="1:8" x14ac:dyDescent="0.2">
      <c r="A28" s="141"/>
      <c r="B28" s="140">
        <v>26</v>
      </c>
      <c r="C28" s="139" t="b">
        <v>0</v>
      </c>
      <c r="D28" s="138" t="str">
        <v>M6</v>
      </c>
      <c r="E28" s="137" t="str">
        <f t="shared" si="0"/>
        <v>USDIMMFRA6MM6_Quote</v>
      </c>
      <c r="F28" s="136" t="str">
        <f>_xll.qlSimpleQuote(E28,,PriceTickValue,Permanent,Trigger,ObjectOverwrite)</f>
        <v>USDIMMFRA6MM6_Quote#0000</v>
      </c>
      <c r="G28" s="99" t="str">
        <f>_xll.ohRangeRetrieveError(F28)</f>
        <v/>
      </c>
      <c r="H28" s="135"/>
    </row>
    <row r="29" spans="1:8" x14ac:dyDescent="0.2">
      <c r="A29" s="141"/>
      <c r="B29" s="140">
        <v>27</v>
      </c>
      <c r="C29" s="139" t="b">
        <v>0</v>
      </c>
      <c r="D29" s="138" t="str">
        <v>N6</v>
      </c>
      <c r="E29" s="137" t="str">
        <f t="shared" si="0"/>
        <v>USDIMMFRA6MN6_Quote</v>
      </c>
      <c r="F29" s="136" t="str">
        <f>_xll.qlSimpleQuote(E29,,PriceTickValue,Permanent,Trigger,ObjectOverwrite)</f>
        <v>USDIMMFRA6MN6_Quote#0000</v>
      </c>
      <c r="G29" s="99" t="str">
        <f>_xll.ohRangeRetrieveError(F29)</f>
        <v/>
      </c>
      <c r="H29" s="135"/>
    </row>
    <row r="30" spans="1:8" x14ac:dyDescent="0.2">
      <c r="A30" s="141"/>
      <c r="B30" s="140">
        <v>28</v>
      </c>
      <c r="C30" s="139" t="b">
        <v>0</v>
      </c>
      <c r="D30" s="138" t="str">
        <v>Q6</v>
      </c>
      <c r="E30" s="137" t="str">
        <f t="shared" si="0"/>
        <v>USDIMMFRA6MQ6_Quote</v>
      </c>
      <c r="F30" s="136" t="str">
        <f>_xll.qlSimpleQuote(E30,,PriceTickValue,Permanent,Trigger,ObjectOverwrite)</f>
        <v>USDIMMFRA6MQ6_Quote#0000</v>
      </c>
      <c r="G30" s="99" t="str">
        <f>_xll.ohRangeRetrieveError(F30)</f>
        <v/>
      </c>
      <c r="H30" s="135"/>
    </row>
    <row r="31" spans="1:8" x14ac:dyDescent="0.2">
      <c r="A31" s="141"/>
      <c r="B31" s="140">
        <v>29</v>
      </c>
      <c r="C31" s="139" t="b">
        <v>0</v>
      </c>
      <c r="D31" s="138" t="str">
        <v>U6</v>
      </c>
      <c r="E31" s="137" t="str">
        <f t="shared" si="0"/>
        <v>USDIMMFRA6MU6_Quote</v>
      </c>
      <c r="F31" s="136" t="str">
        <f>_xll.qlSimpleQuote(E31,,PriceTickValue,Permanent,Trigger,ObjectOverwrite)</f>
        <v>USDIMMFRA6MU6_Quote#0000</v>
      </c>
      <c r="G31" s="99" t="str">
        <f>_xll.ohRangeRetrieveError(F31)</f>
        <v/>
      </c>
      <c r="H31" s="135"/>
    </row>
    <row r="32" spans="1:8" x14ac:dyDescent="0.2">
      <c r="A32" s="141"/>
      <c r="B32" s="140">
        <v>30</v>
      </c>
      <c r="C32" s="139" t="b">
        <v>0</v>
      </c>
      <c r="D32" s="138" t="str">
        <v>V6</v>
      </c>
      <c r="E32" s="137" t="str">
        <f t="shared" si="0"/>
        <v>USDIMMFRA6MV6_Quote</v>
      </c>
      <c r="F32" s="136" t="str">
        <f>_xll.qlSimpleQuote(E32,,PriceTickValue,Permanent,Trigger,ObjectOverwrite)</f>
        <v>USDIMMFRA6MV6_Quote#0000</v>
      </c>
      <c r="G32" s="99" t="str">
        <f>_xll.ohRangeRetrieveError(F32)</f>
        <v/>
      </c>
      <c r="H32" s="135"/>
    </row>
    <row r="33" spans="1:8" x14ac:dyDescent="0.2">
      <c r="A33" s="141"/>
      <c r="B33" s="140">
        <v>31</v>
      </c>
      <c r="C33" s="139" t="b">
        <v>0</v>
      </c>
      <c r="D33" s="138" t="str">
        <v>X6</v>
      </c>
      <c r="E33" s="137" t="str">
        <f t="shared" si="0"/>
        <v>USDIMMFRA6MX6_Quote</v>
      </c>
      <c r="F33" s="136" t="str">
        <f>_xll.qlSimpleQuote(E33,,PriceTickValue,Permanent,Trigger,ObjectOverwrite)</f>
        <v>USDIMMFRA6MX6_Quote#0000</v>
      </c>
      <c r="G33" s="99" t="str">
        <f>_xll.ohRangeRetrieveError(F33)</f>
        <v/>
      </c>
      <c r="H33" s="135"/>
    </row>
    <row r="34" spans="1:8" x14ac:dyDescent="0.2">
      <c r="A34" s="141"/>
      <c r="B34" s="140">
        <v>32</v>
      </c>
      <c r="C34" s="139" t="b">
        <v>0</v>
      </c>
      <c r="D34" s="138" t="str">
        <v>Z6</v>
      </c>
      <c r="E34" s="137" t="str">
        <f t="shared" si="0"/>
        <v>USDIMMFRA6MZ6_Quote</v>
      </c>
      <c r="F34" s="136" t="str">
        <f>_xll.qlSimpleQuote(E34,,PriceTickValue,Permanent,Trigger,ObjectOverwrite)</f>
        <v>USDIMMFRA6MZ6_Quote#0000</v>
      </c>
      <c r="G34" s="99" t="str">
        <f>_xll.ohRangeRetrieveError(F34)</f>
        <v/>
      </c>
      <c r="H34" s="135"/>
    </row>
    <row r="35" spans="1:8" x14ac:dyDescent="0.2">
      <c r="A35" s="141"/>
      <c r="B35" s="140">
        <v>33</v>
      </c>
      <c r="C35" s="139" t="b">
        <v>0</v>
      </c>
      <c r="D35" s="138" t="str">
        <v>F7</v>
      </c>
      <c r="E35" s="137" t="str">
        <f t="shared" ref="E35:E66" si="1">Currency&amp;$D$1&amp;$E$1&amp;$D35&amp;QuoteSuffix</f>
        <v>USDIMMFRA6MF7_Quote</v>
      </c>
      <c r="F35" s="136" t="str">
        <f>_xll.qlSimpleQuote(E35,,PriceTickValue,Permanent,Trigger,ObjectOverwrite)</f>
        <v>USDIMMFRA6MF7_Quote#0000</v>
      </c>
      <c r="G35" s="99" t="str">
        <f>_xll.ohRangeRetrieveError(F35)</f>
        <v/>
      </c>
      <c r="H35" s="135"/>
    </row>
    <row r="36" spans="1:8" x14ac:dyDescent="0.2">
      <c r="A36" s="141"/>
      <c r="B36" s="140">
        <v>34</v>
      </c>
      <c r="C36" s="139" t="b">
        <v>0</v>
      </c>
      <c r="D36" s="138" t="str">
        <v>G7</v>
      </c>
      <c r="E36" s="137" t="str">
        <f t="shared" si="1"/>
        <v>USDIMMFRA6MG7_Quote</v>
      </c>
      <c r="F36" s="136" t="str">
        <f>_xll.qlSimpleQuote(E36,,PriceTickValue,Permanent,Trigger,ObjectOverwrite)</f>
        <v>USDIMMFRA6MG7_Quote#0000</v>
      </c>
      <c r="G36" s="99" t="str">
        <f>_xll.ohRangeRetrieveError(F36)</f>
        <v/>
      </c>
      <c r="H36" s="135"/>
    </row>
    <row r="37" spans="1:8" x14ac:dyDescent="0.2">
      <c r="A37" s="141"/>
      <c r="B37" s="140">
        <v>35</v>
      </c>
      <c r="C37" s="139" t="b">
        <v>0</v>
      </c>
      <c r="D37" s="138" t="str">
        <v>H7</v>
      </c>
      <c r="E37" s="137" t="str">
        <f t="shared" si="1"/>
        <v>USDIMMFRA6MH7_Quote</v>
      </c>
      <c r="F37" s="136" t="str">
        <f>_xll.qlSimpleQuote(E37,,PriceTickValue,Permanent,Trigger,ObjectOverwrite)</f>
        <v>USDIMMFRA6MH7_Quote#0000</v>
      </c>
      <c r="G37" s="99" t="str">
        <f>_xll.ohRangeRetrieveError(F37)</f>
        <v/>
      </c>
      <c r="H37" s="135"/>
    </row>
    <row r="38" spans="1:8" x14ac:dyDescent="0.2">
      <c r="A38" s="141"/>
      <c r="B38" s="140">
        <v>36</v>
      </c>
      <c r="C38" s="139" t="b">
        <v>0</v>
      </c>
      <c r="D38" s="138" t="str">
        <v>J7</v>
      </c>
      <c r="E38" s="137" t="str">
        <f t="shared" si="1"/>
        <v>USDIMMFRA6MJ7_Quote</v>
      </c>
      <c r="F38" s="136" t="str">
        <f>_xll.qlSimpleQuote(E38,,PriceTickValue,Permanent,Trigger,ObjectOverwrite)</f>
        <v>USDIMMFRA6MJ7_Quote#0000</v>
      </c>
      <c r="G38" s="99" t="str">
        <f>_xll.ohRangeRetrieveError(F38)</f>
        <v/>
      </c>
      <c r="H38" s="135"/>
    </row>
    <row r="39" spans="1:8" x14ac:dyDescent="0.2">
      <c r="A39" s="141"/>
      <c r="B39" s="140">
        <v>37</v>
      </c>
      <c r="C39" s="139" t="b">
        <v>0</v>
      </c>
      <c r="D39" s="138" t="str">
        <v>K7</v>
      </c>
      <c r="E39" s="137" t="str">
        <f t="shared" si="1"/>
        <v>USDIMMFRA6MK7_Quote</v>
      </c>
      <c r="F39" s="136" t="str">
        <f>_xll.qlSimpleQuote(E39,,PriceTickValue,Permanent,Trigger,ObjectOverwrite)</f>
        <v>USDIMMFRA6MK7_Quote#0000</v>
      </c>
      <c r="G39" s="99" t="str">
        <f>_xll.ohRangeRetrieveError(F39)</f>
        <v/>
      </c>
      <c r="H39" s="135"/>
    </row>
    <row r="40" spans="1:8" x14ac:dyDescent="0.2">
      <c r="A40" s="141"/>
      <c r="B40" s="140">
        <v>38</v>
      </c>
      <c r="C40" s="139" t="b">
        <v>0</v>
      </c>
      <c r="D40" s="138" t="str">
        <v>M7</v>
      </c>
      <c r="E40" s="137" t="str">
        <f t="shared" si="1"/>
        <v>USDIMMFRA6MM7_Quote</v>
      </c>
      <c r="F40" s="136" t="str">
        <f>_xll.qlSimpleQuote(E40,,PriceTickValue,Permanent,Trigger,ObjectOverwrite)</f>
        <v>USDIMMFRA6MM7_Quote#0000</v>
      </c>
      <c r="G40" s="99" t="str">
        <f>_xll.ohRangeRetrieveError(F40)</f>
        <v/>
      </c>
      <c r="H40" s="135"/>
    </row>
    <row r="41" spans="1:8" x14ac:dyDescent="0.2">
      <c r="A41" s="141"/>
      <c r="B41" s="140">
        <v>39</v>
      </c>
      <c r="C41" s="139" t="b">
        <v>0</v>
      </c>
      <c r="D41" s="138" t="str">
        <v>N7</v>
      </c>
      <c r="E41" s="137" t="str">
        <f t="shared" si="1"/>
        <v>USDIMMFRA6MN7_Quote</v>
      </c>
      <c r="F41" s="136" t="str">
        <f>_xll.qlSimpleQuote(E41,,PriceTickValue,Permanent,Trigger,ObjectOverwrite)</f>
        <v>USDIMMFRA6MN7_Quote#0000</v>
      </c>
      <c r="G41" s="99" t="str">
        <f>_xll.ohRangeRetrieveError(F41)</f>
        <v/>
      </c>
      <c r="H41" s="135"/>
    </row>
    <row r="42" spans="1:8" x14ac:dyDescent="0.2">
      <c r="A42" s="141"/>
      <c r="B42" s="140">
        <v>40</v>
      </c>
      <c r="C42" s="139" t="b">
        <v>0</v>
      </c>
      <c r="D42" s="138" t="str">
        <v>Q7</v>
      </c>
      <c r="E42" s="137" t="str">
        <f t="shared" si="1"/>
        <v>USDIMMFRA6MQ7_Quote</v>
      </c>
      <c r="F42" s="136" t="str">
        <f>_xll.qlSimpleQuote(E42,,PriceTickValue,Permanent,Trigger,ObjectOverwrite)</f>
        <v>USDIMMFRA6MQ7_Quote#0000</v>
      </c>
      <c r="G42" s="99" t="str">
        <f>_xll.ohRangeRetrieveError(F42)</f>
        <v/>
      </c>
      <c r="H42" s="135"/>
    </row>
    <row r="43" spans="1:8" x14ac:dyDescent="0.2">
      <c r="A43" s="141"/>
      <c r="B43" s="140">
        <v>41</v>
      </c>
      <c r="C43" s="139" t="b">
        <v>0</v>
      </c>
      <c r="D43" s="138" t="str">
        <v>U7</v>
      </c>
      <c r="E43" s="137" t="str">
        <f t="shared" si="1"/>
        <v>USDIMMFRA6MU7_Quote</v>
      </c>
      <c r="F43" s="136" t="str">
        <f>_xll.qlSimpleQuote(E43,,PriceTickValue,Permanent,Trigger,ObjectOverwrite)</f>
        <v>USDIMMFRA6MU7_Quote#0000</v>
      </c>
      <c r="G43" s="99" t="str">
        <f>_xll.ohRangeRetrieveError(F43)</f>
        <v/>
      </c>
      <c r="H43" s="135"/>
    </row>
    <row r="44" spans="1:8" x14ac:dyDescent="0.2">
      <c r="A44" s="141"/>
      <c r="B44" s="140">
        <v>42</v>
      </c>
      <c r="C44" s="139" t="b">
        <v>0</v>
      </c>
      <c r="D44" s="138" t="str">
        <v>V7</v>
      </c>
      <c r="E44" s="137" t="str">
        <f t="shared" si="1"/>
        <v>USDIMMFRA6MV7_Quote</v>
      </c>
      <c r="F44" s="136" t="str">
        <f>_xll.qlSimpleQuote(E44,,PriceTickValue,Permanent,Trigger,ObjectOverwrite)</f>
        <v>USDIMMFRA6MV7_Quote#0000</v>
      </c>
      <c r="G44" s="99" t="str">
        <f>_xll.ohRangeRetrieveError(F44)</f>
        <v/>
      </c>
      <c r="H44" s="135"/>
    </row>
    <row r="45" spans="1:8" x14ac:dyDescent="0.2">
      <c r="A45" s="141"/>
      <c r="B45" s="140">
        <v>43</v>
      </c>
      <c r="C45" s="139" t="b">
        <v>0</v>
      </c>
      <c r="D45" s="138" t="str">
        <v>X7</v>
      </c>
      <c r="E45" s="137" t="str">
        <f t="shared" si="1"/>
        <v>USDIMMFRA6MX7_Quote</v>
      </c>
      <c r="F45" s="136" t="str">
        <f>_xll.qlSimpleQuote(E45,,PriceTickValue,Permanent,Trigger,ObjectOverwrite)</f>
        <v>USDIMMFRA6MX7_Quote#0000</v>
      </c>
      <c r="G45" s="99" t="str">
        <f>_xll.ohRangeRetrieveError(F45)</f>
        <v/>
      </c>
      <c r="H45" s="135"/>
    </row>
    <row r="46" spans="1:8" x14ac:dyDescent="0.2">
      <c r="A46" s="141"/>
      <c r="B46" s="140">
        <v>44</v>
      </c>
      <c r="C46" s="139" t="b">
        <v>0</v>
      </c>
      <c r="D46" s="138" t="str">
        <v>Z7</v>
      </c>
      <c r="E46" s="137" t="str">
        <f t="shared" si="1"/>
        <v>USDIMMFRA6MZ7_Quote</v>
      </c>
      <c r="F46" s="136" t="str">
        <f>_xll.qlSimpleQuote(E46,,PriceTickValue,Permanent,Trigger,ObjectOverwrite)</f>
        <v>USDIMMFRA6MZ7_Quote#0000</v>
      </c>
      <c r="G46" s="99" t="str">
        <f>_xll.ohRangeRetrieveError(F46)</f>
        <v/>
      </c>
      <c r="H46" s="135"/>
    </row>
    <row r="47" spans="1:8" x14ac:dyDescent="0.2">
      <c r="A47" s="141"/>
      <c r="B47" s="140">
        <v>45</v>
      </c>
      <c r="C47" s="139" t="b">
        <v>0</v>
      </c>
      <c r="D47" s="138" t="str">
        <v>F8</v>
      </c>
      <c r="E47" s="137" t="str">
        <f t="shared" si="1"/>
        <v>USDIMMFRA6MF8_Quote</v>
      </c>
      <c r="F47" s="136" t="str">
        <f>_xll.qlSimpleQuote(E47,,PriceTickValue,Permanent,Trigger,ObjectOverwrite)</f>
        <v>USDIMMFRA6MF8_Quote#0000</v>
      </c>
      <c r="G47" s="99" t="str">
        <f>_xll.ohRangeRetrieveError(F47)</f>
        <v/>
      </c>
      <c r="H47" s="135"/>
    </row>
    <row r="48" spans="1:8" x14ac:dyDescent="0.2">
      <c r="A48" s="141"/>
      <c r="B48" s="140">
        <v>46</v>
      </c>
      <c r="C48" s="139" t="b">
        <v>0</v>
      </c>
      <c r="D48" s="138" t="str">
        <v>G8</v>
      </c>
      <c r="E48" s="137" t="str">
        <f t="shared" si="1"/>
        <v>USDIMMFRA6MG8_Quote</v>
      </c>
      <c r="F48" s="136" t="str">
        <f>_xll.qlSimpleQuote(E48,,PriceTickValue,Permanent,Trigger,ObjectOverwrite)</f>
        <v>USDIMMFRA6MG8_Quote#0000</v>
      </c>
      <c r="G48" s="99" t="str">
        <f>_xll.ohRangeRetrieveError(F48)</f>
        <v/>
      </c>
      <c r="H48" s="135"/>
    </row>
    <row r="49" spans="1:8" x14ac:dyDescent="0.2">
      <c r="A49" s="141"/>
      <c r="B49" s="140">
        <v>47</v>
      </c>
      <c r="C49" s="139" t="b">
        <v>0</v>
      </c>
      <c r="D49" s="138" t="str">
        <v>H8</v>
      </c>
      <c r="E49" s="137" t="str">
        <f t="shared" si="1"/>
        <v>USDIMMFRA6MH8_Quote</v>
      </c>
      <c r="F49" s="136" t="str">
        <f>_xll.qlSimpleQuote(E49,,PriceTickValue,Permanent,Trigger,ObjectOverwrite)</f>
        <v>USDIMMFRA6MH8_Quote#0000</v>
      </c>
      <c r="G49" s="99" t="str">
        <f>_xll.ohRangeRetrieveError(F49)</f>
        <v/>
      </c>
      <c r="H49" s="135"/>
    </row>
    <row r="50" spans="1:8" x14ac:dyDescent="0.2">
      <c r="A50" s="141"/>
      <c r="B50" s="140">
        <v>48</v>
      </c>
      <c r="C50" s="139" t="b">
        <v>0</v>
      </c>
      <c r="D50" s="138" t="str">
        <v>J8</v>
      </c>
      <c r="E50" s="137" t="str">
        <f t="shared" si="1"/>
        <v>USDIMMFRA6MJ8_Quote</v>
      </c>
      <c r="F50" s="136" t="str">
        <f>_xll.qlSimpleQuote(E50,,PriceTickValue,Permanent,Trigger,ObjectOverwrite)</f>
        <v>USDIMMFRA6MJ8_Quote#0000</v>
      </c>
      <c r="G50" s="99" t="str">
        <f>_xll.ohRangeRetrieveError(F50)</f>
        <v/>
      </c>
      <c r="H50" s="135"/>
    </row>
    <row r="51" spans="1:8" x14ac:dyDescent="0.2">
      <c r="A51" s="141"/>
      <c r="B51" s="140">
        <v>49</v>
      </c>
      <c r="C51" s="139" t="b">
        <v>0</v>
      </c>
      <c r="D51" s="138" t="str">
        <v>K8</v>
      </c>
      <c r="E51" s="137" t="str">
        <f t="shared" si="1"/>
        <v>USDIMMFRA6MK8_Quote</v>
      </c>
      <c r="F51" s="136" t="str">
        <f>_xll.qlSimpleQuote(E51,,PriceTickValue,Permanent,Trigger,ObjectOverwrite)</f>
        <v>USDIMMFRA6MK8_Quote#0000</v>
      </c>
      <c r="G51" s="99" t="str">
        <f>_xll.ohRangeRetrieveError(F51)</f>
        <v/>
      </c>
      <c r="H51" s="135"/>
    </row>
    <row r="52" spans="1:8" x14ac:dyDescent="0.2">
      <c r="A52" s="141"/>
      <c r="B52" s="140">
        <v>50</v>
      </c>
      <c r="C52" s="139" t="b">
        <v>0</v>
      </c>
      <c r="D52" s="138" t="str">
        <v>M8</v>
      </c>
      <c r="E52" s="137" t="str">
        <f t="shared" si="1"/>
        <v>USDIMMFRA6MM8_Quote</v>
      </c>
      <c r="F52" s="136" t="str">
        <f>_xll.qlSimpleQuote(E52,,PriceTickValue,Permanent,Trigger,ObjectOverwrite)</f>
        <v>USDIMMFRA6MM8_Quote#0000</v>
      </c>
      <c r="G52" s="99" t="str">
        <f>_xll.ohRangeRetrieveError(F52)</f>
        <v/>
      </c>
      <c r="H52" s="135"/>
    </row>
    <row r="53" spans="1:8" x14ac:dyDescent="0.2">
      <c r="A53" s="141"/>
      <c r="B53" s="140">
        <v>51</v>
      </c>
      <c r="C53" s="139" t="b">
        <v>0</v>
      </c>
      <c r="D53" s="138" t="str">
        <v>N8</v>
      </c>
      <c r="E53" s="137" t="str">
        <f t="shared" si="1"/>
        <v>USDIMMFRA6MN8_Quote</v>
      </c>
      <c r="F53" s="136" t="str">
        <f>_xll.qlSimpleQuote(E53,,PriceTickValue,Permanent,Trigger,ObjectOverwrite)</f>
        <v>USDIMMFRA6MN8_Quote#0000</v>
      </c>
      <c r="G53" s="99" t="str">
        <f>_xll.ohRangeRetrieveError(F53)</f>
        <v/>
      </c>
      <c r="H53" s="135"/>
    </row>
    <row r="54" spans="1:8" x14ac:dyDescent="0.2">
      <c r="A54" s="141"/>
      <c r="B54" s="140">
        <v>52</v>
      </c>
      <c r="C54" s="139" t="b">
        <v>0</v>
      </c>
      <c r="D54" s="138" t="str">
        <v>Q8</v>
      </c>
      <c r="E54" s="137" t="str">
        <f t="shared" si="1"/>
        <v>USDIMMFRA6MQ8_Quote</v>
      </c>
      <c r="F54" s="136" t="str">
        <f>_xll.qlSimpleQuote(E54,,PriceTickValue,Permanent,Trigger,ObjectOverwrite)</f>
        <v>USDIMMFRA6MQ8_Quote#0000</v>
      </c>
      <c r="G54" s="99" t="str">
        <f>_xll.ohRangeRetrieveError(F54)</f>
        <v/>
      </c>
      <c r="H54" s="135"/>
    </row>
    <row r="55" spans="1:8" x14ac:dyDescent="0.2">
      <c r="A55" s="141"/>
      <c r="B55" s="140">
        <v>53</v>
      </c>
      <c r="C55" s="139" t="b">
        <v>0</v>
      </c>
      <c r="D55" s="138" t="str">
        <v>U8</v>
      </c>
      <c r="E55" s="137" t="str">
        <f t="shared" si="1"/>
        <v>USDIMMFRA6MU8_Quote</v>
      </c>
      <c r="F55" s="136" t="str">
        <f>_xll.qlSimpleQuote(E55,,PriceTickValue,Permanent,Trigger,ObjectOverwrite)</f>
        <v>USDIMMFRA6MU8_Quote#0000</v>
      </c>
      <c r="G55" s="99" t="str">
        <f>_xll.ohRangeRetrieveError(F55)</f>
        <v/>
      </c>
      <c r="H55" s="135"/>
    </row>
    <row r="56" spans="1:8" x14ac:dyDescent="0.2">
      <c r="A56" s="141"/>
      <c r="B56" s="140">
        <v>54</v>
      </c>
      <c r="C56" s="139" t="b">
        <v>0</v>
      </c>
      <c r="D56" s="138" t="str">
        <v>V8</v>
      </c>
      <c r="E56" s="137" t="str">
        <f t="shared" si="1"/>
        <v>USDIMMFRA6MV8_Quote</v>
      </c>
      <c r="F56" s="136" t="str">
        <f>_xll.qlSimpleQuote(E56,,PriceTickValue,Permanent,Trigger,ObjectOverwrite)</f>
        <v>USDIMMFRA6MV8_Quote#0000</v>
      </c>
      <c r="G56" s="99" t="str">
        <f>_xll.ohRangeRetrieveError(F56)</f>
        <v/>
      </c>
      <c r="H56" s="135"/>
    </row>
    <row r="57" spans="1:8" x14ac:dyDescent="0.2">
      <c r="A57" s="141"/>
      <c r="B57" s="140">
        <v>55</v>
      </c>
      <c r="C57" s="139" t="b">
        <v>0</v>
      </c>
      <c r="D57" s="138" t="str">
        <v>X8</v>
      </c>
      <c r="E57" s="137" t="str">
        <f t="shared" si="1"/>
        <v>USDIMMFRA6MX8_Quote</v>
      </c>
      <c r="F57" s="136" t="str">
        <f>_xll.qlSimpleQuote(E57,,PriceTickValue,Permanent,Trigger,ObjectOverwrite)</f>
        <v>USDIMMFRA6MX8_Quote#0000</v>
      </c>
      <c r="G57" s="99" t="str">
        <f>_xll.ohRangeRetrieveError(F57)</f>
        <v/>
      </c>
      <c r="H57" s="135"/>
    </row>
    <row r="58" spans="1:8" x14ac:dyDescent="0.2">
      <c r="A58" s="141"/>
      <c r="B58" s="140">
        <v>56</v>
      </c>
      <c r="C58" s="139" t="b">
        <v>0</v>
      </c>
      <c r="D58" s="138" t="str">
        <v>Z8</v>
      </c>
      <c r="E58" s="137" t="str">
        <f t="shared" si="1"/>
        <v>USDIMMFRA6MZ8_Quote</v>
      </c>
      <c r="F58" s="136" t="str">
        <f>_xll.qlSimpleQuote(E58,,PriceTickValue,Permanent,Trigger,ObjectOverwrite)</f>
        <v>USDIMMFRA6MZ8_Quote#0000</v>
      </c>
      <c r="G58" s="99" t="str">
        <f>_xll.ohRangeRetrieveError(F58)</f>
        <v/>
      </c>
      <c r="H58" s="135"/>
    </row>
    <row r="59" spans="1:8" x14ac:dyDescent="0.2">
      <c r="A59" s="141"/>
      <c r="B59" s="140">
        <v>57</v>
      </c>
      <c r="C59" s="139" t="b">
        <v>0</v>
      </c>
      <c r="D59" s="138" t="str">
        <v>F9</v>
      </c>
      <c r="E59" s="137" t="str">
        <f t="shared" si="1"/>
        <v>USDIMMFRA6MF9_Quote</v>
      </c>
      <c r="F59" s="136" t="str">
        <f>_xll.qlSimpleQuote(E59,,PriceTickValue,Permanent,Trigger,ObjectOverwrite)</f>
        <v>USDIMMFRA6MF9_Quote#0000</v>
      </c>
      <c r="G59" s="99" t="str">
        <f>_xll.ohRangeRetrieveError(F59)</f>
        <v/>
      </c>
      <c r="H59" s="135"/>
    </row>
    <row r="60" spans="1:8" x14ac:dyDescent="0.2">
      <c r="A60" s="141"/>
      <c r="B60" s="140">
        <v>58</v>
      </c>
      <c r="C60" s="139" t="b">
        <v>0</v>
      </c>
      <c r="D60" s="138" t="str">
        <v>G9</v>
      </c>
      <c r="E60" s="137" t="str">
        <f t="shared" si="1"/>
        <v>USDIMMFRA6MG9_Quote</v>
      </c>
      <c r="F60" s="136" t="str">
        <f>_xll.qlSimpleQuote(E60,,PriceTickValue,Permanent,Trigger,ObjectOverwrite)</f>
        <v>USDIMMFRA6MG9_Quote#0000</v>
      </c>
      <c r="G60" s="99" t="str">
        <f>_xll.ohRangeRetrieveError(F60)</f>
        <v/>
      </c>
      <c r="H60" s="135"/>
    </row>
    <row r="61" spans="1:8" x14ac:dyDescent="0.2">
      <c r="A61" s="141"/>
      <c r="B61" s="140">
        <v>59</v>
      </c>
      <c r="C61" s="139" t="b">
        <v>0</v>
      </c>
      <c r="D61" s="138" t="str">
        <v>H9</v>
      </c>
      <c r="E61" s="137" t="str">
        <f t="shared" si="1"/>
        <v>USDIMMFRA6MH9_Quote</v>
      </c>
      <c r="F61" s="136" t="str">
        <f>_xll.qlSimpleQuote(E61,,PriceTickValue,Permanent,Trigger,ObjectOverwrite)</f>
        <v>USDIMMFRA6MH9_Quote#0000</v>
      </c>
      <c r="G61" s="99" t="str">
        <f>_xll.ohRangeRetrieveError(F61)</f>
        <v/>
      </c>
      <c r="H61" s="135"/>
    </row>
    <row r="62" spans="1:8" x14ac:dyDescent="0.2">
      <c r="A62" s="141"/>
      <c r="B62" s="140">
        <v>60</v>
      </c>
      <c r="C62" s="139" t="b">
        <v>0</v>
      </c>
      <c r="D62" s="138" t="str">
        <v>J9</v>
      </c>
      <c r="E62" s="137" t="str">
        <f t="shared" si="1"/>
        <v>USDIMMFRA6MJ9_Quote</v>
      </c>
      <c r="F62" s="136" t="str">
        <f>_xll.qlSimpleQuote(E62,,PriceTickValue,Permanent,Trigger,ObjectOverwrite)</f>
        <v>USDIMMFRA6MJ9_Quote#0000</v>
      </c>
      <c r="G62" s="99" t="str">
        <f>_xll.ohRangeRetrieveError(F62)</f>
        <v/>
      </c>
      <c r="H62" s="135"/>
    </row>
    <row r="63" spans="1:8" x14ac:dyDescent="0.2">
      <c r="A63" s="141"/>
      <c r="B63" s="140">
        <v>61</v>
      </c>
      <c r="C63" s="139" t="b">
        <v>0</v>
      </c>
      <c r="D63" s="138" t="str">
        <v>K9</v>
      </c>
      <c r="E63" s="137" t="str">
        <f t="shared" si="1"/>
        <v>USDIMMFRA6MK9_Quote</v>
      </c>
      <c r="F63" s="136" t="str">
        <f>_xll.qlSimpleQuote(E63,,PriceTickValue,Permanent,Trigger,ObjectOverwrite)</f>
        <v>USDIMMFRA6MK9_Quote#0000</v>
      </c>
      <c r="G63" s="99" t="str">
        <f>_xll.ohRangeRetrieveError(F63)</f>
        <v/>
      </c>
      <c r="H63" s="135"/>
    </row>
    <row r="64" spans="1:8" x14ac:dyDescent="0.2">
      <c r="A64" s="141"/>
      <c r="B64" s="140">
        <v>62</v>
      </c>
      <c r="C64" s="139" t="b">
        <v>0</v>
      </c>
      <c r="D64" s="138" t="str">
        <v>M9</v>
      </c>
      <c r="E64" s="137" t="str">
        <f t="shared" si="1"/>
        <v>USDIMMFRA6MM9_Quote</v>
      </c>
      <c r="F64" s="136" t="str">
        <f>_xll.qlSimpleQuote(E64,,PriceTickValue,Permanent,Trigger,ObjectOverwrite)</f>
        <v>USDIMMFRA6MM9_Quote#0000</v>
      </c>
      <c r="G64" s="99" t="str">
        <f>_xll.ohRangeRetrieveError(F64)</f>
        <v/>
      </c>
      <c r="H64" s="135"/>
    </row>
    <row r="65" spans="1:8" x14ac:dyDescent="0.2">
      <c r="A65" s="141"/>
      <c r="B65" s="140">
        <v>63</v>
      </c>
      <c r="C65" s="139" t="b">
        <v>0</v>
      </c>
      <c r="D65" s="138" t="str">
        <v>N9</v>
      </c>
      <c r="E65" s="137" t="str">
        <f t="shared" si="1"/>
        <v>USDIMMFRA6MN9_Quote</v>
      </c>
      <c r="F65" s="136" t="str">
        <f>_xll.qlSimpleQuote(E65,,PriceTickValue,Permanent,Trigger,ObjectOverwrite)</f>
        <v>USDIMMFRA6MN9_Quote#0000</v>
      </c>
      <c r="G65" s="99" t="str">
        <f>_xll.ohRangeRetrieveError(F65)</f>
        <v/>
      </c>
      <c r="H65" s="135"/>
    </row>
    <row r="66" spans="1:8" x14ac:dyDescent="0.2">
      <c r="A66" s="141"/>
      <c r="B66" s="140">
        <v>64</v>
      </c>
      <c r="C66" s="139" t="b">
        <v>0</v>
      </c>
      <c r="D66" s="138" t="str">
        <v>Q9</v>
      </c>
      <c r="E66" s="137" t="str">
        <f t="shared" si="1"/>
        <v>USDIMMFRA6MQ9_Quote</v>
      </c>
      <c r="F66" s="136" t="str">
        <f>_xll.qlSimpleQuote(E66,,PriceTickValue,Permanent,Trigger,ObjectOverwrite)</f>
        <v>USDIMMFRA6MQ9_Quote#0000</v>
      </c>
      <c r="G66" s="99" t="str">
        <f>_xll.ohRangeRetrieveError(F66)</f>
        <v/>
      </c>
      <c r="H66" s="135"/>
    </row>
    <row r="67" spans="1:8" x14ac:dyDescent="0.2">
      <c r="A67" s="141"/>
      <c r="B67" s="140">
        <v>65</v>
      </c>
      <c r="C67" s="139" t="b">
        <v>0</v>
      </c>
      <c r="D67" s="138" t="str">
        <v>U9</v>
      </c>
      <c r="E67" s="137" t="str">
        <f t="shared" ref="E67:E98" si="2">Currency&amp;$D$1&amp;$E$1&amp;$D67&amp;QuoteSuffix</f>
        <v>USDIMMFRA6MU9_Quote</v>
      </c>
      <c r="F67" s="136" t="str">
        <f>_xll.qlSimpleQuote(E67,,PriceTickValue,Permanent,Trigger,ObjectOverwrite)</f>
        <v>USDIMMFRA6MU9_Quote#0000</v>
      </c>
      <c r="G67" s="99" t="str">
        <f>_xll.ohRangeRetrieveError(F67)</f>
        <v/>
      </c>
      <c r="H67" s="135"/>
    </row>
    <row r="68" spans="1:8" x14ac:dyDescent="0.2">
      <c r="A68" s="141"/>
      <c r="B68" s="140">
        <v>66</v>
      </c>
      <c r="C68" s="139" t="b">
        <v>0</v>
      </c>
      <c r="D68" s="138" t="str">
        <v>V9</v>
      </c>
      <c r="E68" s="137" t="str">
        <f t="shared" si="2"/>
        <v>USDIMMFRA6MV9_Quote</v>
      </c>
      <c r="F68" s="136" t="str">
        <f>_xll.qlSimpleQuote(E68,,PriceTickValue,Permanent,Trigger,ObjectOverwrite)</f>
        <v>USDIMMFRA6MV9_Quote#0000</v>
      </c>
      <c r="G68" s="99" t="str">
        <f>_xll.ohRangeRetrieveError(F68)</f>
        <v/>
      </c>
      <c r="H68" s="135"/>
    </row>
    <row r="69" spans="1:8" x14ac:dyDescent="0.2">
      <c r="A69" s="141"/>
      <c r="B69" s="140">
        <v>67</v>
      </c>
      <c r="C69" s="139" t="b">
        <v>0</v>
      </c>
      <c r="D69" s="138" t="str">
        <v>X9</v>
      </c>
      <c r="E69" s="137" t="str">
        <f t="shared" si="2"/>
        <v>USDIMMFRA6MX9_Quote</v>
      </c>
      <c r="F69" s="136" t="str">
        <f>_xll.qlSimpleQuote(E69,,PriceTickValue,Permanent,Trigger,ObjectOverwrite)</f>
        <v>USDIMMFRA6MX9_Quote#0000</v>
      </c>
      <c r="G69" s="99" t="str">
        <f>_xll.ohRangeRetrieveError(F69)</f>
        <v/>
      </c>
      <c r="H69" s="135"/>
    </row>
    <row r="70" spans="1:8" x14ac:dyDescent="0.2">
      <c r="A70" s="141"/>
      <c r="B70" s="140">
        <v>68</v>
      </c>
      <c r="C70" s="139" t="b">
        <v>0</v>
      </c>
      <c r="D70" s="138" t="str">
        <v>Z9</v>
      </c>
      <c r="E70" s="137" t="str">
        <f t="shared" si="2"/>
        <v>USDIMMFRA6MZ9_Quote</v>
      </c>
      <c r="F70" s="136" t="str">
        <f>_xll.qlSimpleQuote(E70,,PriceTickValue,Permanent,Trigger,ObjectOverwrite)</f>
        <v>USDIMMFRA6MZ9_Quote#0000</v>
      </c>
      <c r="G70" s="99" t="str">
        <f>_xll.ohRangeRetrieveError(F70)</f>
        <v/>
      </c>
      <c r="H70" s="135"/>
    </row>
    <row r="71" spans="1:8" x14ac:dyDescent="0.2">
      <c r="A71" s="141"/>
      <c r="B71" s="140">
        <v>69</v>
      </c>
      <c r="C71" s="139" t="b">
        <v>0</v>
      </c>
      <c r="D71" s="138" t="str">
        <v>F0</v>
      </c>
      <c r="E71" s="137" t="str">
        <f t="shared" si="2"/>
        <v>USDIMMFRA6MF0_Quote</v>
      </c>
      <c r="F71" s="136" t="str">
        <f>_xll.qlSimpleQuote(E71,,PriceTickValue,Permanent,Trigger,ObjectOverwrite)</f>
        <v>USDIMMFRA6MF0_Quote#0000</v>
      </c>
      <c r="G71" s="99" t="str">
        <f>_xll.ohRangeRetrieveError(F71)</f>
        <v/>
      </c>
      <c r="H71" s="135"/>
    </row>
    <row r="72" spans="1:8" x14ac:dyDescent="0.2">
      <c r="A72" s="141"/>
      <c r="B72" s="140">
        <v>70</v>
      </c>
      <c r="C72" s="139" t="b">
        <v>0</v>
      </c>
      <c r="D72" s="138" t="str">
        <v>G0</v>
      </c>
      <c r="E72" s="137" t="str">
        <f t="shared" si="2"/>
        <v>USDIMMFRA6MG0_Quote</v>
      </c>
      <c r="F72" s="136" t="str">
        <f>_xll.qlSimpleQuote(E72,,PriceTickValue,Permanent,Trigger,ObjectOverwrite)</f>
        <v>USDIMMFRA6MG0_Quote#0000</v>
      </c>
      <c r="G72" s="99" t="str">
        <f>_xll.ohRangeRetrieveError(F72)</f>
        <v/>
      </c>
      <c r="H72" s="135"/>
    </row>
    <row r="73" spans="1:8" x14ac:dyDescent="0.2">
      <c r="A73" s="141"/>
      <c r="B73" s="140">
        <v>71</v>
      </c>
      <c r="C73" s="139" t="b">
        <v>0</v>
      </c>
      <c r="D73" s="138" t="str">
        <v>H0</v>
      </c>
      <c r="E73" s="137" t="str">
        <f t="shared" si="2"/>
        <v>USDIMMFRA6MH0_Quote</v>
      </c>
      <c r="F73" s="136" t="str">
        <f>_xll.qlSimpleQuote(E73,,PriceTickValue,Permanent,Trigger,ObjectOverwrite)</f>
        <v>USDIMMFRA6MH0_Quote#0000</v>
      </c>
      <c r="G73" s="99" t="str">
        <f>_xll.ohRangeRetrieveError(F73)</f>
        <v/>
      </c>
      <c r="H73" s="135"/>
    </row>
    <row r="74" spans="1:8" x14ac:dyDescent="0.2">
      <c r="A74" s="141"/>
      <c r="B74" s="140">
        <v>72</v>
      </c>
      <c r="C74" s="139" t="b">
        <v>0</v>
      </c>
      <c r="D74" s="138" t="str">
        <v>J0</v>
      </c>
      <c r="E74" s="137" t="str">
        <f t="shared" si="2"/>
        <v>USDIMMFRA6MJ0_Quote</v>
      </c>
      <c r="F74" s="136" t="str">
        <f>_xll.qlSimpleQuote(E74,,PriceTickValue,Permanent,Trigger,ObjectOverwrite)</f>
        <v>USDIMMFRA6MJ0_Quote#0000</v>
      </c>
      <c r="G74" s="99" t="str">
        <f>_xll.ohRangeRetrieveError(F74)</f>
        <v/>
      </c>
      <c r="H74" s="135"/>
    </row>
    <row r="75" spans="1:8" x14ac:dyDescent="0.2">
      <c r="A75" s="141"/>
      <c r="B75" s="140">
        <v>73</v>
      </c>
      <c r="C75" s="139" t="b">
        <v>0</v>
      </c>
      <c r="D75" s="138" t="str">
        <v>K0</v>
      </c>
      <c r="E75" s="137" t="str">
        <f t="shared" si="2"/>
        <v>USDIMMFRA6MK0_Quote</v>
      </c>
      <c r="F75" s="136" t="str">
        <f>_xll.qlSimpleQuote(E75,,PriceTickValue,Permanent,Trigger,ObjectOverwrite)</f>
        <v>USDIMMFRA6MK0_Quote#0000</v>
      </c>
      <c r="G75" s="99" t="str">
        <f>_xll.ohRangeRetrieveError(F75)</f>
        <v/>
      </c>
      <c r="H75" s="135"/>
    </row>
    <row r="76" spans="1:8" x14ac:dyDescent="0.2">
      <c r="A76" s="141"/>
      <c r="B76" s="140">
        <v>74</v>
      </c>
      <c r="C76" s="139" t="b">
        <v>0</v>
      </c>
      <c r="D76" s="138" t="str">
        <v>M0</v>
      </c>
      <c r="E76" s="137" t="str">
        <f t="shared" si="2"/>
        <v>USDIMMFRA6MM0_Quote</v>
      </c>
      <c r="F76" s="136" t="str">
        <f>_xll.qlSimpleQuote(E76,,PriceTickValue,Permanent,Trigger,ObjectOverwrite)</f>
        <v>USDIMMFRA6MM0_Quote#0000</v>
      </c>
      <c r="G76" s="99" t="str">
        <f>_xll.ohRangeRetrieveError(F76)</f>
        <v/>
      </c>
      <c r="H76" s="135"/>
    </row>
    <row r="77" spans="1:8" x14ac:dyDescent="0.2">
      <c r="A77" s="141"/>
      <c r="B77" s="140">
        <v>75</v>
      </c>
      <c r="C77" s="139" t="b">
        <v>0</v>
      </c>
      <c r="D77" s="138" t="str">
        <v>N0</v>
      </c>
      <c r="E77" s="137" t="str">
        <f t="shared" si="2"/>
        <v>USDIMMFRA6MN0_Quote</v>
      </c>
      <c r="F77" s="136" t="str">
        <f>_xll.qlSimpleQuote(E77,,PriceTickValue,Permanent,Trigger,ObjectOverwrite)</f>
        <v>USDIMMFRA6MN0_Quote#0000</v>
      </c>
      <c r="G77" s="99" t="str">
        <f>_xll.ohRangeRetrieveError(F77)</f>
        <v/>
      </c>
      <c r="H77" s="135"/>
    </row>
    <row r="78" spans="1:8" x14ac:dyDescent="0.2">
      <c r="A78" s="141"/>
      <c r="B78" s="140">
        <v>76</v>
      </c>
      <c r="C78" s="139" t="b">
        <v>0</v>
      </c>
      <c r="D78" s="138" t="str">
        <v>Q0</v>
      </c>
      <c r="E78" s="137" t="str">
        <f t="shared" si="2"/>
        <v>USDIMMFRA6MQ0_Quote</v>
      </c>
      <c r="F78" s="136" t="str">
        <f>_xll.qlSimpleQuote(E78,,PriceTickValue,Permanent,Trigger,ObjectOverwrite)</f>
        <v>USDIMMFRA6MQ0_Quote#0000</v>
      </c>
      <c r="G78" s="99" t="str">
        <f>_xll.ohRangeRetrieveError(F78)</f>
        <v/>
      </c>
      <c r="H78" s="135"/>
    </row>
    <row r="79" spans="1:8" x14ac:dyDescent="0.2">
      <c r="A79" s="141"/>
      <c r="B79" s="140">
        <v>77</v>
      </c>
      <c r="C79" s="139" t="b">
        <v>0</v>
      </c>
      <c r="D79" s="138" t="str">
        <v>U0</v>
      </c>
      <c r="E79" s="137" t="str">
        <f t="shared" si="2"/>
        <v>USDIMMFRA6MU0_Quote</v>
      </c>
      <c r="F79" s="136" t="str">
        <f>_xll.qlSimpleQuote(E79,,PriceTickValue,Permanent,Trigger,ObjectOverwrite)</f>
        <v>USDIMMFRA6MU0_Quote#0000</v>
      </c>
      <c r="G79" s="99" t="str">
        <f>_xll.ohRangeRetrieveError(F79)</f>
        <v/>
      </c>
      <c r="H79" s="135"/>
    </row>
    <row r="80" spans="1:8" x14ac:dyDescent="0.2">
      <c r="A80" s="141"/>
      <c r="B80" s="140">
        <v>78</v>
      </c>
      <c r="C80" s="139" t="b">
        <v>0</v>
      </c>
      <c r="D80" s="138" t="str">
        <v>V0</v>
      </c>
      <c r="E80" s="137" t="str">
        <f t="shared" si="2"/>
        <v>USDIMMFRA6MV0_Quote</v>
      </c>
      <c r="F80" s="136" t="str">
        <f>_xll.qlSimpleQuote(E80,,PriceTickValue,Permanent,Trigger,ObjectOverwrite)</f>
        <v>USDIMMFRA6MV0_Quote#0000</v>
      </c>
      <c r="G80" s="99" t="str">
        <f>_xll.ohRangeRetrieveError(F80)</f>
        <v/>
      </c>
      <c r="H80" s="135"/>
    </row>
    <row r="81" spans="1:8" x14ac:dyDescent="0.2">
      <c r="A81" s="141"/>
      <c r="B81" s="140">
        <v>79</v>
      </c>
      <c r="C81" s="139" t="b">
        <v>0</v>
      </c>
      <c r="D81" s="138" t="str">
        <v>X0</v>
      </c>
      <c r="E81" s="137" t="str">
        <f t="shared" si="2"/>
        <v>USDIMMFRA6MX0_Quote</v>
      </c>
      <c r="F81" s="136" t="str">
        <f>_xll.qlSimpleQuote(E81,,PriceTickValue,Permanent,Trigger,ObjectOverwrite)</f>
        <v>USDIMMFRA6MX0_Quote#0000</v>
      </c>
      <c r="G81" s="99" t="str">
        <f>_xll.ohRangeRetrieveError(F81)</f>
        <v/>
      </c>
      <c r="H81" s="135"/>
    </row>
    <row r="82" spans="1:8" x14ac:dyDescent="0.2">
      <c r="A82" s="141"/>
      <c r="B82" s="140">
        <v>80</v>
      </c>
      <c r="C82" s="139" t="b">
        <v>0</v>
      </c>
      <c r="D82" s="138" t="str">
        <v>Z0</v>
      </c>
      <c r="E82" s="137" t="str">
        <f t="shared" si="2"/>
        <v>USDIMMFRA6MZ0_Quote</v>
      </c>
      <c r="F82" s="136" t="str">
        <f>_xll.qlSimpleQuote(E82,,PriceTickValue,Permanent,Trigger,ObjectOverwrite)</f>
        <v>USDIMMFRA6MZ0_Quote#0000</v>
      </c>
      <c r="G82" s="99" t="str">
        <f>_xll.ohRangeRetrieveError(F82)</f>
        <v/>
      </c>
      <c r="H82" s="135"/>
    </row>
    <row r="83" spans="1:8" x14ac:dyDescent="0.2">
      <c r="A83" s="141"/>
      <c r="B83" s="140">
        <v>81</v>
      </c>
      <c r="C83" s="139" t="b">
        <v>0</v>
      </c>
      <c r="D83" s="138" t="str">
        <v>F1</v>
      </c>
      <c r="E83" s="137" t="str">
        <f t="shared" si="2"/>
        <v>USDIMMFRA6MF1_Quote</v>
      </c>
      <c r="F83" s="136" t="str">
        <f>_xll.qlSimpleQuote(E83,,PriceTickValue,Permanent,Trigger,ObjectOverwrite)</f>
        <v>USDIMMFRA6MF1_Quote#0000</v>
      </c>
      <c r="G83" s="99" t="str">
        <f>_xll.ohRangeRetrieveError(F83)</f>
        <v/>
      </c>
      <c r="H83" s="135"/>
    </row>
    <row r="84" spans="1:8" x14ac:dyDescent="0.2">
      <c r="A84" s="141"/>
      <c r="B84" s="140">
        <v>82</v>
      </c>
      <c r="C84" s="139" t="b">
        <v>0</v>
      </c>
      <c r="D84" s="138" t="str">
        <v>G1</v>
      </c>
      <c r="E84" s="137" t="str">
        <f t="shared" si="2"/>
        <v>USDIMMFRA6MG1_Quote</v>
      </c>
      <c r="F84" s="136" t="str">
        <f>_xll.qlSimpleQuote(E84,,PriceTickValue,Permanent,Trigger,ObjectOverwrite)</f>
        <v>USDIMMFRA6MG1_Quote#0000</v>
      </c>
      <c r="G84" s="99" t="str">
        <f>_xll.ohRangeRetrieveError(F84)</f>
        <v/>
      </c>
      <c r="H84" s="135"/>
    </row>
    <row r="85" spans="1:8" x14ac:dyDescent="0.2">
      <c r="A85" s="141"/>
      <c r="B85" s="140">
        <v>83</v>
      </c>
      <c r="C85" s="139" t="b">
        <v>0</v>
      </c>
      <c r="D85" s="138" t="str">
        <v>H1</v>
      </c>
      <c r="E85" s="137" t="str">
        <f t="shared" si="2"/>
        <v>USDIMMFRA6MH1_Quote</v>
      </c>
      <c r="F85" s="136" t="str">
        <f>_xll.qlSimpleQuote(E85,,PriceTickValue,Permanent,Trigger,ObjectOverwrite)</f>
        <v>USDIMMFRA6MH1_Quote#0000</v>
      </c>
      <c r="G85" s="99" t="str">
        <f>_xll.ohRangeRetrieveError(F85)</f>
        <v/>
      </c>
      <c r="H85" s="135"/>
    </row>
    <row r="86" spans="1:8" x14ac:dyDescent="0.2">
      <c r="A86" s="141"/>
      <c r="B86" s="140">
        <v>84</v>
      </c>
      <c r="C86" s="139" t="b">
        <v>0</v>
      </c>
      <c r="D86" s="138" t="str">
        <v>J1</v>
      </c>
      <c r="E86" s="137" t="str">
        <f t="shared" si="2"/>
        <v>USDIMMFRA6MJ1_Quote</v>
      </c>
      <c r="F86" s="136" t="str">
        <f>_xll.qlSimpleQuote(E86,,PriceTickValue,Permanent,Trigger,ObjectOverwrite)</f>
        <v>USDIMMFRA6MJ1_Quote#0000</v>
      </c>
      <c r="G86" s="99" t="str">
        <f>_xll.ohRangeRetrieveError(F86)</f>
        <v/>
      </c>
      <c r="H86" s="135"/>
    </row>
    <row r="87" spans="1:8" x14ac:dyDescent="0.2">
      <c r="A87" s="141"/>
      <c r="B87" s="140">
        <v>85</v>
      </c>
      <c r="C87" s="139" t="b">
        <v>0</v>
      </c>
      <c r="D87" s="138" t="str">
        <v>K1</v>
      </c>
      <c r="E87" s="137" t="str">
        <f t="shared" si="2"/>
        <v>USDIMMFRA6MK1_Quote</v>
      </c>
      <c r="F87" s="136" t="str">
        <f>_xll.qlSimpleQuote(E87,,PriceTickValue,Permanent,Trigger,ObjectOverwrite)</f>
        <v>USDIMMFRA6MK1_Quote#0000</v>
      </c>
      <c r="G87" s="99" t="str">
        <f>_xll.ohRangeRetrieveError(F87)</f>
        <v/>
      </c>
      <c r="H87" s="135"/>
    </row>
    <row r="88" spans="1:8" x14ac:dyDescent="0.2">
      <c r="A88" s="141"/>
      <c r="B88" s="140">
        <v>86</v>
      </c>
      <c r="C88" s="139" t="b">
        <v>0</v>
      </c>
      <c r="D88" s="138" t="str">
        <v>M1</v>
      </c>
      <c r="E88" s="137" t="str">
        <f t="shared" si="2"/>
        <v>USDIMMFRA6MM1_Quote</v>
      </c>
      <c r="F88" s="136" t="str">
        <f>_xll.qlSimpleQuote(E88,,PriceTickValue,Permanent,Trigger,ObjectOverwrite)</f>
        <v>USDIMMFRA6MM1_Quote#0000</v>
      </c>
      <c r="G88" s="99" t="str">
        <f>_xll.ohRangeRetrieveError(F88)</f>
        <v/>
      </c>
      <c r="H88" s="135"/>
    </row>
    <row r="89" spans="1:8" x14ac:dyDescent="0.2">
      <c r="A89" s="141"/>
      <c r="B89" s="140">
        <v>87</v>
      </c>
      <c r="C89" s="139" t="b">
        <v>0</v>
      </c>
      <c r="D89" s="138" t="str">
        <v>N1</v>
      </c>
      <c r="E89" s="137" t="str">
        <f t="shared" si="2"/>
        <v>USDIMMFRA6MN1_Quote</v>
      </c>
      <c r="F89" s="136" t="str">
        <f>_xll.qlSimpleQuote(E89,,PriceTickValue,Permanent,Trigger,ObjectOverwrite)</f>
        <v>USDIMMFRA6MN1_Quote#0000</v>
      </c>
      <c r="G89" s="99" t="str">
        <f>_xll.ohRangeRetrieveError(F89)</f>
        <v/>
      </c>
      <c r="H89" s="135"/>
    </row>
    <row r="90" spans="1:8" x14ac:dyDescent="0.2">
      <c r="A90" s="141"/>
      <c r="B90" s="140">
        <v>88</v>
      </c>
      <c r="C90" s="139" t="b">
        <v>0</v>
      </c>
      <c r="D90" s="138" t="str">
        <v>Q1</v>
      </c>
      <c r="E90" s="137" t="str">
        <f t="shared" si="2"/>
        <v>USDIMMFRA6MQ1_Quote</v>
      </c>
      <c r="F90" s="136" t="str">
        <f>_xll.qlSimpleQuote(E90,,PriceTickValue,Permanent,Trigger,ObjectOverwrite)</f>
        <v>USDIMMFRA6MQ1_Quote#0000</v>
      </c>
      <c r="G90" s="99" t="str">
        <f>_xll.ohRangeRetrieveError(F90)</f>
        <v/>
      </c>
      <c r="H90" s="135"/>
    </row>
    <row r="91" spans="1:8" x14ac:dyDescent="0.2">
      <c r="A91" s="141"/>
      <c r="B91" s="140">
        <v>89</v>
      </c>
      <c r="C91" s="139" t="b">
        <v>0</v>
      </c>
      <c r="D91" s="138" t="str">
        <v>U1</v>
      </c>
      <c r="E91" s="137" t="str">
        <f t="shared" si="2"/>
        <v>USDIMMFRA6MU1_Quote</v>
      </c>
      <c r="F91" s="136" t="str">
        <f>_xll.qlSimpleQuote(E91,,PriceTickValue,Permanent,Trigger,ObjectOverwrite)</f>
        <v>USDIMMFRA6MU1_Quote#0000</v>
      </c>
      <c r="G91" s="99" t="str">
        <f>_xll.ohRangeRetrieveError(F91)</f>
        <v/>
      </c>
      <c r="H91" s="135"/>
    </row>
    <row r="92" spans="1:8" x14ac:dyDescent="0.2">
      <c r="A92" s="141"/>
      <c r="B92" s="140">
        <v>90</v>
      </c>
      <c r="C92" s="139" t="b">
        <v>0</v>
      </c>
      <c r="D92" s="138" t="str">
        <v>V1</v>
      </c>
      <c r="E92" s="137" t="str">
        <f t="shared" si="2"/>
        <v>USDIMMFRA6MV1_Quote</v>
      </c>
      <c r="F92" s="136" t="str">
        <f>_xll.qlSimpleQuote(E92,,PriceTickValue,Permanent,Trigger,ObjectOverwrite)</f>
        <v>USDIMMFRA6MV1_Quote#0000</v>
      </c>
      <c r="G92" s="99" t="str">
        <f>_xll.ohRangeRetrieveError(F92)</f>
        <v/>
      </c>
      <c r="H92" s="135"/>
    </row>
    <row r="93" spans="1:8" x14ac:dyDescent="0.2">
      <c r="A93" s="141"/>
      <c r="B93" s="140">
        <v>91</v>
      </c>
      <c r="C93" s="139" t="b">
        <v>0</v>
      </c>
      <c r="D93" s="138" t="str">
        <v>X1</v>
      </c>
      <c r="E93" s="137" t="str">
        <f t="shared" si="2"/>
        <v>USDIMMFRA6MX1_Quote</v>
      </c>
      <c r="F93" s="136" t="str">
        <f>_xll.qlSimpleQuote(E93,,PriceTickValue,Permanent,Trigger,ObjectOverwrite)</f>
        <v>USDIMMFRA6MX1_Quote#0000</v>
      </c>
      <c r="G93" s="99" t="str">
        <f>_xll.ohRangeRetrieveError(F93)</f>
        <v/>
      </c>
      <c r="H93" s="135"/>
    </row>
    <row r="94" spans="1:8" x14ac:dyDescent="0.2">
      <c r="A94" s="141"/>
      <c r="B94" s="140">
        <v>92</v>
      </c>
      <c r="C94" s="139" t="b">
        <v>0</v>
      </c>
      <c r="D94" s="138" t="str">
        <v>Z1</v>
      </c>
      <c r="E94" s="137" t="str">
        <f t="shared" si="2"/>
        <v>USDIMMFRA6MZ1_Quote</v>
      </c>
      <c r="F94" s="136" t="str">
        <f>_xll.qlSimpleQuote(E94,,PriceTickValue,Permanent,Trigger,ObjectOverwrite)</f>
        <v>USDIMMFRA6MZ1_Quote#0000</v>
      </c>
      <c r="G94" s="99" t="str">
        <f>_xll.ohRangeRetrieveError(F94)</f>
        <v/>
      </c>
      <c r="H94" s="135"/>
    </row>
    <row r="95" spans="1:8" x14ac:dyDescent="0.2">
      <c r="A95" s="141"/>
      <c r="B95" s="140">
        <v>93</v>
      </c>
      <c r="C95" s="139" t="b">
        <v>0</v>
      </c>
      <c r="D95" s="138" t="str">
        <v>F2</v>
      </c>
      <c r="E95" s="137" t="str">
        <f t="shared" si="2"/>
        <v>USDIMMFRA6MF2_Quote</v>
      </c>
      <c r="F95" s="136" t="str">
        <f>_xll.qlSimpleQuote(E95,,PriceTickValue,Permanent,Trigger,ObjectOverwrite)</f>
        <v>USDIMMFRA6MF2_Quote#0000</v>
      </c>
      <c r="G95" s="99" t="str">
        <f>_xll.ohRangeRetrieveError(F95)</f>
        <v/>
      </c>
      <c r="H95" s="135"/>
    </row>
    <row r="96" spans="1:8" x14ac:dyDescent="0.2">
      <c r="A96" s="141"/>
      <c r="B96" s="140">
        <v>94</v>
      </c>
      <c r="C96" s="139" t="b">
        <v>0</v>
      </c>
      <c r="D96" s="138" t="str">
        <v>G2</v>
      </c>
      <c r="E96" s="137" t="str">
        <f t="shared" si="2"/>
        <v>USDIMMFRA6MG2_Quote</v>
      </c>
      <c r="F96" s="136" t="str">
        <f>_xll.qlSimpleQuote(E96,,PriceTickValue,Permanent,Trigger,ObjectOverwrite)</f>
        <v>USDIMMFRA6MG2_Quote#0000</v>
      </c>
      <c r="G96" s="99" t="str">
        <f>_xll.ohRangeRetrieveError(F96)</f>
        <v/>
      </c>
      <c r="H96" s="135"/>
    </row>
    <row r="97" spans="1:8" x14ac:dyDescent="0.2">
      <c r="A97" s="141"/>
      <c r="B97" s="140">
        <v>95</v>
      </c>
      <c r="C97" s="139" t="b">
        <v>0</v>
      </c>
      <c r="D97" s="138" t="str">
        <v>H2</v>
      </c>
      <c r="E97" s="137" t="str">
        <f t="shared" si="2"/>
        <v>USDIMMFRA6MH2_Quote</v>
      </c>
      <c r="F97" s="136" t="str">
        <f>_xll.qlSimpleQuote(E97,,PriceTickValue,Permanent,Trigger,ObjectOverwrite)</f>
        <v>USDIMMFRA6MH2_Quote#0000</v>
      </c>
      <c r="G97" s="99" t="str">
        <f>_xll.ohRangeRetrieveError(F97)</f>
        <v/>
      </c>
      <c r="H97" s="135"/>
    </row>
    <row r="98" spans="1:8" x14ac:dyDescent="0.2">
      <c r="A98" s="141"/>
      <c r="B98" s="140">
        <v>96</v>
      </c>
      <c r="C98" s="139" t="b">
        <v>0</v>
      </c>
      <c r="D98" s="138" t="str">
        <v>J2</v>
      </c>
      <c r="E98" s="137" t="str">
        <f t="shared" si="2"/>
        <v>USDIMMFRA6MJ2_Quote</v>
      </c>
      <c r="F98" s="136" t="str">
        <f>_xll.qlSimpleQuote(E98,,PriceTickValue,Permanent,Trigger,ObjectOverwrite)</f>
        <v>USDIMMFRA6MJ2_Quote#0000</v>
      </c>
      <c r="G98" s="99" t="str">
        <f>_xll.ohRangeRetrieveError(F98)</f>
        <v/>
      </c>
      <c r="H98" s="135"/>
    </row>
    <row r="99" spans="1:8" x14ac:dyDescent="0.2">
      <c r="A99" s="141"/>
      <c r="B99" s="140">
        <v>97</v>
      </c>
      <c r="C99" s="139" t="b">
        <v>0</v>
      </c>
      <c r="D99" s="138" t="str">
        <v>K2</v>
      </c>
      <c r="E99" s="137" t="str">
        <f t="shared" ref="E99:E122" si="3">Currency&amp;$D$1&amp;$E$1&amp;$D99&amp;QuoteSuffix</f>
        <v>USDIMMFRA6MK2_Quote</v>
      </c>
      <c r="F99" s="136" t="str">
        <f>_xll.qlSimpleQuote(E99,,PriceTickValue,Permanent,Trigger,ObjectOverwrite)</f>
        <v>USDIMMFRA6MK2_Quote#0000</v>
      </c>
      <c r="G99" s="99" t="str">
        <f>_xll.ohRangeRetrieveError(F99)</f>
        <v/>
      </c>
      <c r="H99" s="135"/>
    </row>
    <row r="100" spans="1:8" x14ac:dyDescent="0.2">
      <c r="A100" s="141"/>
      <c r="B100" s="140">
        <v>98</v>
      </c>
      <c r="C100" s="139" t="b">
        <v>0</v>
      </c>
      <c r="D100" s="138" t="str">
        <v>M2</v>
      </c>
      <c r="E100" s="137" t="str">
        <f t="shared" si="3"/>
        <v>USDIMMFRA6MM2_Quote</v>
      </c>
      <c r="F100" s="136" t="str">
        <f>_xll.qlSimpleQuote(E100,,PriceTickValue,Permanent,Trigger,ObjectOverwrite)</f>
        <v>USDIMMFRA6MM2_Quote#0000</v>
      </c>
      <c r="G100" s="99" t="str">
        <f>_xll.ohRangeRetrieveError(F100)</f>
        <v/>
      </c>
      <c r="H100" s="135"/>
    </row>
    <row r="101" spans="1:8" x14ac:dyDescent="0.2">
      <c r="A101" s="141"/>
      <c r="B101" s="140">
        <v>99</v>
      </c>
      <c r="C101" s="139" t="b">
        <v>0</v>
      </c>
      <c r="D101" s="138" t="str">
        <v>N2</v>
      </c>
      <c r="E101" s="137" t="str">
        <f t="shared" si="3"/>
        <v>USDIMMFRA6MN2_Quote</v>
      </c>
      <c r="F101" s="136" t="str">
        <f>_xll.qlSimpleQuote(E101,,PriceTickValue,Permanent,Trigger,ObjectOverwrite)</f>
        <v>USDIMMFRA6MN2_Quote#0000</v>
      </c>
      <c r="G101" s="99" t="str">
        <f>_xll.ohRangeRetrieveError(F101)</f>
        <v/>
      </c>
      <c r="H101" s="135"/>
    </row>
    <row r="102" spans="1:8" x14ac:dyDescent="0.2">
      <c r="A102" s="141"/>
      <c r="B102" s="140">
        <v>100</v>
      </c>
      <c r="C102" s="139" t="b">
        <v>0</v>
      </c>
      <c r="D102" s="138" t="str">
        <v>Q2</v>
      </c>
      <c r="E102" s="137" t="str">
        <f t="shared" si="3"/>
        <v>USDIMMFRA6MQ2_Quote</v>
      </c>
      <c r="F102" s="136" t="str">
        <f>_xll.qlSimpleQuote(E102,,PriceTickValue,Permanent,Trigger,ObjectOverwrite)</f>
        <v>USDIMMFRA6MQ2_Quote#0000</v>
      </c>
      <c r="G102" s="99" t="str">
        <f>_xll.ohRangeRetrieveError(F102)</f>
        <v/>
      </c>
      <c r="H102" s="135"/>
    </row>
    <row r="103" spans="1:8" x14ac:dyDescent="0.2">
      <c r="A103" s="141"/>
      <c r="B103" s="140">
        <v>101</v>
      </c>
      <c r="C103" s="139" t="b">
        <v>0</v>
      </c>
      <c r="D103" s="138" t="str">
        <v>U2</v>
      </c>
      <c r="E103" s="137" t="str">
        <f t="shared" si="3"/>
        <v>USDIMMFRA6MU2_Quote</v>
      </c>
      <c r="F103" s="136" t="str">
        <f>_xll.qlSimpleQuote(E103,,PriceTickValue,Permanent,Trigger,ObjectOverwrite)</f>
        <v>USDIMMFRA6MU2_Quote#0000</v>
      </c>
      <c r="G103" s="99" t="str">
        <f>_xll.ohRangeRetrieveError(F103)</f>
        <v/>
      </c>
      <c r="H103" s="135"/>
    </row>
    <row r="104" spans="1:8" x14ac:dyDescent="0.2">
      <c r="A104" s="141"/>
      <c r="B104" s="140">
        <v>102</v>
      </c>
      <c r="C104" s="139" t="b">
        <v>0</v>
      </c>
      <c r="D104" s="138" t="str">
        <v>V2</v>
      </c>
      <c r="E104" s="137" t="str">
        <f t="shared" si="3"/>
        <v>USDIMMFRA6MV2_Quote</v>
      </c>
      <c r="F104" s="136" t="str">
        <f>_xll.qlSimpleQuote(E104,,PriceTickValue,Permanent,Trigger,ObjectOverwrite)</f>
        <v>USDIMMFRA6MV2_Quote#0000</v>
      </c>
      <c r="G104" s="99" t="str">
        <f>_xll.ohRangeRetrieveError(F104)</f>
        <v/>
      </c>
      <c r="H104" s="135"/>
    </row>
    <row r="105" spans="1:8" x14ac:dyDescent="0.2">
      <c r="A105" s="141"/>
      <c r="B105" s="140">
        <v>103</v>
      </c>
      <c r="C105" s="139" t="b">
        <v>0</v>
      </c>
      <c r="D105" s="138" t="str">
        <v>X2</v>
      </c>
      <c r="E105" s="137" t="str">
        <f t="shared" si="3"/>
        <v>USDIMMFRA6MX2_Quote</v>
      </c>
      <c r="F105" s="136" t="str">
        <f>_xll.qlSimpleQuote(E105,,PriceTickValue,Permanent,Trigger,ObjectOverwrite)</f>
        <v>USDIMMFRA6MX2_Quote#0000</v>
      </c>
      <c r="G105" s="99" t="str">
        <f>_xll.ohRangeRetrieveError(F105)</f>
        <v/>
      </c>
      <c r="H105" s="135"/>
    </row>
    <row r="106" spans="1:8" x14ac:dyDescent="0.2">
      <c r="A106" s="141"/>
      <c r="B106" s="140">
        <v>104</v>
      </c>
      <c r="C106" s="139" t="b">
        <v>0</v>
      </c>
      <c r="D106" s="138" t="str">
        <v>Z2</v>
      </c>
      <c r="E106" s="137" t="str">
        <f t="shared" si="3"/>
        <v>USDIMMFRA6MZ2_Quote</v>
      </c>
      <c r="F106" s="136" t="str">
        <f>_xll.qlSimpleQuote(E106,,PriceTickValue,Permanent,Trigger,ObjectOverwrite)</f>
        <v>USDIMMFRA6MZ2_Quote#0000</v>
      </c>
      <c r="G106" s="99" t="str">
        <f>_xll.ohRangeRetrieveError(F106)</f>
        <v/>
      </c>
      <c r="H106" s="135"/>
    </row>
    <row r="107" spans="1:8" x14ac:dyDescent="0.2">
      <c r="A107" s="141"/>
      <c r="B107" s="140">
        <v>105</v>
      </c>
      <c r="C107" s="139" t="b">
        <v>0</v>
      </c>
      <c r="D107" s="138" t="str">
        <v>F3</v>
      </c>
      <c r="E107" s="137" t="str">
        <f t="shared" si="3"/>
        <v>USDIMMFRA6MF3_Quote</v>
      </c>
      <c r="F107" s="136" t="str">
        <f>_xll.qlSimpleQuote(E107,,PriceTickValue,Permanent,Trigger,ObjectOverwrite)</f>
        <v>USDIMMFRA6MF3_Quote#0000</v>
      </c>
      <c r="G107" s="99" t="str">
        <f>_xll.ohRangeRetrieveError(F107)</f>
        <v/>
      </c>
      <c r="H107" s="135"/>
    </row>
    <row r="108" spans="1:8" x14ac:dyDescent="0.2">
      <c r="A108" s="141"/>
      <c r="B108" s="140">
        <v>106</v>
      </c>
      <c r="C108" s="139" t="b">
        <v>0</v>
      </c>
      <c r="D108" s="138" t="str">
        <v>G3</v>
      </c>
      <c r="E108" s="137" t="str">
        <f t="shared" si="3"/>
        <v>USDIMMFRA6MG3_Quote</v>
      </c>
      <c r="F108" s="136" t="str">
        <f>_xll.qlSimpleQuote(E108,,PriceTickValue,Permanent,Trigger,ObjectOverwrite)</f>
        <v>USDIMMFRA6MG3_Quote#0000</v>
      </c>
      <c r="G108" s="99" t="str">
        <f>_xll.ohRangeRetrieveError(F108)</f>
        <v/>
      </c>
      <c r="H108" s="135"/>
    </row>
    <row r="109" spans="1:8" x14ac:dyDescent="0.2">
      <c r="A109" s="141"/>
      <c r="B109" s="140">
        <v>107</v>
      </c>
      <c r="C109" s="139" t="b">
        <v>0</v>
      </c>
      <c r="D109" s="138" t="str">
        <v>H3</v>
      </c>
      <c r="E109" s="137" t="str">
        <f t="shared" si="3"/>
        <v>USDIMMFRA6MH3_Quote</v>
      </c>
      <c r="F109" s="136" t="str">
        <f>_xll.qlSimpleQuote(E109,,PriceTickValue,Permanent,Trigger,ObjectOverwrite)</f>
        <v>USDIMMFRA6MH3_Quote#0000</v>
      </c>
      <c r="G109" s="99" t="str">
        <f>_xll.ohRangeRetrieveError(F109)</f>
        <v/>
      </c>
      <c r="H109" s="135"/>
    </row>
    <row r="110" spans="1:8" x14ac:dyDescent="0.2">
      <c r="A110" s="141"/>
      <c r="B110" s="140">
        <v>108</v>
      </c>
      <c r="C110" s="139" t="b">
        <v>0</v>
      </c>
      <c r="D110" s="138" t="str">
        <v>J3</v>
      </c>
      <c r="E110" s="137" t="str">
        <f t="shared" si="3"/>
        <v>USDIMMFRA6MJ3_Quote</v>
      </c>
      <c r="F110" s="136" t="str">
        <f>_xll.qlSimpleQuote(E110,,PriceTickValue,Permanent,Trigger,ObjectOverwrite)</f>
        <v>USDIMMFRA6MJ3_Quote#0000</v>
      </c>
      <c r="G110" s="99" t="str">
        <f>_xll.ohRangeRetrieveError(F110)</f>
        <v/>
      </c>
      <c r="H110" s="135"/>
    </row>
    <row r="111" spans="1:8" x14ac:dyDescent="0.2">
      <c r="A111" s="141"/>
      <c r="B111" s="140">
        <v>109</v>
      </c>
      <c r="C111" s="139" t="b">
        <v>0</v>
      </c>
      <c r="D111" s="138" t="str">
        <v>K3</v>
      </c>
      <c r="E111" s="137" t="str">
        <f t="shared" si="3"/>
        <v>USDIMMFRA6MK3_Quote</v>
      </c>
      <c r="F111" s="136" t="str">
        <f>_xll.qlSimpleQuote(E111,,PriceTickValue,Permanent,Trigger,ObjectOverwrite)</f>
        <v>USDIMMFRA6MK3_Quote#0000</v>
      </c>
      <c r="G111" s="99" t="str">
        <f>_xll.ohRangeRetrieveError(F111)</f>
        <v/>
      </c>
      <c r="H111" s="135"/>
    </row>
    <row r="112" spans="1:8" x14ac:dyDescent="0.2">
      <c r="A112" s="141"/>
      <c r="B112" s="140">
        <v>110</v>
      </c>
      <c r="C112" s="139" t="b">
        <v>0</v>
      </c>
      <c r="D112" s="138" t="str">
        <v>M3</v>
      </c>
      <c r="E112" s="137" t="str">
        <f t="shared" si="3"/>
        <v>USDIMMFRA6MM3_Quote</v>
      </c>
      <c r="F112" s="136" t="str">
        <f>_xll.qlSimpleQuote(E112,,PriceTickValue,Permanent,Trigger,ObjectOverwrite)</f>
        <v>USDIMMFRA6MM3_Quote#0000</v>
      </c>
      <c r="G112" s="99" t="str">
        <f>_xll.ohRangeRetrieveError(F112)</f>
        <v/>
      </c>
      <c r="H112" s="135"/>
    </row>
    <row r="113" spans="1:8" x14ac:dyDescent="0.2">
      <c r="A113" s="141"/>
      <c r="B113" s="140">
        <v>111</v>
      </c>
      <c r="C113" s="139" t="b">
        <v>0</v>
      </c>
      <c r="D113" s="138" t="str">
        <v>N3</v>
      </c>
      <c r="E113" s="137" t="str">
        <f t="shared" si="3"/>
        <v>USDIMMFRA6MN3_Quote</v>
      </c>
      <c r="F113" s="136" t="str">
        <f>_xll.qlSimpleQuote(E113,,PriceTickValue,Permanent,Trigger,ObjectOverwrite)</f>
        <v>USDIMMFRA6MN3_Quote#0000</v>
      </c>
      <c r="G113" s="99" t="str">
        <f>_xll.ohRangeRetrieveError(F113)</f>
        <v/>
      </c>
      <c r="H113" s="135"/>
    </row>
    <row r="114" spans="1:8" x14ac:dyDescent="0.2">
      <c r="A114" s="141"/>
      <c r="B114" s="140">
        <v>112</v>
      </c>
      <c r="C114" s="139" t="b">
        <v>0</v>
      </c>
      <c r="D114" s="138" t="str">
        <v>Q3</v>
      </c>
      <c r="E114" s="137" t="str">
        <f t="shared" si="3"/>
        <v>USDIMMFRA6MQ3_Quote</v>
      </c>
      <c r="F114" s="136" t="str">
        <f>_xll.qlSimpleQuote(E114,,PriceTickValue,Permanent,Trigger,ObjectOverwrite)</f>
        <v>USDIMMFRA6MQ3_Quote#0000</v>
      </c>
      <c r="G114" s="99" t="str">
        <f>_xll.ohRangeRetrieveError(F114)</f>
        <v/>
      </c>
      <c r="H114" s="135"/>
    </row>
    <row r="115" spans="1:8" x14ac:dyDescent="0.2">
      <c r="A115" s="141"/>
      <c r="B115" s="140">
        <v>113</v>
      </c>
      <c r="C115" s="139" t="b">
        <v>0</v>
      </c>
      <c r="D115" s="138" t="str">
        <v>U3</v>
      </c>
      <c r="E115" s="137" t="str">
        <f t="shared" si="3"/>
        <v>USDIMMFRA6MU3_Quote</v>
      </c>
      <c r="F115" s="136" t="str">
        <f>_xll.qlSimpleQuote(E115,,PriceTickValue,Permanent,Trigger,ObjectOverwrite)</f>
        <v>USDIMMFRA6MU3_Quote#0000</v>
      </c>
      <c r="G115" s="99" t="str">
        <f>_xll.ohRangeRetrieveError(F115)</f>
        <v/>
      </c>
      <c r="H115" s="135"/>
    </row>
    <row r="116" spans="1:8" x14ac:dyDescent="0.2">
      <c r="A116" s="141"/>
      <c r="B116" s="140">
        <v>114</v>
      </c>
      <c r="C116" s="139" t="b">
        <v>0</v>
      </c>
      <c r="D116" s="138" t="str">
        <v>V3</v>
      </c>
      <c r="E116" s="137" t="str">
        <f t="shared" si="3"/>
        <v>USDIMMFRA6MV3_Quote</v>
      </c>
      <c r="F116" s="136" t="str">
        <f>_xll.qlSimpleQuote(E116,,PriceTickValue,Permanent,Trigger,ObjectOverwrite)</f>
        <v>USDIMMFRA6MV3_Quote#0000</v>
      </c>
      <c r="G116" s="99" t="str">
        <f>_xll.ohRangeRetrieveError(F116)</f>
        <v/>
      </c>
      <c r="H116" s="135"/>
    </row>
    <row r="117" spans="1:8" x14ac:dyDescent="0.2">
      <c r="A117" s="141"/>
      <c r="B117" s="140">
        <v>115</v>
      </c>
      <c r="C117" s="139" t="b">
        <v>0</v>
      </c>
      <c r="D117" s="138" t="str">
        <v>X3</v>
      </c>
      <c r="E117" s="137" t="str">
        <f t="shared" si="3"/>
        <v>USDIMMFRA6MX3_Quote</v>
      </c>
      <c r="F117" s="136" t="str">
        <f>_xll.qlSimpleQuote(E117,,PriceTickValue,Permanent,Trigger,ObjectOverwrite)</f>
        <v>USDIMMFRA6MX3_Quote#0000</v>
      </c>
      <c r="G117" s="99" t="str">
        <f>_xll.ohRangeRetrieveError(F117)</f>
        <v/>
      </c>
      <c r="H117" s="135"/>
    </row>
    <row r="118" spans="1:8" x14ac:dyDescent="0.2">
      <c r="A118" s="141"/>
      <c r="B118" s="140">
        <v>116</v>
      </c>
      <c r="C118" s="139" t="b">
        <v>0</v>
      </c>
      <c r="D118" s="138" t="str">
        <v>Z3</v>
      </c>
      <c r="E118" s="137" t="str">
        <f t="shared" si="3"/>
        <v>USDIMMFRA6MZ3_Quote</v>
      </c>
      <c r="F118" s="136" t="str">
        <f>_xll.qlSimpleQuote(E118,,PriceTickValue,Permanent,Trigger,ObjectOverwrite)</f>
        <v>USDIMMFRA6MZ3_Quote#0000</v>
      </c>
      <c r="G118" s="99" t="str">
        <f>_xll.ohRangeRetrieveError(F118)</f>
        <v/>
      </c>
      <c r="H118" s="135"/>
    </row>
    <row r="119" spans="1:8" x14ac:dyDescent="0.2">
      <c r="A119" s="141"/>
      <c r="B119" s="140">
        <v>117</v>
      </c>
      <c r="C119" s="139" t="b">
        <v>0</v>
      </c>
      <c r="D119" s="138" t="str">
        <v>F4</v>
      </c>
      <c r="E119" s="137" t="str">
        <f t="shared" si="3"/>
        <v>USDIMMFRA6MF4_Quote</v>
      </c>
      <c r="F119" s="136" t="str">
        <f>_xll.qlSimpleQuote(E119,,PriceTickValue,Permanent,Trigger,ObjectOverwrite)</f>
        <v>USDIMMFRA6MF4_Quote#0000</v>
      </c>
      <c r="G119" s="99" t="str">
        <f>_xll.ohRangeRetrieveError(F119)</f>
        <v/>
      </c>
      <c r="H119" s="135"/>
    </row>
    <row r="120" spans="1:8" x14ac:dyDescent="0.2">
      <c r="A120" s="141"/>
      <c r="B120" s="140">
        <v>118</v>
      </c>
      <c r="C120" s="139" t="b">
        <v>0</v>
      </c>
      <c r="D120" s="138" t="str">
        <v>G4</v>
      </c>
      <c r="E120" s="137" t="str">
        <f t="shared" si="3"/>
        <v>USDIMMFRA6MG4_Quote</v>
      </c>
      <c r="F120" s="136" t="str">
        <f>_xll.qlSimpleQuote(E120,,PriceTickValue,Permanent,Trigger,ObjectOverwrite)</f>
        <v>USDIMMFRA6MG4_Quote#0000</v>
      </c>
      <c r="G120" s="99" t="str">
        <f>_xll.ohRangeRetrieveError(F120)</f>
        <v/>
      </c>
      <c r="H120" s="135"/>
    </row>
    <row r="121" spans="1:8" x14ac:dyDescent="0.2">
      <c r="A121" s="141"/>
      <c r="B121" s="140">
        <v>119</v>
      </c>
      <c r="C121" s="139" t="b">
        <v>0</v>
      </c>
      <c r="D121" s="138" t="str">
        <v>H4</v>
      </c>
      <c r="E121" s="137" t="str">
        <f t="shared" si="3"/>
        <v>USDIMMFRA6MH4_Quote</v>
      </c>
      <c r="F121" s="136" t="str">
        <f>_xll.qlSimpleQuote(E121,,PriceTickValue,Permanent,Trigger,ObjectOverwrite)</f>
        <v>USDIMMFRA6MH4_Quote#0000</v>
      </c>
      <c r="G121" s="99" t="str">
        <f>_xll.ohRangeRetrieveError(F121)</f>
        <v/>
      </c>
      <c r="H121" s="135"/>
    </row>
    <row r="122" spans="1:8" x14ac:dyDescent="0.2">
      <c r="A122" s="141"/>
      <c r="B122" s="140">
        <v>120</v>
      </c>
      <c r="C122" s="139" t="b">
        <v>0</v>
      </c>
      <c r="D122" s="138" t="str">
        <v>J4</v>
      </c>
      <c r="E122" s="137" t="str">
        <f t="shared" si="3"/>
        <v>USDIMMFRA6MJ4_Quote</v>
      </c>
      <c r="F122" s="136" t="str">
        <f>_xll.qlSimpleQuote(E122,,PriceTickValue,Permanent,Trigger,ObjectOverwrite)</f>
        <v>USDIMMFRA6MJ4_Quote#0000</v>
      </c>
      <c r="G122" s="99" t="str">
        <f>_xll.ohRangeRetrieveError(F122)</f>
        <v/>
      </c>
      <c r="H122" s="135"/>
    </row>
    <row r="123" spans="1:8" ht="12" thickBot="1" x14ac:dyDescent="0.25">
      <c r="A123" s="134"/>
      <c r="B123" s="133"/>
      <c r="C123" s="133"/>
      <c r="D123" s="133"/>
      <c r="E123" s="133"/>
      <c r="F123" s="133"/>
      <c r="G123" s="133"/>
      <c r="H123" s="132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97" customWidth="1"/>
    <col min="2" max="2" width="25.5703125" style="97" bestFit="1" customWidth="1"/>
    <col min="3" max="3" width="27.7109375" style="97" bestFit="1" customWidth="1"/>
    <col min="4" max="4" width="23.28515625" style="97" customWidth="1"/>
    <col min="5" max="7" width="2.7109375" style="97" customWidth="1"/>
    <col min="8" max="8" width="14.140625" style="97" bestFit="1" customWidth="1"/>
    <col min="9" max="9" width="9.140625" style="97"/>
    <col min="10" max="10" width="2.7109375" style="97" customWidth="1"/>
    <col min="11" max="11" width="11.7109375" style="97" bestFit="1" customWidth="1"/>
    <col min="12" max="12" width="9.140625" style="97"/>
    <col min="13" max="13" width="2.7109375" style="97" customWidth="1"/>
    <col min="14" max="14" width="9.140625" style="97"/>
    <col min="15" max="15" width="2.7109375" style="97" customWidth="1"/>
    <col min="16" max="17" width="9.140625" style="97"/>
    <col min="18" max="19" width="2.7109375" style="97" customWidth="1"/>
    <col min="20" max="16384" width="9.140625" style="97"/>
  </cols>
  <sheetData>
    <row r="1" spans="1:22" x14ac:dyDescent="0.2">
      <c r="G1" s="257" t="s">
        <v>286</v>
      </c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67"/>
      <c r="S1" s="19"/>
      <c r="T1" s="19"/>
      <c r="U1" s="19"/>
      <c r="V1" s="19"/>
    </row>
    <row r="2" spans="1:22" x14ac:dyDescent="0.2">
      <c r="G2" s="256"/>
      <c r="H2" s="138" t="s">
        <v>220</v>
      </c>
      <c r="I2" s="131"/>
      <c r="J2" s="131"/>
      <c r="K2" s="131"/>
      <c r="L2" s="131"/>
      <c r="M2" s="131"/>
      <c r="N2" s="131"/>
      <c r="O2" s="131"/>
      <c r="P2" s="131"/>
      <c r="Q2" s="131"/>
      <c r="R2" s="42"/>
      <c r="S2" s="19"/>
      <c r="T2" s="19"/>
      <c r="U2" s="19"/>
      <c r="V2" s="19"/>
    </row>
    <row r="3" spans="1:22" x14ac:dyDescent="0.2">
      <c r="A3" s="107" t="s">
        <v>159</v>
      </c>
      <c r="B3" s="106"/>
      <c r="C3" s="106"/>
      <c r="D3" s="106"/>
      <c r="E3" s="105"/>
      <c r="G3" s="256"/>
      <c r="H3" s="131"/>
      <c r="I3" s="131"/>
      <c r="J3" s="131"/>
      <c r="K3" s="131"/>
      <c r="L3" s="131"/>
      <c r="M3" s="131"/>
      <c r="N3" s="131"/>
      <c r="O3" s="131"/>
      <c r="P3" s="131"/>
      <c r="Q3" s="253">
        <f>_xll.ohTrigger(Q5:Q9)</f>
        <v>551</v>
      </c>
      <c r="R3" s="42"/>
      <c r="S3" s="19"/>
      <c r="T3" s="19"/>
      <c r="U3" s="19" t="s">
        <v>85</v>
      </c>
      <c r="V3" s="19"/>
    </row>
    <row r="4" spans="1:22" ht="13.5" thickBot="1" x14ac:dyDescent="0.25">
      <c r="A4" s="158"/>
      <c r="B4" s="30" t="str">
        <f>Currency&amp;"_010_"&amp;"FuturesHWConvAdj.xml"</f>
        <v>USD_010_FuturesHWConvAdj.xml</v>
      </c>
      <c r="C4" s="10" t="str">
        <f>IF(Serialize,_xll.ohObjectSave(C5:C6,SerializationPath&amp;B4,FileOverwrite,Serialize),"---")</f>
        <v>---</v>
      </c>
      <c r="D4" s="99" t="str">
        <f>_xll.ohRangeRetrieveError(C4)</f>
        <v/>
      </c>
      <c r="E4" s="156"/>
      <c r="G4" s="256"/>
      <c r="H4" s="309" t="str">
        <f>_xll.RData(H5,I4,"RTFEED:IDN",ReutersRtMode,,I5)</f>
        <v>Paused at 15:28:02</v>
      </c>
      <c r="I4" s="336" t="s">
        <v>207</v>
      </c>
      <c r="J4" s="327"/>
      <c r="K4" s="496" t="s">
        <v>260</v>
      </c>
      <c r="L4" s="497"/>
      <c r="M4" s="327"/>
      <c r="N4" s="251" t="s">
        <v>237</v>
      </c>
      <c r="O4" s="325"/>
      <c r="P4" s="460" t="s">
        <v>235</v>
      </c>
      <c r="Q4" s="252" t="s">
        <v>234</v>
      </c>
      <c r="R4" s="42"/>
      <c r="S4" s="19"/>
      <c r="T4" s="19"/>
      <c r="U4" s="19"/>
      <c r="V4" s="19"/>
    </row>
    <row r="5" spans="1:22" x14ac:dyDescent="0.2">
      <c r="A5" s="158"/>
      <c r="B5" s="157" t="str">
        <f>Currency&amp;"HW_Volatility"&amp;QuoteSuffix</f>
        <v>USDHW_Volatility_Quote</v>
      </c>
      <c r="C5" s="157" t="str">
        <f>_xll.qlSimpleQuote(B5,,,Permanent,Trigger,ObjectOverwrite)</f>
        <v>USDHW_Volatility_Quote#0000</v>
      </c>
      <c r="D5" s="99" t="str">
        <f>_xll.ohRangeRetrieveError(C5)</f>
        <v/>
      </c>
      <c r="E5" s="156"/>
      <c r="G5" s="256"/>
      <c r="H5" s="335" t="str">
        <f>VLOOKUP(Currency,$T$5:$V$9,2)&amp;U3&amp;VLOOKUP(Currency,$T$5:$V$9,3)&amp;"ATM="&amp;VLOOKUP(Contributor,ContributorTable,2,FALSE)</f>
        <v>US4Y3LATM=ICAP</v>
      </c>
      <c r="I5" s="334">
        <v>52.37</v>
      </c>
      <c r="J5" s="327"/>
      <c r="K5" s="333" t="s">
        <v>259</v>
      </c>
      <c r="L5" s="331">
        <f>I5/100*IF(ISNUMBER(Swap3M4Y),Swap3M4Y/100,Swap6M4Y/100)*0</f>
        <v>0</v>
      </c>
      <c r="M5" s="327"/>
      <c r="N5" s="332">
        <v>0</v>
      </c>
      <c r="O5" s="325"/>
      <c r="P5" s="461">
        <f t="array" ref="P5:P6">QuoteLive</f>
        <v>0</v>
      </c>
      <c r="Q5" s="331">
        <f>_xll.qlSimpleQuoteSetValue(C5,P5,Trigger)</f>
        <v>0</v>
      </c>
      <c r="R5" s="42"/>
      <c r="S5" s="19"/>
      <c r="T5" s="82" t="s">
        <v>110</v>
      </c>
      <c r="U5" s="208" t="s">
        <v>258</v>
      </c>
      <c r="V5" s="330" t="s">
        <v>104</v>
      </c>
    </row>
    <row r="6" spans="1:22" x14ac:dyDescent="0.2">
      <c r="A6" s="158"/>
      <c r="B6" s="157" t="str">
        <f>Currency&amp;"HW_MeanReversion"&amp;QuoteSuffix</f>
        <v>USDHW_MeanReversion_Quote</v>
      </c>
      <c r="C6" s="157" t="str">
        <f>_xll.qlSimpleQuote(B6,,,Permanent,Trigger,ObjectOverwrite)</f>
        <v>USDHW_MeanReversion_Quote#0000</v>
      </c>
      <c r="D6" s="99" t="str">
        <f>_xll.ohRangeRetrieveError(C6)</f>
        <v/>
      </c>
      <c r="E6" s="156"/>
      <c r="G6" s="256"/>
      <c r="H6" s="324"/>
      <c r="I6" s="329"/>
      <c r="J6" s="327"/>
      <c r="K6" s="328" t="s">
        <v>257</v>
      </c>
      <c r="L6" s="323">
        <v>0.03</v>
      </c>
      <c r="M6" s="327"/>
      <c r="N6" s="326">
        <v>0.03</v>
      </c>
      <c r="O6" s="325"/>
      <c r="P6" s="462">
        <v>0.03</v>
      </c>
      <c r="Q6" s="323">
        <f>_xll.qlSimpleQuoteSetValue(C6,P6,Trigger)</f>
        <v>0</v>
      </c>
      <c r="R6" s="42"/>
      <c r="S6" s="19"/>
      <c r="T6" s="79" t="s">
        <v>109</v>
      </c>
      <c r="U6" s="322" t="s">
        <v>256</v>
      </c>
      <c r="V6" s="321" t="s">
        <v>104</v>
      </c>
    </row>
    <row r="7" spans="1:22" ht="12" thickBot="1" x14ac:dyDescent="0.25">
      <c r="A7" s="155"/>
      <c r="B7" s="154"/>
      <c r="C7" s="154"/>
      <c r="D7" s="154"/>
      <c r="E7" s="153"/>
      <c r="G7" s="41"/>
      <c r="H7" s="40"/>
      <c r="I7" s="40"/>
      <c r="J7" s="40"/>
      <c r="K7" s="40"/>
      <c r="L7" s="40"/>
      <c r="M7" s="40"/>
      <c r="N7" s="40"/>
      <c r="O7" s="40"/>
      <c r="P7" s="40"/>
      <c r="Q7" s="40"/>
      <c r="R7" s="39"/>
      <c r="S7" s="19"/>
      <c r="T7" s="79" t="s">
        <v>106</v>
      </c>
      <c r="U7" s="322" t="s">
        <v>255</v>
      </c>
      <c r="V7" s="321" t="s">
        <v>103</v>
      </c>
    </row>
    <row r="8" spans="1:22" x14ac:dyDescent="0.2"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79" t="s">
        <v>105</v>
      </c>
      <c r="U8" s="322" t="s">
        <v>254</v>
      </c>
      <c r="V8" s="321" t="s">
        <v>104</v>
      </c>
    </row>
    <row r="9" spans="1:22" ht="12" thickBot="1" x14ac:dyDescent="0.25"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76" t="s">
        <v>100</v>
      </c>
      <c r="U9" s="320" t="s">
        <v>253</v>
      </c>
      <c r="V9" s="319" t="s">
        <v>103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2" sqref="O2"/>
    </sheetView>
  </sheetViews>
  <sheetFormatPr defaultRowHeight="11.25" x14ac:dyDescent="0.2"/>
  <cols>
    <col min="1" max="1" width="2.7109375" style="19" customWidth="1"/>
    <col min="2" max="3" width="4" style="19" bestFit="1" customWidth="1"/>
    <col min="4" max="4" width="6" style="19" bestFit="1" customWidth="1"/>
    <col min="5" max="5" width="21.42578125" style="19" bestFit="1" customWidth="1"/>
    <col min="6" max="6" width="26.5703125" style="62" bestFit="1" customWidth="1"/>
    <col min="7" max="7" width="38.28515625" style="19" customWidth="1"/>
    <col min="8" max="10" width="2.7109375" style="19" customWidth="1"/>
    <col min="11" max="13" width="9.140625" style="19"/>
    <col min="14" max="14" width="9.28515625" style="19" bestFit="1" customWidth="1"/>
    <col min="15" max="15" width="13.5703125" style="19" bestFit="1" customWidth="1"/>
    <col min="16" max="18" width="9.140625" style="19"/>
    <col min="19" max="19" width="10" style="19" customWidth="1"/>
    <col min="20" max="20" width="9.140625" style="19"/>
    <col min="21" max="21" width="2.7109375" style="19" customWidth="1"/>
    <col min="22" max="22" width="9.140625" style="19"/>
    <col min="23" max="23" width="2.7109375" style="19" customWidth="1"/>
    <col min="24" max="24" width="10.5703125" style="19" bestFit="1" customWidth="1"/>
    <col min="25" max="25" width="7.7109375" style="19" bestFit="1" customWidth="1"/>
    <col min="26" max="26" width="2.7109375" style="19" customWidth="1"/>
    <col min="27" max="16384" width="9.140625" style="19"/>
  </cols>
  <sheetData>
    <row r="1" spans="1:26" x14ac:dyDescent="0.2">
      <c r="J1" s="287" t="s">
        <v>314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67"/>
    </row>
    <row r="2" spans="1:26" ht="12" thickBot="1" x14ac:dyDescent="0.25">
      <c r="J2" s="256"/>
      <c r="K2" s="131"/>
      <c r="L2" s="131"/>
      <c r="M2" s="131"/>
      <c r="N2" s="131"/>
      <c r="O2" s="138" t="s">
        <v>218</v>
      </c>
      <c r="P2" s="131"/>
      <c r="Q2" s="131"/>
      <c r="R2" s="131"/>
      <c r="S2" s="131"/>
      <c r="T2" s="131"/>
      <c r="U2" s="223"/>
      <c r="V2" s="223"/>
      <c r="W2" s="223"/>
      <c r="X2" s="223"/>
      <c r="Y2" s="223"/>
      <c r="Z2" s="42"/>
    </row>
    <row r="3" spans="1:26" x14ac:dyDescent="0.2">
      <c r="A3" s="188" t="s">
        <v>191</v>
      </c>
      <c r="B3" s="170"/>
      <c r="C3" s="170"/>
      <c r="D3" s="170"/>
      <c r="E3" s="208"/>
      <c r="F3" s="485"/>
      <c r="G3" s="208"/>
      <c r="H3" s="167"/>
      <c r="J3" s="116"/>
      <c r="K3" s="223"/>
      <c r="L3" s="131"/>
      <c r="M3" s="131"/>
      <c r="N3" s="131"/>
      <c r="O3" s="131"/>
      <c r="P3" s="131"/>
      <c r="Q3" s="131"/>
      <c r="R3" s="131"/>
      <c r="S3" s="131"/>
      <c r="T3" s="131"/>
      <c r="U3" s="223"/>
      <c r="V3" s="223"/>
      <c r="W3" s="223"/>
      <c r="X3" s="131"/>
      <c r="Y3" s="253">
        <f>_xll.ohTrigger(Y5:Y24)</f>
        <v>803</v>
      </c>
      <c r="Z3" s="189"/>
    </row>
    <row r="4" spans="1:26" ht="22.5" x14ac:dyDescent="0.2">
      <c r="A4" s="116"/>
      <c r="B4" s="86"/>
      <c r="C4" s="86"/>
      <c r="D4" s="166"/>
      <c r="E4" s="476" t="str">
        <f>Currency&amp;"_010_"&amp;"OIS.xml"</f>
        <v>USD_010_OIS.xml</v>
      </c>
      <c r="F4" s="477" t="str">
        <f>IF(Serialize,_xll.ohObjectSave(_xll.ohPack(F5:F95),SerializationPath&amp;E4,FileOverwrite,Serialize),"---")</f>
        <v>---</v>
      </c>
      <c r="G4" s="478" t="str">
        <f>_xll.ohRangeRetrieveError(F4)</f>
        <v/>
      </c>
      <c r="H4" s="42"/>
      <c r="J4" s="116"/>
      <c r="K4" s="349"/>
      <c r="L4" s="129"/>
      <c r="M4" s="129"/>
      <c r="N4" s="129"/>
      <c r="O4" s="317" t="str">
        <f>_xll.RData(O5:O58,P4:S4,"RTFEED:IDN",ReutersRtMode,,P5)</f>
        <v>Paused at 15:28:02</v>
      </c>
      <c r="P4" s="314" t="s">
        <v>207</v>
      </c>
      <c r="Q4" s="314" t="s">
        <v>206</v>
      </c>
      <c r="R4" s="314" t="s">
        <v>224</v>
      </c>
      <c r="S4" s="314" t="s">
        <v>242</v>
      </c>
      <c r="T4" s="316" t="s">
        <v>263</v>
      </c>
      <c r="U4" s="223"/>
      <c r="V4" s="251" t="s">
        <v>237</v>
      </c>
      <c r="W4" s="223"/>
      <c r="X4" s="454" t="s">
        <v>235</v>
      </c>
      <c r="Y4" s="87" t="s">
        <v>234</v>
      </c>
      <c r="Z4" s="189"/>
    </row>
    <row r="5" spans="1:26" x14ac:dyDescent="0.2">
      <c r="A5" s="116"/>
      <c r="B5" s="161"/>
      <c r="C5" s="161" t="s">
        <v>160</v>
      </c>
      <c r="D5" s="479" t="s">
        <v>23</v>
      </c>
      <c r="E5" s="199" t="str">
        <f t="shared" ref="E5:E36" si="0">Currency&amp;$B5&amp;$C5&amp;$D5&amp;QuoteSuffix</f>
        <v>USDOISSW_Quote</v>
      </c>
      <c r="F5" s="199" t="str">
        <f>_xll.qlSimpleQuote(Currency&amp;$B5&amp;$C5&amp;$D5&amp;QuoteSuffix,,RateTickValue,Permanent,Trigger,ObjectOverwrite)</f>
        <v>USDOISSW_Quote#0000</v>
      </c>
      <c r="G5" s="43" t="str">
        <f>_xll.ohRangeRetrieveError(F5)</f>
        <v/>
      </c>
      <c r="H5" s="42"/>
      <c r="J5" s="116"/>
      <c r="K5" s="245" t="s">
        <v>23</v>
      </c>
      <c r="L5" s="281"/>
      <c r="M5" s="281" t="s">
        <v>160</v>
      </c>
      <c r="N5" s="279" t="str">
        <f t="shared" ref="N5:N36" si="1">Currency&amp;$K5&amp;$L5&amp;$M5</f>
        <v>USDSWOIS</v>
      </c>
      <c r="O5" s="279" t="str">
        <f t="array" ref="O5:O58">Instruments&amp;"="&amp;VLOOKUP(Contributor,ContributorTable,2,FALSE)</f>
        <v>USDSWOIS=TTKL</v>
      </c>
      <c r="P5" s="241">
        <v>7.1999999999999995E-2</v>
      </c>
      <c r="Q5" s="241">
        <v>0.10199999999999999</v>
      </c>
      <c r="R5" s="241">
        <v>0</v>
      </c>
      <c r="S5" s="241">
        <v>0</v>
      </c>
      <c r="T5" s="243">
        <f>_xll.qlMidEquivalent($P5,$Q5,$R5,$S5)</f>
        <v>8.6999999999999994E-2</v>
      </c>
      <c r="U5" s="223"/>
      <c r="V5" s="242">
        <v>7.9000000000000001E-2</v>
      </c>
      <c r="W5" s="223"/>
      <c r="X5" s="303">
        <f t="array" ref="X5:X58">QuoteLive</f>
        <v>8.6999999999999994E-2</v>
      </c>
      <c r="Y5" s="240">
        <f>_xll.qlSimpleQuoteSetValue(F5,X5/100,Trigger)</f>
        <v>0</v>
      </c>
      <c r="Z5" s="189"/>
    </row>
    <row r="6" spans="1:26" x14ac:dyDescent="0.2">
      <c r="A6" s="116"/>
      <c r="B6" s="161"/>
      <c r="C6" s="161" t="s">
        <v>160</v>
      </c>
      <c r="D6" s="479" t="s">
        <v>22</v>
      </c>
      <c r="E6" s="199" t="str">
        <f t="shared" si="0"/>
        <v>USDOIS2W_Quote</v>
      </c>
      <c r="F6" s="199" t="str">
        <f>_xll.qlSimpleQuote(Currency&amp;$B6&amp;$C6&amp;$D6&amp;QuoteSuffix,,RateTickValue,Permanent,Trigger,ObjectOverwrite)</f>
        <v>USDOIS2W_Quote#0000</v>
      </c>
      <c r="G6" s="43" t="str">
        <f>_xll.ohRangeRetrieveError(F6)</f>
        <v/>
      </c>
      <c r="H6" s="42"/>
      <c r="J6" s="116"/>
      <c r="K6" s="227" t="s">
        <v>22</v>
      </c>
      <c r="L6" s="276"/>
      <c r="M6" s="276" t="s">
        <v>160</v>
      </c>
      <c r="N6" s="274" t="str">
        <f t="shared" si="1"/>
        <v>USD2WOIS</v>
      </c>
      <c r="O6" s="274" t="str">
        <v>USD2WOIS=TTKL</v>
      </c>
      <c r="P6" s="221">
        <v>7.4999999999999997E-2</v>
      </c>
      <c r="Q6" s="221">
        <v>0.105</v>
      </c>
      <c r="R6" s="221">
        <v>0</v>
      </c>
      <c r="S6" s="221">
        <v>0</v>
      </c>
      <c r="T6" s="225">
        <f>_xll.qlMidEquivalent($P6,$Q6,$R6,$S6)</f>
        <v>0.09</v>
      </c>
      <c r="U6" s="223"/>
      <c r="V6" s="224">
        <v>7.9000000000000001E-2</v>
      </c>
      <c r="W6" s="223"/>
      <c r="X6" s="296">
        <v>0.09</v>
      </c>
      <c r="Y6" s="220">
        <f>_xll.qlSimpleQuoteSetValue(F6,X6/100,Trigger)</f>
        <v>0</v>
      </c>
      <c r="Z6" s="189"/>
    </row>
    <row r="7" spans="1:26" x14ac:dyDescent="0.2">
      <c r="A7" s="116"/>
      <c r="B7" s="161"/>
      <c r="C7" s="161" t="s">
        <v>160</v>
      </c>
      <c r="D7" s="479" t="s">
        <v>21</v>
      </c>
      <c r="E7" s="199" t="str">
        <f t="shared" si="0"/>
        <v>USDOIS3W_Quote</v>
      </c>
      <c r="F7" s="199" t="str">
        <f>_xll.qlSimpleQuote(Currency&amp;$B7&amp;$C7&amp;$D7&amp;QuoteSuffix,,RateTickValue,Permanent,Trigger,ObjectOverwrite)</f>
        <v>USDOIS3W_Quote#0000</v>
      </c>
      <c r="G7" s="43" t="str">
        <f>_xll.ohRangeRetrieveError(F7)</f>
        <v/>
      </c>
      <c r="H7" s="42"/>
      <c r="J7" s="116"/>
      <c r="K7" s="227" t="s">
        <v>21</v>
      </c>
      <c r="L7" s="276"/>
      <c r="M7" s="276" t="s">
        <v>160</v>
      </c>
      <c r="N7" s="274" t="str">
        <f t="shared" si="1"/>
        <v>USD3WOIS</v>
      </c>
      <c r="O7" s="274" t="str">
        <v>USD3WOIS=TTKL</v>
      </c>
      <c r="P7" s="221">
        <v>7.5999999999999998E-2</v>
      </c>
      <c r="Q7" s="221">
        <v>0.106</v>
      </c>
      <c r="R7" s="221">
        <v>0</v>
      </c>
      <c r="S7" s="221">
        <v>0</v>
      </c>
      <c r="T7" s="225">
        <f>_xll.qlMidEquivalent($P7,$Q7,$R7,$S7)</f>
        <v>9.0999999999999998E-2</v>
      </c>
      <c r="U7" s="223"/>
      <c r="V7" s="224">
        <v>0.08</v>
      </c>
      <c r="W7" s="223"/>
      <c r="X7" s="296">
        <v>9.0999999999999998E-2</v>
      </c>
      <c r="Y7" s="220">
        <f>_xll.qlSimpleQuoteSetValue(F7,X7/100,Trigger)</f>
        <v>0</v>
      </c>
      <c r="Z7" s="189"/>
    </row>
    <row r="8" spans="1:26" x14ac:dyDescent="0.2">
      <c r="A8" s="116"/>
      <c r="B8" s="161"/>
      <c r="C8" s="161" t="s">
        <v>160</v>
      </c>
      <c r="D8" s="479" t="s">
        <v>20</v>
      </c>
      <c r="E8" s="199" t="str">
        <f t="shared" si="0"/>
        <v>USDOIS1M_Quote</v>
      </c>
      <c r="F8" s="199" t="str">
        <f>_xll.qlSimpleQuote(Currency&amp;$B8&amp;$C8&amp;$D8&amp;QuoteSuffix,,RateTickValue,Permanent,Trigger,ObjectOverwrite)</f>
        <v>USDOIS1M_Quote#0000</v>
      </c>
      <c r="G8" s="43" t="str">
        <f>_xll.ohRangeRetrieveError(F8)</f>
        <v/>
      </c>
      <c r="H8" s="42"/>
      <c r="J8" s="116"/>
      <c r="K8" s="227" t="s">
        <v>20</v>
      </c>
      <c r="L8" s="276"/>
      <c r="M8" s="276" t="s">
        <v>160</v>
      </c>
      <c r="N8" s="274" t="str">
        <f t="shared" si="1"/>
        <v>USD1MOIS</v>
      </c>
      <c r="O8" s="274" t="str">
        <v>USD1MOIS=TTKL</v>
      </c>
      <c r="P8" s="221">
        <v>7.5999999999999998E-2</v>
      </c>
      <c r="Q8" s="221">
        <v>0.106</v>
      </c>
      <c r="R8" s="221">
        <v>0</v>
      </c>
      <c r="S8" s="221">
        <v>0</v>
      </c>
      <c r="T8" s="225">
        <f>_xll.qlMidEquivalent($P8,$Q8,$R8,$S8)</f>
        <v>9.0999999999999998E-2</v>
      </c>
      <c r="U8" s="223"/>
      <c r="V8" s="224">
        <v>8.1000000000000003E-2</v>
      </c>
      <c r="W8" s="223"/>
      <c r="X8" s="296">
        <v>9.0999999999999998E-2</v>
      </c>
      <c r="Y8" s="220">
        <f>_xll.qlSimpleQuoteSetValue(F8,X8/100,Trigger)</f>
        <v>0</v>
      </c>
      <c r="Z8" s="189"/>
    </row>
    <row r="9" spans="1:26" x14ac:dyDescent="0.2">
      <c r="A9" s="116"/>
      <c r="B9" s="161"/>
      <c r="C9" s="161" t="s">
        <v>160</v>
      </c>
      <c r="D9" s="479" t="s">
        <v>19</v>
      </c>
      <c r="E9" s="199" t="str">
        <f t="shared" si="0"/>
        <v>USDOIS2M_Quote</v>
      </c>
      <c r="F9" s="199" t="str">
        <f>_xll.qlSimpleQuote(Currency&amp;$B9&amp;$C9&amp;$D9&amp;QuoteSuffix,,RateTickValue,Permanent,Trigger,ObjectOverwrite)</f>
        <v>USDOIS2M_Quote#0000</v>
      </c>
      <c r="G9" s="43" t="str">
        <f>_xll.ohRangeRetrieveError(F9)</f>
        <v/>
      </c>
      <c r="H9" s="42"/>
      <c r="J9" s="116"/>
      <c r="K9" s="227" t="s">
        <v>19</v>
      </c>
      <c r="L9" s="276"/>
      <c r="M9" s="276" t="s">
        <v>160</v>
      </c>
      <c r="N9" s="274" t="str">
        <f t="shared" si="1"/>
        <v>USD2MOIS</v>
      </c>
      <c r="O9" s="274" t="str">
        <v>USD2MOIS=TTKL</v>
      </c>
      <c r="P9" s="221">
        <v>7.8E-2</v>
      </c>
      <c r="Q9" s="221">
        <v>0.108</v>
      </c>
      <c r="R9" s="221">
        <v>0</v>
      </c>
      <c r="S9" s="221">
        <v>0</v>
      </c>
      <c r="T9" s="225">
        <f>_xll.qlMidEquivalent($P9,$Q9,$R9,$S9)</f>
        <v>9.2999999999999999E-2</v>
      </c>
      <c r="U9" s="223"/>
      <c r="V9" s="224">
        <v>8.2000000000000003E-2</v>
      </c>
      <c r="W9" s="223"/>
      <c r="X9" s="296">
        <v>9.2999999999999999E-2</v>
      </c>
      <c r="Y9" s="220">
        <f>_xll.qlSimpleQuoteSetValue(F9,X9/100,Trigger)</f>
        <v>0</v>
      </c>
      <c r="Z9" s="189"/>
    </row>
    <row r="10" spans="1:26" x14ac:dyDescent="0.2">
      <c r="A10" s="116"/>
      <c r="B10" s="161"/>
      <c r="C10" s="161" t="s">
        <v>160</v>
      </c>
      <c r="D10" s="479" t="s">
        <v>18</v>
      </c>
      <c r="E10" s="199" t="str">
        <f t="shared" si="0"/>
        <v>USDOIS3M_Quote</v>
      </c>
      <c r="F10" s="199" t="str">
        <f>_xll.qlSimpleQuote(Currency&amp;$B10&amp;$C10&amp;$D10&amp;QuoteSuffix,,RateTickValue,Permanent,Trigger,ObjectOverwrite)</f>
        <v>USDOIS3M_Quote#0000</v>
      </c>
      <c r="G10" s="43" t="str">
        <f>_xll.ohRangeRetrieveError(F10)</f>
        <v/>
      </c>
      <c r="H10" s="42"/>
      <c r="J10" s="116"/>
      <c r="K10" s="227" t="s">
        <v>18</v>
      </c>
      <c r="L10" s="276"/>
      <c r="M10" s="276" t="s">
        <v>160</v>
      </c>
      <c r="N10" s="274" t="str">
        <f t="shared" si="1"/>
        <v>USD3MOIS</v>
      </c>
      <c r="O10" s="274" t="str">
        <v>USD3MOIS=TTKL</v>
      </c>
      <c r="P10" s="221">
        <v>7.8E-2</v>
      </c>
      <c r="Q10" s="221">
        <v>0.108</v>
      </c>
      <c r="R10" s="221">
        <v>0</v>
      </c>
      <c r="S10" s="221">
        <v>0</v>
      </c>
      <c r="T10" s="225">
        <f>_xll.qlMidEquivalent($P10,$Q10,$R10,$S10)</f>
        <v>9.2999999999999999E-2</v>
      </c>
      <c r="U10" s="223"/>
      <c r="V10" s="224">
        <v>8.7999999999999995E-2</v>
      </c>
      <c r="W10" s="223"/>
      <c r="X10" s="296">
        <v>9.2999999999999999E-2</v>
      </c>
      <c r="Y10" s="220">
        <f>_xll.qlSimpleQuoteSetValue(F10,X10/100,Trigger)</f>
        <v>0</v>
      </c>
      <c r="Z10" s="189"/>
    </row>
    <row r="11" spans="1:26" x14ac:dyDescent="0.2">
      <c r="A11" s="116"/>
      <c r="B11" s="161"/>
      <c r="C11" s="161" t="s">
        <v>160</v>
      </c>
      <c r="D11" s="479" t="s">
        <v>17</v>
      </c>
      <c r="E11" s="199" t="str">
        <f t="shared" si="0"/>
        <v>USDOIS4M_Quote</v>
      </c>
      <c r="F11" s="199" t="str">
        <f>_xll.qlSimpleQuote(Currency&amp;$B11&amp;$C11&amp;$D11&amp;QuoteSuffix,,RateTickValue,Permanent,Trigger,ObjectOverwrite)</f>
        <v>USDOIS4M_Quote#0000</v>
      </c>
      <c r="G11" s="43" t="str">
        <f>_xll.ohRangeRetrieveError(F11)</f>
        <v/>
      </c>
      <c r="H11" s="42"/>
      <c r="J11" s="116"/>
      <c r="K11" s="227" t="s">
        <v>17</v>
      </c>
      <c r="L11" s="276"/>
      <c r="M11" s="276" t="s">
        <v>160</v>
      </c>
      <c r="N11" s="274" t="str">
        <f t="shared" si="1"/>
        <v>USD4MOIS</v>
      </c>
      <c r="O11" s="274" t="str">
        <v>USD4MOIS=TTKL</v>
      </c>
      <c r="P11" s="221">
        <v>8.1000000000000003E-2</v>
      </c>
      <c r="Q11" s="221">
        <v>0.111</v>
      </c>
      <c r="R11" s="221">
        <v>0</v>
      </c>
      <c r="S11" s="221">
        <v>0</v>
      </c>
      <c r="T11" s="225">
        <f>_xll.qlMidEquivalent($P11,$Q11,$R11,$S11)</f>
        <v>9.6000000000000002E-2</v>
      </c>
      <c r="U11" s="223"/>
      <c r="V11" s="224">
        <v>9.0999999999999998E-2</v>
      </c>
      <c r="W11" s="223"/>
      <c r="X11" s="296">
        <v>9.6000000000000002E-2</v>
      </c>
      <c r="Y11" s="220">
        <f>_xll.qlSimpleQuoteSetValue(F11,X11/100,Trigger)</f>
        <v>0</v>
      </c>
      <c r="Z11" s="189"/>
    </row>
    <row r="12" spans="1:26" x14ac:dyDescent="0.2">
      <c r="A12" s="116"/>
      <c r="B12" s="161"/>
      <c r="C12" s="161" t="s">
        <v>160</v>
      </c>
      <c r="D12" s="479" t="s">
        <v>16</v>
      </c>
      <c r="E12" s="199" t="str">
        <f t="shared" si="0"/>
        <v>USDOIS5M_Quote</v>
      </c>
      <c r="F12" s="199" t="str">
        <f>_xll.qlSimpleQuote(Currency&amp;$B12&amp;$C12&amp;$D12&amp;QuoteSuffix,,RateTickValue,Permanent,Trigger,ObjectOverwrite)</f>
        <v>USDOIS5M_Quote#0000</v>
      </c>
      <c r="G12" s="43" t="str">
        <f>_xll.ohRangeRetrieveError(F12)</f>
        <v/>
      </c>
      <c r="H12" s="42"/>
      <c r="J12" s="116"/>
      <c r="K12" s="227" t="s">
        <v>16</v>
      </c>
      <c r="L12" s="276"/>
      <c r="M12" s="276" t="s">
        <v>160</v>
      </c>
      <c r="N12" s="274" t="str">
        <f t="shared" si="1"/>
        <v>USD5MOIS</v>
      </c>
      <c r="O12" s="274" t="str">
        <v>USD5MOIS=TTKL</v>
      </c>
      <c r="P12" s="221">
        <v>8.4000000000000005E-2</v>
      </c>
      <c r="Q12" s="221">
        <v>0.114</v>
      </c>
      <c r="R12" s="221">
        <v>0</v>
      </c>
      <c r="S12" s="221">
        <v>0</v>
      </c>
      <c r="T12" s="225">
        <f>_xll.qlMidEquivalent($P12,$Q12,$R12,$S12)</f>
        <v>9.9000000000000005E-2</v>
      </c>
      <c r="U12" s="223"/>
      <c r="V12" s="224">
        <v>9.2999999999999999E-2</v>
      </c>
      <c r="W12" s="223"/>
      <c r="X12" s="296">
        <v>9.9000000000000005E-2</v>
      </c>
      <c r="Y12" s="220">
        <f>_xll.qlSimpleQuoteSetValue(F12,X12/100,Trigger)</f>
        <v>0</v>
      </c>
      <c r="Z12" s="189"/>
    </row>
    <row r="13" spans="1:26" x14ac:dyDescent="0.2">
      <c r="A13" s="116"/>
      <c r="B13" s="161"/>
      <c r="C13" s="161" t="s">
        <v>160</v>
      </c>
      <c r="D13" s="479" t="s">
        <v>15</v>
      </c>
      <c r="E13" s="199" t="str">
        <f t="shared" si="0"/>
        <v>USDOIS6M_Quote</v>
      </c>
      <c r="F13" s="199" t="str">
        <f>_xll.qlSimpleQuote(Currency&amp;$B13&amp;$C13&amp;$D13&amp;QuoteSuffix,,RateTickValue,Permanent,Trigger,ObjectOverwrite)</f>
        <v>USDOIS6M_Quote#0000</v>
      </c>
      <c r="G13" s="43" t="str">
        <f>_xll.ohRangeRetrieveError(F13)</f>
        <v/>
      </c>
      <c r="H13" s="42"/>
      <c r="J13" s="116"/>
      <c r="K13" s="227" t="s">
        <v>15</v>
      </c>
      <c r="L13" s="276"/>
      <c r="M13" s="276" t="s">
        <v>160</v>
      </c>
      <c r="N13" s="274" t="str">
        <f t="shared" si="1"/>
        <v>USD6MOIS</v>
      </c>
      <c r="O13" s="274" t="str">
        <v>USD6MOIS=TTKL</v>
      </c>
      <c r="P13" s="221">
        <v>8.5999999999999993E-2</v>
      </c>
      <c r="Q13" s="221">
        <v>0.11600000000000001</v>
      </c>
      <c r="R13" s="221">
        <v>0</v>
      </c>
      <c r="S13" s="221">
        <v>0</v>
      </c>
      <c r="T13" s="225">
        <f>_xll.qlMidEquivalent($P13,$Q13,$R13,$S13)</f>
        <v>0.10100000000000001</v>
      </c>
      <c r="U13" s="223"/>
      <c r="V13" s="224">
        <v>9.6000000000000002E-2</v>
      </c>
      <c r="W13" s="223"/>
      <c r="X13" s="296">
        <v>0.10100000000000001</v>
      </c>
      <c r="Y13" s="220">
        <f>_xll.qlSimpleQuoteSetValue(F13,X13/100,Trigger)</f>
        <v>0</v>
      </c>
      <c r="Z13" s="189"/>
    </row>
    <row r="14" spans="1:26" x14ac:dyDescent="0.2">
      <c r="A14" s="116"/>
      <c r="B14" s="161"/>
      <c r="C14" s="161" t="s">
        <v>160</v>
      </c>
      <c r="D14" s="479" t="s">
        <v>14</v>
      </c>
      <c r="E14" s="199" t="str">
        <f t="shared" si="0"/>
        <v>USDOIS7M_Quote</v>
      </c>
      <c r="F14" s="199" t="str">
        <f>_xll.qlSimpleQuote(Currency&amp;$B14&amp;$C14&amp;$D14&amp;QuoteSuffix,,RateTickValue,Permanent,Trigger,ObjectOverwrite)</f>
        <v>USDOIS7M_Quote#0000</v>
      </c>
      <c r="G14" s="43" t="str">
        <f>_xll.ohRangeRetrieveError(F14)</f>
        <v/>
      </c>
      <c r="H14" s="42"/>
      <c r="J14" s="116"/>
      <c r="K14" s="227" t="s">
        <v>14</v>
      </c>
      <c r="L14" s="276"/>
      <c r="M14" s="276" t="s">
        <v>160</v>
      </c>
      <c r="N14" s="274" t="str">
        <f t="shared" si="1"/>
        <v>USD7MOIS</v>
      </c>
      <c r="O14" s="274" t="str">
        <v>USD7MOIS=TTKL</v>
      </c>
      <c r="P14" s="221">
        <v>8.8999999999999996E-2</v>
      </c>
      <c r="Q14" s="221">
        <v>0.11899999999999999</v>
      </c>
      <c r="R14" s="221">
        <v>0</v>
      </c>
      <c r="S14" s="221">
        <v>0</v>
      </c>
      <c r="T14" s="225">
        <f>_xll.qlMidEquivalent($P14,$Q14,$R14,$S14)</f>
        <v>0.104</v>
      </c>
      <c r="U14" s="223"/>
      <c r="V14" s="224">
        <v>0.10100000000000001</v>
      </c>
      <c r="W14" s="223"/>
      <c r="X14" s="296">
        <v>0.104</v>
      </c>
      <c r="Y14" s="220">
        <f>_xll.qlSimpleQuoteSetValue(F14,X14/100,Trigger)</f>
        <v>0</v>
      </c>
      <c r="Z14" s="189"/>
    </row>
    <row r="15" spans="1:26" x14ac:dyDescent="0.2">
      <c r="A15" s="116"/>
      <c r="B15" s="161"/>
      <c r="C15" s="161" t="s">
        <v>160</v>
      </c>
      <c r="D15" s="479" t="s">
        <v>13</v>
      </c>
      <c r="E15" s="199" t="str">
        <f t="shared" si="0"/>
        <v>USDOIS8M_Quote</v>
      </c>
      <c r="F15" s="199" t="str">
        <f>_xll.qlSimpleQuote(Currency&amp;$B15&amp;$C15&amp;$D15&amp;QuoteSuffix,,RateTickValue,Permanent,Trigger,ObjectOverwrite)</f>
        <v>USDOIS8M_Quote#0000</v>
      </c>
      <c r="G15" s="43" t="str">
        <f>_xll.ohRangeRetrieveError(F15)</f>
        <v/>
      </c>
      <c r="H15" s="42"/>
      <c r="J15" s="116"/>
      <c r="K15" s="227" t="s">
        <v>13</v>
      </c>
      <c r="L15" s="276"/>
      <c r="M15" s="276" t="s">
        <v>160</v>
      </c>
      <c r="N15" s="274" t="str">
        <f t="shared" si="1"/>
        <v>USD8MOIS</v>
      </c>
      <c r="O15" s="274" t="str">
        <v>USD8MOIS=TTKL</v>
      </c>
      <c r="P15" s="221">
        <v>9.1999999999999998E-2</v>
      </c>
      <c r="Q15" s="221">
        <v>0.122</v>
      </c>
      <c r="R15" s="221">
        <v>0</v>
      </c>
      <c r="S15" s="221">
        <v>0</v>
      </c>
      <c r="T15" s="225">
        <f>_xll.qlMidEquivalent($P15,$Q15,$R15,$S15)</f>
        <v>0.107</v>
      </c>
      <c r="U15" s="223"/>
      <c r="V15" s="224">
        <v>0.105</v>
      </c>
      <c r="W15" s="223"/>
      <c r="X15" s="296">
        <v>0.107</v>
      </c>
      <c r="Y15" s="220">
        <f>_xll.qlSimpleQuoteSetValue(F15,X15/100,Trigger)</f>
        <v>0</v>
      </c>
      <c r="Z15" s="189"/>
    </row>
    <row r="16" spans="1:26" x14ac:dyDescent="0.2">
      <c r="A16" s="116"/>
      <c r="B16" s="161"/>
      <c r="C16" s="161" t="s">
        <v>160</v>
      </c>
      <c r="D16" s="479" t="s">
        <v>12</v>
      </c>
      <c r="E16" s="199" t="str">
        <f t="shared" si="0"/>
        <v>USDOIS9M_Quote</v>
      </c>
      <c r="F16" s="199" t="str">
        <f>_xll.qlSimpleQuote(Currency&amp;$B16&amp;$C16&amp;$D16&amp;QuoteSuffix,,RateTickValue,Permanent,Trigger,ObjectOverwrite)</f>
        <v>USDOIS9M_Quote#0000</v>
      </c>
      <c r="G16" s="43" t="str">
        <f>_xll.ohRangeRetrieveError(F16)</f>
        <v/>
      </c>
      <c r="H16" s="42"/>
      <c r="J16" s="116"/>
      <c r="K16" s="227" t="s">
        <v>12</v>
      </c>
      <c r="L16" s="276"/>
      <c r="M16" s="276" t="s">
        <v>160</v>
      </c>
      <c r="N16" s="274" t="str">
        <f t="shared" si="1"/>
        <v>USD9MOIS</v>
      </c>
      <c r="O16" s="274" t="str">
        <v>USD9MOIS=TTKL</v>
      </c>
      <c r="P16" s="221">
        <v>9.6000000000000002E-2</v>
      </c>
      <c r="Q16" s="221">
        <v>0.126</v>
      </c>
      <c r="R16" s="221">
        <v>0</v>
      </c>
      <c r="S16" s="221">
        <v>0</v>
      </c>
      <c r="T16" s="225">
        <f>_xll.qlMidEquivalent($P16,$Q16,$R16,$S16)</f>
        <v>0.111</v>
      </c>
      <c r="U16" s="223"/>
      <c r="V16" s="224">
        <v>0.111</v>
      </c>
      <c r="W16" s="223"/>
      <c r="X16" s="296">
        <v>0.111</v>
      </c>
      <c r="Y16" s="220">
        <f>_xll.qlSimpleQuoteSetValue(F16,X16/100,Trigger)</f>
        <v>0</v>
      </c>
      <c r="Z16" s="189"/>
    </row>
    <row r="17" spans="1:26" x14ac:dyDescent="0.2">
      <c r="A17" s="116"/>
      <c r="B17" s="161"/>
      <c r="C17" s="161" t="s">
        <v>160</v>
      </c>
      <c r="D17" s="479" t="s">
        <v>11</v>
      </c>
      <c r="E17" s="199" t="str">
        <f t="shared" si="0"/>
        <v>USDOIS10M_Quote</v>
      </c>
      <c r="F17" s="199" t="str">
        <f>_xll.qlSimpleQuote(Currency&amp;$B17&amp;$C17&amp;$D17&amp;QuoteSuffix,,RateTickValue,Permanent,Trigger,ObjectOverwrite)</f>
        <v>USDOIS10M_Quote#0000</v>
      </c>
      <c r="G17" s="43" t="str">
        <f>_xll.ohRangeRetrieveError(F17)</f>
        <v/>
      </c>
      <c r="H17" s="42"/>
      <c r="J17" s="116"/>
      <c r="K17" s="227" t="s">
        <v>11</v>
      </c>
      <c r="L17" s="276"/>
      <c r="M17" s="276" t="s">
        <v>160</v>
      </c>
      <c r="N17" s="274" t="str">
        <f t="shared" si="1"/>
        <v>USD10MOIS</v>
      </c>
      <c r="O17" s="274" t="str">
        <v>USD10MOIS=TTKL</v>
      </c>
      <c r="P17" s="221">
        <v>0.10100000000000001</v>
      </c>
      <c r="Q17" s="221">
        <v>0.13100000000000001</v>
      </c>
      <c r="R17" s="221">
        <v>0</v>
      </c>
      <c r="S17" s="221">
        <v>0</v>
      </c>
      <c r="T17" s="225">
        <f>_xll.qlMidEquivalent($P17,$Q17,$R17,$S17)</f>
        <v>0.11600000000000001</v>
      </c>
      <c r="U17" s="223"/>
      <c r="V17" s="224">
        <v>0.11700000000000001</v>
      </c>
      <c r="W17" s="223"/>
      <c r="X17" s="296">
        <v>0.11600000000000001</v>
      </c>
      <c r="Y17" s="220">
        <f>_xll.qlSimpleQuoteSetValue(F17,X17/100,Trigger)</f>
        <v>0</v>
      </c>
      <c r="Z17" s="189"/>
    </row>
    <row r="18" spans="1:26" x14ac:dyDescent="0.2">
      <c r="A18" s="116"/>
      <c r="B18" s="161"/>
      <c r="C18" s="161" t="s">
        <v>160</v>
      </c>
      <c r="D18" s="479" t="s">
        <v>10</v>
      </c>
      <c r="E18" s="199" t="str">
        <f t="shared" si="0"/>
        <v>USDOIS11M_Quote</v>
      </c>
      <c r="F18" s="199" t="str">
        <f>_xll.qlSimpleQuote(Currency&amp;$B18&amp;$C18&amp;$D18&amp;QuoteSuffix,,RateTickValue,Permanent,Trigger,ObjectOverwrite)</f>
        <v>USDOIS11M_Quote#0000</v>
      </c>
      <c r="G18" s="43" t="str">
        <f>_xll.ohRangeRetrieveError(F18)</f>
        <v/>
      </c>
      <c r="H18" s="42"/>
      <c r="J18" s="116"/>
      <c r="K18" s="227" t="s">
        <v>10</v>
      </c>
      <c r="L18" s="276"/>
      <c r="M18" s="276" t="s">
        <v>160</v>
      </c>
      <c r="N18" s="274" t="str">
        <f t="shared" si="1"/>
        <v>USD11MOIS</v>
      </c>
      <c r="O18" s="274" t="str">
        <v>USD11MOIS=TTKL</v>
      </c>
      <c r="P18" s="221">
        <v>0.107</v>
      </c>
      <c r="Q18" s="221">
        <v>0.13700000000000001</v>
      </c>
      <c r="R18" s="221">
        <v>0</v>
      </c>
      <c r="S18" s="221">
        <v>0</v>
      </c>
      <c r="T18" s="225">
        <f>_xll.qlMidEquivalent($P18,$Q18,$R18,$S18)</f>
        <v>0.122</v>
      </c>
      <c r="U18" s="223"/>
      <c r="V18" s="224">
        <v>0.121</v>
      </c>
      <c r="W18" s="223"/>
      <c r="X18" s="296">
        <v>0.122</v>
      </c>
      <c r="Y18" s="220">
        <f>_xll.qlSimpleQuoteSetValue(F18,X18/100,Trigger)</f>
        <v>0</v>
      </c>
      <c r="Z18" s="189"/>
    </row>
    <row r="19" spans="1:26" x14ac:dyDescent="0.2">
      <c r="A19" s="116"/>
      <c r="B19" s="161"/>
      <c r="C19" s="161" t="s">
        <v>160</v>
      </c>
      <c r="D19" s="479" t="s">
        <v>9</v>
      </c>
      <c r="E19" s="199" t="str">
        <f t="shared" si="0"/>
        <v>USDOIS1Y_Quote</v>
      </c>
      <c r="F19" s="199" t="str">
        <f>_xll.qlSimpleQuote(Currency&amp;$B19&amp;$C19&amp;$D19&amp;QuoteSuffix,,RateTickValue,Permanent,Trigger,ObjectOverwrite)</f>
        <v>USDOIS1Y_Quote#0000</v>
      </c>
      <c r="G19" s="43" t="str">
        <f>_xll.ohRangeRetrieveError(F19)</f>
        <v/>
      </c>
      <c r="H19" s="42"/>
      <c r="J19" s="116"/>
      <c r="K19" s="227" t="s">
        <v>9</v>
      </c>
      <c r="L19" s="276"/>
      <c r="M19" s="276" t="s">
        <v>160</v>
      </c>
      <c r="N19" s="274" t="str">
        <f t="shared" si="1"/>
        <v>USD1YOIS</v>
      </c>
      <c r="O19" s="274" t="str">
        <v>USD1YOIS=TTKL</v>
      </c>
      <c r="P19" s="221">
        <v>0.114</v>
      </c>
      <c r="Q19" s="221">
        <v>0.14399999999999999</v>
      </c>
      <c r="R19" s="221">
        <v>0</v>
      </c>
      <c r="S19" s="221">
        <v>0</v>
      </c>
      <c r="T19" s="225">
        <f>_xll.qlMidEquivalent($P19,$Q19,$R19,$S19)</f>
        <v>0.129</v>
      </c>
      <c r="U19" s="223"/>
      <c r="V19" s="224">
        <v>0.129</v>
      </c>
      <c r="W19" s="223"/>
      <c r="X19" s="296">
        <v>0.129</v>
      </c>
      <c r="Y19" s="220">
        <f>_xll.qlSimpleQuoteSetValue(F19,X19/100,Trigger)</f>
        <v>0</v>
      </c>
      <c r="Z19" s="189"/>
    </row>
    <row r="20" spans="1:26" x14ac:dyDescent="0.2">
      <c r="A20" s="116"/>
      <c r="B20" s="161"/>
      <c r="C20" s="161" t="s">
        <v>160</v>
      </c>
      <c r="D20" s="479" t="s">
        <v>178</v>
      </c>
      <c r="E20" s="199" t="str">
        <f t="shared" si="0"/>
        <v>USDOIS13M_Quote</v>
      </c>
      <c r="F20" s="199" t="str">
        <f>_xll.qlSimpleQuote(Currency&amp;$B20&amp;$C20&amp;$D20&amp;QuoteSuffix,,RateTickValue,Permanent,Trigger,ObjectOverwrite)</f>
        <v>USDOIS13M_Quote#0000</v>
      </c>
      <c r="G20" s="43" t="str">
        <f>_xll.ohRangeRetrieveError(F20)</f>
        <v/>
      </c>
      <c r="H20" s="42"/>
      <c r="J20" s="116"/>
      <c r="K20" s="227" t="s">
        <v>178</v>
      </c>
      <c r="L20" s="276"/>
      <c r="M20" s="276" t="s">
        <v>160</v>
      </c>
      <c r="N20" s="274" t="str">
        <f t="shared" si="1"/>
        <v>USD13MOIS</v>
      </c>
      <c r="O20" s="274" t="str">
        <v>USD13MOIS=TTKL</v>
      </c>
      <c r="P20" s="221">
        <v>0.124</v>
      </c>
      <c r="Q20" s="221">
        <v>0.154</v>
      </c>
      <c r="R20" s="221">
        <v>0</v>
      </c>
      <c r="S20" s="221">
        <v>0</v>
      </c>
      <c r="T20" s="225">
        <f>_xll.qlMidEquivalent($P20,$Q20,$R20,$S20)</f>
        <v>0.13900000000000001</v>
      </c>
      <c r="U20" s="223"/>
      <c r="V20" s="224">
        <v>0.13700000000000001</v>
      </c>
      <c r="W20" s="223"/>
      <c r="X20" s="296">
        <v>0.13900000000000001</v>
      </c>
      <c r="Y20" s="220">
        <f>_xll.qlSimpleQuoteSetValue(F20,X20/100,Trigger)</f>
        <v>0</v>
      </c>
      <c r="Z20" s="189"/>
    </row>
    <row r="21" spans="1:26" x14ac:dyDescent="0.2">
      <c r="A21" s="116"/>
      <c r="B21" s="161"/>
      <c r="C21" s="161" t="s">
        <v>160</v>
      </c>
      <c r="D21" s="479" t="s">
        <v>177</v>
      </c>
      <c r="E21" s="199" t="str">
        <f t="shared" si="0"/>
        <v>USDOIS14M_Quote</v>
      </c>
      <c r="F21" s="199" t="str">
        <f>_xll.qlSimpleQuote(Currency&amp;$B21&amp;$C21&amp;$D21&amp;QuoteSuffix,,RateTickValue,Permanent,Trigger,ObjectOverwrite)</f>
        <v>USDOIS14M_Quote#0000</v>
      </c>
      <c r="G21" s="43" t="str">
        <f>_xll.ohRangeRetrieveError(F21)</f>
        <v/>
      </c>
      <c r="H21" s="42"/>
      <c r="J21" s="116"/>
      <c r="K21" s="227" t="s">
        <v>177</v>
      </c>
      <c r="L21" s="276"/>
      <c r="M21" s="276" t="s">
        <v>160</v>
      </c>
      <c r="N21" s="274" t="str">
        <f t="shared" si="1"/>
        <v>USD14MOIS</v>
      </c>
      <c r="O21" s="274" t="str">
        <v>USD14MOIS=TTKL</v>
      </c>
      <c r="P21" s="221">
        <v>0.13600000000000001</v>
      </c>
      <c r="Q21" s="221">
        <v>0.16600000000000001</v>
      </c>
      <c r="R21" s="221">
        <v>0</v>
      </c>
      <c r="S21" s="221">
        <v>0</v>
      </c>
      <c r="T21" s="225">
        <f>_xll.qlMidEquivalent($P21,$Q21,$R21,$S21)</f>
        <v>0.15100000000000002</v>
      </c>
      <c r="U21" s="223"/>
      <c r="V21" s="224">
        <v>0.14599999999999999</v>
      </c>
      <c r="W21" s="223"/>
      <c r="X21" s="296">
        <v>0.15100000000000002</v>
      </c>
      <c r="Y21" s="220">
        <f>_xll.qlSimpleQuoteSetValue(F21,X21/100,Trigger)</f>
        <v>0</v>
      </c>
      <c r="Z21" s="189"/>
    </row>
    <row r="22" spans="1:26" x14ac:dyDescent="0.2">
      <c r="A22" s="116"/>
      <c r="B22" s="161"/>
      <c r="C22" s="161" t="s">
        <v>160</v>
      </c>
      <c r="D22" s="479" t="s">
        <v>113</v>
      </c>
      <c r="E22" s="199" t="str">
        <f t="shared" si="0"/>
        <v>USDOIS15M_Quote</v>
      </c>
      <c r="F22" s="199" t="str">
        <f>_xll.qlSimpleQuote(Currency&amp;$B22&amp;$C22&amp;$D22&amp;QuoteSuffix,,RateTickValue,Permanent,Trigger,ObjectOverwrite)</f>
        <v>USDOIS15M_Quote#0000</v>
      </c>
      <c r="G22" s="43" t="str">
        <f>_xll.ohRangeRetrieveError(F22)</f>
        <v/>
      </c>
      <c r="H22" s="42"/>
      <c r="J22" s="116"/>
      <c r="K22" s="227" t="s">
        <v>113</v>
      </c>
      <c r="L22" s="276"/>
      <c r="M22" s="276" t="s">
        <v>160</v>
      </c>
      <c r="N22" s="274" t="str">
        <f t="shared" si="1"/>
        <v>USD15MOIS</v>
      </c>
      <c r="O22" s="274" t="str">
        <v>USD15MOIS=TTKL</v>
      </c>
      <c r="P22" s="221">
        <v>0.14899999999999999</v>
      </c>
      <c r="Q22" s="221">
        <v>0.17899999999999999</v>
      </c>
      <c r="R22" s="221">
        <v>0</v>
      </c>
      <c r="S22" s="221">
        <v>0</v>
      </c>
      <c r="T22" s="225">
        <f>_xll.qlMidEquivalent($P22,$Q22,$R22,$S22)</f>
        <v>0.16399999999999998</v>
      </c>
      <c r="U22" s="223"/>
      <c r="V22" s="224">
        <v>0.156</v>
      </c>
      <c r="W22" s="223"/>
      <c r="X22" s="296">
        <v>0.16399999999999998</v>
      </c>
      <c r="Y22" s="220">
        <f>_xll.qlSimpleQuoteSetValue(F22,X22/100,Trigger)</f>
        <v>0</v>
      </c>
      <c r="Z22" s="189"/>
    </row>
    <row r="23" spans="1:26" x14ac:dyDescent="0.2">
      <c r="A23" s="116"/>
      <c r="B23" s="161"/>
      <c r="C23" s="161" t="s">
        <v>160</v>
      </c>
      <c r="D23" s="479" t="s">
        <v>176</v>
      </c>
      <c r="E23" s="199" t="str">
        <f t="shared" si="0"/>
        <v>USDOIS16M_Quote</v>
      </c>
      <c r="F23" s="199" t="str">
        <f>_xll.qlSimpleQuote(Currency&amp;$B23&amp;$C23&amp;$D23&amp;QuoteSuffix,,RateTickValue,Permanent,Trigger,ObjectOverwrite)</f>
        <v>USDOIS16M_Quote#0000</v>
      </c>
      <c r="G23" s="43" t="str">
        <f>_xll.ohRangeRetrieveError(F23)</f>
        <v/>
      </c>
      <c r="H23" s="42"/>
      <c r="J23" s="116"/>
      <c r="K23" s="227" t="s">
        <v>176</v>
      </c>
      <c r="L23" s="276"/>
      <c r="M23" s="276" t="s">
        <v>160</v>
      </c>
      <c r="N23" s="274" t="str">
        <f t="shared" si="1"/>
        <v>USD16MOIS</v>
      </c>
      <c r="O23" s="274" t="str">
        <v>USD16MOIS=TTKL</v>
      </c>
      <c r="P23" s="221">
        <v>0.16700000000000001</v>
      </c>
      <c r="Q23" s="221">
        <v>0.19700000000000001</v>
      </c>
      <c r="R23" s="221">
        <v>0</v>
      </c>
      <c r="S23" s="221">
        <v>0</v>
      </c>
      <c r="T23" s="225">
        <f>_xll.qlMidEquivalent($P23,$Q23,$R23,$S23)</f>
        <v>0.182</v>
      </c>
      <c r="U23" s="223"/>
      <c r="V23" s="224">
        <v>0.16800000000000001</v>
      </c>
      <c r="W23" s="223"/>
      <c r="X23" s="296">
        <v>0.182</v>
      </c>
      <c r="Y23" s="220">
        <f>_xll.qlSimpleQuoteSetValue(F23,X23/100,Trigger)</f>
        <v>0</v>
      </c>
      <c r="Z23" s="189"/>
    </row>
    <row r="24" spans="1:26" x14ac:dyDescent="0.2">
      <c r="A24" s="116"/>
      <c r="B24" s="161"/>
      <c r="C24" s="161" t="s">
        <v>160</v>
      </c>
      <c r="D24" s="479" t="s">
        <v>175</v>
      </c>
      <c r="E24" s="199" t="str">
        <f t="shared" si="0"/>
        <v>USDOIS17M_Quote</v>
      </c>
      <c r="F24" s="199" t="str">
        <f>_xll.qlSimpleQuote(Currency&amp;$B24&amp;$C24&amp;$D24&amp;QuoteSuffix,,RateTickValue,Permanent,Trigger,ObjectOverwrite)</f>
        <v>USDOIS17M_Quote#0000</v>
      </c>
      <c r="G24" s="43" t="str">
        <f>_xll.ohRangeRetrieveError(F24)</f>
        <v/>
      </c>
      <c r="H24" s="42"/>
      <c r="J24" s="116"/>
      <c r="K24" s="227" t="s">
        <v>175</v>
      </c>
      <c r="L24" s="276"/>
      <c r="M24" s="276" t="s">
        <v>160</v>
      </c>
      <c r="N24" s="274" t="str">
        <f t="shared" si="1"/>
        <v>USD17MOIS</v>
      </c>
      <c r="O24" s="274" t="str">
        <v>USD17MOIS=TTKL</v>
      </c>
      <c r="P24" s="221">
        <v>0.186</v>
      </c>
      <c r="Q24" s="221">
        <v>0.216</v>
      </c>
      <c r="R24" s="221">
        <v>0</v>
      </c>
      <c r="S24" s="221">
        <v>0</v>
      </c>
      <c r="T24" s="225">
        <f>_xll.qlMidEquivalent($P24,$Q24,$R24,$S24)</f>
        <v>0.20100000000000001</v>
      </c>
      <c r="U24" s="223"/>
      <c r="V24" s="224">
        <v>0.18099999999999999</v>
      </c>
      <c r="W24" s="223"/>
      <c r="X24" s="296">
        <v>0.20100000000000001</v>
      </c>
      <c r="Y24" s="220">
        <f>_xll.qlSimpleQuoteSetValue(F24,X24/100,Trigger)</f>
        <v>0</v>
      </c>
      <c r="Z24" s="189"/>
    </row>
    <row r="25" spans="1:26" x14ac:dyDescent="0.2">
      <c r="A25" s="116"/>
      <c r="B25" s="161"/>
      <c r="C25" s="161" t="s">
        <v>160</v>
      </c>
      <c r="D25" s="479" t="s">
        <v>112</v>
      </c>
      <c r="E25" s="199" t="str">
        <f t="shared" si="0"/>
        <v>USDOIS18M_Quote</v>
      </c>
      <c r="F25" s="199" t="str">
        <f>_xll.qlSimpleQuote(Currency&amp;$B25&amp;$C25&amp;$D25&amp;QuoteSuffix,,RateTickValue,Permanent,Trigger,ObjectOverwrite)</f>
        <v>USDOIS18M_Quote#0000</v>
      </c>
      <c r="G25" s="43" t="str">
        <f>_xll.ohRangeRetrieveError(F25)</f>
        <v/>
      </c>
      <c r="H25" s="42"/>
      <c r="J25" s="116"/>
      <c r="K25" s="227" t="s">
        <v>112</v>
      </c>
      <c r="L25" s="276"/>
      <c r="M25" s="276" t="s">
        <v>160</v>
      </c>
      <c r="N25" s="274" t="str">
        <f t="shared" si="1"/>
        <v>USD18MOIS</v>
      </c>
      <c r="O25" s="274" t="str">
        <v>USD18MOIS=TTKL</v>
      </c>
      <c r="P25" s="221">
        <v>0.20599999999999999</v>
      </c>
      <c r="Q25" s="221">
        <v>0.23599999999999999</v>
      </c>
      <c r="R25" s="221">
        <v>0</v>
      </c>
      <c r="S25" s="221">
        <v>0</v>
      </c>
      <c r="T25" s="225">
        <f>_xll.qlMidEquivalent($P25,$Q25,$R25,$S25)</f>
        <v>0.22099999999999997</v>
      </c>
      <c r="U25" s="223"/>
      <c r="V25" s="224">
        <v>0.19500000000000001</v>
      </c>
      <c r="W25" s="223"/>
      <c r="X25" s="296">
        <v>0.22099999999999997</v>
      </c>
      <c r="Y25" s="220">
        <f>_xll.qlSimpleQuoteSetValue(F25,X25/100,Trigger)</f>
        <v>0</v>
      </c>
      <c r="Z25" s="189"/>
    </row>
    <row r="26" spans="1:26" x14ac:dyDescent="0.2">
      <c r="A26" s="116"/>
      <c r="B26" s="161"/>
      <c r="C26" s="161" t="s">
        <v>160</v>
      </c>
      <c r="D26" s="479" t="s">
        <v>174</v>
      </c>
      <c r="E26" s="199" t="str">
        <f t="shared" si="0"/>
        <v>USDOIS19M_Quote</v>
      </c>
      <c r="F26" s="199" t="str">
        <f>_xll.qlSimpleQuote(Currency&amp;$B26&amp;$C26&amp;$D26&amp;QuoteSuffix,,RateTickValue,Permanent,Trigger,ObjectOverwrite)</f>
        <v>USDOIS19M_Quote#0000</v>
      </c>
      <c r="G26" s="43" t="str">
        <f>_xll.ohRangeRetrieveError(F26)</f>
        <v/>
      </c>
      <c r="H26" s="42"/>
      <c r="J26" s="116"/>
      <c r="K26" s="227" t="s">
        <v>174</v>
      </c>
      <c r="L26" s="276"/>
      <c r="M26" s="276" t="s">
        <v>160</v>
      </c>
      <c r="N26" s="274" t="str">
        <f t="shared" si="1"/>
        <v>USD19MOIS</v>
      </c>
      <c r="O26" s="274" t="str">
        <v>USD19MOIS=TTKL</v>
      </c>
      <c r="P26" s="221">
        <v>0.23300000000000001</v>
      </c>
      <c r="Q26" s="221">
        <v>0.26300000000000001</v>
      </c>
      <c r="R26" s="221">
        <v>0</v>
      </c>
      <c r="S26" s="221">
        <v>0</v>
      </c>
      <c r="T26" s="225">
        <f>_xll.qlMidEquivalent($P26,$Q26,$R26,$S26)</f>
        <v>0.248</v>
      </c>
      <c r="U26" s="223"/>
      <c r="V26" s="224">
        <v>0.21099999999999999</v>
      </c>
      <c r="W26" s="223"/>
      <c r="X26" s="296">
        <v>0.248</v>
      </c>
      <c r="Y26" s="220">
        <f>_xll.qlSimpleQuoteSetValue(F26,X26/100,Trigger)</f>
        <v>0</v>
      </c>
      <c r="Z26" s="189"/>
    </row>
    <row r="27" spans="1:26" x14ac:dyDescent="0.2">
      <c r="A27" s="116"/>
      <c r="B27" s="161"/>
      <c r="C27" s="161" t="s">
        <v>160</v>
      </c>
      <c r="D27" s="479" t="s">
        <v>173</v>
      </c>
      <c r="E27" s="199" t="str">
        <f t="shared" si="0"/>
        <v>USDOIS20M_Quote</v>
      </c>
      <c r="F27" s="199" t="str">
        <f>_xll.qlSimpleQuote(Currency&amp;$B27&amp;$C27&amp;$D27&amp;QuoteSuffix,,RateTickValue,Permanent,Trigger,ObjectOverwrite)</f>
        <v>USDOIS20M_Quote#0000</v>
      </c>
      <c r="G27" s="43" t="str">
        <f>_xll.ohRangeRetrieveError(F27)</f>
        <v/>
      </c>
      <c r="H27" s="42"/>
      <c r="J27" s="116"/>
      <c r="K27" s="227" t="s">
        <v>173</v>
      </c>
      <c r="L27" s="276"/>
      <c r="M27" s="276" t="s">
        <v>160</v>
      </c>
      <c r="N27" s="274" t="str">
        <f t="shared" si="1"/>
        <v>USD20MOIS</v>
      </c>
      <c r="O27" s="274" t="str">
        <v>USD20MOIS=TTKL</v>
      </c>
      <c r="P27" s="221">
        <v>0.255</v>
      </c>
      <c r="Q27" s="221">
        <v>0.28499999999999998</v>
      </c>
      <c r="R27" s="221">
        <v>0</v>
      </c>
      <c r="S27" s="221">
        <v>0</v>
      </c>
      <c r="T27" s="225">
        <f>_xll.qlMidEquivalent($P27,$Q27,$R27,$S27)</f>
        <v>0.27</v>
      </c>
      <c r="U27" s="223"/>
      <c r="V27" s="224">
        <v>0.22900000000000001</v>
      </c>
      <c r="W27" s="223"/>
      <c r="X27" s="296">
        <v>0.27</v>
      </c>
      <c r="Y27" s="220">
        <f>_xll.qlSimpleQuoteSetValue(F27,X27/100,Trigger)</f>
        <v>0</v>
      </c>
      <c r="Z27" s="189"/>
    </row>
    <row r="28" spans="1:26" x14ac:dyDescent="0.2">
      <c r="A28" s="116"/>
      <c r="B28" s="161"/>
      <c r="C28" s="161" t="s">
        <v>160</v>
      </c>
      <c r="D28" s="479" t="s">
        <v>111</v>
      </c>
      <c r="E28" s="199" t="str">
        <f t="shared" si="0"/>
        <v>USDOIS21M_Quote</v>
      </c>
      <c r="F28" s="199" t="str">
        <f>_xll.qlSimpleQuote(Currency&amp;$B28&amp;$C28&amp;$D28&amp;QuoteSuffix,,RateTickValue,Permanent,Trigger,ObjectOverwrite)</f>
        <v>USDOIS21M_Quote#0000</v>
      </c>
      <c r="G28" s="43" t="str">
        <f>_xll.ohRangeRetrieveError(F28)</f>
        <v/>
      </c>
      <c r="H28" s="42"/>
      <c r="J28" s="116"/>
      <c r="K28" s="227" t="s">
        <v>111</v>
      </c>
      <c r="L28" s="276"/>
      <c r="M28" s="276" t="s">
        <v>160</v>
      </c>
      <c r="N28" s="274" t="str">
        <f t="shared" si="1"/>
        <v>USD21MOIS</v>
      </c>
      <c r="O28" s="274" t="str">
        <v>USD21MOIS=TTKL</v>
      </c>
      <c r="P28" s="221">
        <v>0.28299999999999997</v>
      </c>
      <c r="Q28" s="221">
        <v>0.313</v>
      </c>
      <c r="R28" s="221">
        <v>0</v>
      </c>
      <c r="S28" s="221">
        <v>0</v>
      </c>
      <c r="T28" s="225">
        <f>_xll.qlMidEquivalent($P28,$Q28,$R28,$S28)</f>
        <v>0.29799999999999999</v>
      </c>
      <c r="U28" s="223"/>
      <c r="V28" s="224">
        <v>0.248</v>
      </c>
      <c r="W28" s="223"/>
      <c r="X28" s="296">
        <v>0.29799999999999999</v>
      </c>
      <c r="Y28" s="220">
        <f>_xll.qlSimpleQuoteSetValue(F28,X28/100,Trigger)</f>
        <v>0</v>
      </c>
      <c r="Z28" s="189"/>
    </row>
    <row r="29" spans="1:26" x14ac:dyDescent="0.2">
      <c r="A29" s="116"/>
      <c r="B29" s="161"/>
      <c r="C29" s="161" t="s">
        <v>160</v>
      </c>
      <c r="D29" s="479" t="s">
        <v>172</v>
      </c>
      <c r="E29" s="199" t="str">
        <f t="shared" si="0"/>
        <v>USDOIS22M_Quote</v>
      </c>
      <c r="F29" s="199" t="str">
        <f>_xll.qlSimpleQuote(Currency&amp;$B29&amp;$C29&amp;$D29&amp;QuoteSuffix,,RateTickValue,Permanent,Trigger,ObjectOverwrite)</f>
        <v>USDOIS22M_Quote#0000</v>
      </c>
      <c r="G29" s="43" t="str">
        <f>_xll.ohRangeRetrieveError(F29)</f>
        <v/>
      </c>
      <c r="H29" s="42"/>
      <c r="J29" s="116"/>
      <c r="K29" s="227" t="s">
        <v>172</v>
      </c>
      <c r="L29" s="276"/>
      <c r="M29" s="276" t="s">
        <v>160</v>
      </c>
      <c r="N29" s="274" t="str">
        <f t="shared" si="1"/>
        <v>USD22MOIS</v>
      </c>
      <c r="O29" s="274" t="str">
        <v>USD22MOIS=TTKL</v>
      </c>
      <c r="P29" s="221">
        <v>0.314</v>
      </c>
      <c r="Q29" s="221">
        <v>0.34399999999999997</v>
      </c>
      <c r="R29" s="221">
        <v>0</v>
      </c>
      <c r="S29" s="221">
        <v>0</v>
      </c>
      <c r="T29" s="225">
        <f>_xll.qlMidEquivalent($P29,$Q29,$R29,$S29)</f>
        <v>0.32899999999999996</v>
      </c>
      <c r="U29" s="223"/>
      <c r="V29" s="224">
        <v>0.26800000000000002</v>
      </c>
      <c r="W29" s="223"/>
      <c r="X29" s="296">
        <v>0.32899999999999996</v>
      </c>
      <c r="Y29" s="220">
        <f>_xll.qlSimpleQuoteSetValue(F29,X29/100,Trigger)</f>
        <v>0</v>
      </c>
      <c r="Z29" s="189"/>
    </row>
    <row r="30" spans="1:26" x14ac:dyDescent="0.2">
      <c r="A30" s="116"/>
      <c r="B30" s="161"/>
      <c r="C30" s="161" t="s">
        <v>160</v>
      </c>
      <c r="D30" s="479" t="s">
        <v>171</v>
      </c>
      <c r="E30" s="199" t="str">
        <f t="shared" si="0"/>
        <v>USDOIS23M_Quote</v>
      </c>
      <c r="F30" s="199" t="str">
        <f>_xll.qlSimpleQuote(Currency&amp;$B30&amp;$C30&amp;$D30&amp;QuoteSuffix,,RateTickValue,Permanent,Trigger,ObjectOverwrite)</f>
        <v>USDOIS23M_Quote#0000</v>
      </c>
      <c r="G30" s="43" t="str">
        <f>_xll.ohRangeRetrieveError(F30)</f>
        <v/>
      </c>
      <c r="H30" s="42"/>
      <c r="J30" s="116"/>
      <c r="K30" s="227" t="s">
        <v>171</v>
      </c>
      <c r="L30" s="276"/>
      <c r="M30" s="276" t="s">
        <v>160</v>
      </c>
      <c r="N30" s="274" t="str">
        <f t="shared" si="1"/>
        <v>USD23MOIS</v>
      </c>
      <c r="O30" s="274" t="str">
        <v>USD23MOIS=TTKL</v>
      </c>
      <c r="P30" s="221">
        <v>0.34300000000000003</v>
      </c>
      <c r="Q30" s="221">
        <v>0.373</v>
      </c>
      <c r="R30" s="221">
        <v>0</v>
      </c>
      <c r="S30" s="221">
        <v>0</v>
      </c>
      <c r="T30" s="225">
        <f>_xll.qlMidEquivalent($P30,$Q30,$R30,$S30)</f>
        <v>0.35799999999999998</v>
      </c>
      <c r="U30" s="223"/>
      <c r="V30" s="224">
        <v>0.28899999999999998</v>
      </c>
      <c r="W30" s="223"/>
      <c r="X30" s="296">
        <v>0.35799999999999998</v>
      </c>
      <c r="Y30" s="220">
        <f>_xll.qlSimpleQuoteSetValue(F30,X30/100,Trigger)</f>
        <v>0</v>
      </c>
      <c r="Z30" s="189"/>
    </row>
    <row r="31" spans="1:26" x14ac:dyDescent="0.2">
      <c r="A31" s="116"/>
      <c r="B31" s="161"/>
      <c r="C31" s="161" t="s">
        <v>160</v>
      </c>
      <c r="D31" s="479" t="s">
        <v>87</v>
      </c>
      <c r="E31" s="199" t="str">
        <f t="shared" si="0"/>
        <v>USDOIS2Y_Quote</v>
      </c>
      <c r="F31" s="199" t="str">
        <f>_xll.qlSimpleQuote(Currency&amp;$B31&amp;$C31&amp;$D31&amp;QuoteSuffix,,RateTickValue,Permanent,Trigger,ObjectOverwrite)</f>
        <v>USDOIS2Y_Quote#0000</v>
      </c>
      <c r="G31" s="43" t="str">
        <f>_xll.ohRangeRetrieveError(F31)</f>
        <v/>
      </c>
      <c r="H31" s="42"/>
      <c r="J31" s="116"/>
      <c r="K31" s="227" t="s">
        <v>87</v>
      </c>
      <c r="L31" s="276"/>
      <c r="M31" s="276" t="s">
        <v>160</v>
      </c>
      <c r="N31" s="274" t="str">
        <f t="shared" si="1"/>
        <v>USD2YOIS</v>
      </c>
      <c r="O31" s="274" t="str">
        <v>USD2YOIS=TTKL</v>
      </c>
      <c r="P31" s="221">
        <v>0.376</v>
      </c>
      <c r="Q31" s="221">
        <v>0.40600000000000003</v>
      </c>
      <c r="R31" s="221">
        <v>0</v>
      </c>
      <c r="S31" s="221">
        <v>0</v>
      </c>
      <c r="T31" s="225">
        <f>_xll.qlMidEquivalent($P31,$Q31,$R31,$S31)</f>
        <v>0.39100000000000001</v>
      </c>
      <c r="U31" s="223"/>
      <c r="V31" s="224">
        <v>0.314</v>
      </c>
      <c r="W31" s="223"/>
      <c r="X31" s="296">
        <v>0.39100000000000001</v>
      </c>
      <c r="Y31" s="220">
        <f>_xll.qlSimpleQuoteSetValue(F31,X31/100,Trigger)</f>
        <v>0</v>
      </c>
      <c r="Z31" s="189"/>
    </row>
    <row r="32" spans="1:26" x14ac:dyDescent="0.2">
      <c r="A32" s="116"/>
      <c r="B32" s="161"/>
      <c r="C32" s="161" t="s">
        <v>160</v>
      </c>
      <c r="D32" s="479" t="s">
        <v>170</v>
      </c>
      <c r="E32" s="199" t="str">
        <f t="shared" si="0"/>
        <v>USDOIS27M_Quote</v>
      </c>
      <c r="F32" s="199" t="str">
        <f>_xll.qlSimpleQuote(Currency&amp;$B32&amp;$C32&amp;$D32&amp;QuoteSuffix,,RateTickValue,Permanent,Trigger,ObjectOverwrite)</f>
        <v>USDOIS27M_Quote#0000</v>
      </c>
      <c r="G32" s="43" t="str">
        <f>_xll.ohRangeRetrieveError(F32)</f>
        <v/>
      </c>
      <c r="H32" s="42"/>
      <c r="J32" s="116"/>
      <c r="K32" s="227" t="s">
        <v>170</v>
      </c>
      <c r="L32" s="276"/>
      <c r="M32" s="276" t="s">
        <v>160</v>
      </c>
      <c r="N32" s="274" t="str">
        <f t="shared" si="1"/>
        <v>USD27MOIS</v>
      </c>
      <c r="O32" s="274" t="str">
        <v>USD27MOIS=TTKL</v>
      </c>
      <c r="P32" s="221">
        <v>0.47099999999999997</v>
      </c>
      <c r="Q32" s="221">
        <v>0.52100000000000002</v>
      </c>
      <c r="R32" s="221">
        <v>0</v>
      </c>
      <c r="S32" s="221">
        <v>0</v>
      </c>
      <c r="T32" s="225">
        <f>_xll.qlMidEquivalent($P32,$Q32,$R32,$S32)</f>
        <v>0.496</v>
      </c>
      <c r="U32" s="223"/>
      <c r="V32" s="224">
        <v>0.39</v>
      </c>
      <c r="W32" s="223"/>
      <c r="X32" s="296">
        <v>0.496</v>
      </c>
      <c r="Y32" s="220">
        <f>_xll.qlSimpleQuoteSetValue(F32,X32/100,Trigger)</f>
        <v>0</v>
      </c>
      <c r="Z32" s="189"/>
    </row>
    <row r="33" spans="1:26" x14ac:dyDescent="0.2">
      <c r="A33" s="116"/>
      <c r="B33" s="161"/>
      <c r="C33" s="161" t="s">
        <v>160</v>
      </c>
      <c r="D33" s="479" t="s">
        <v>169</v>
      </c>
      <c r="E33" s="199" t="str">
        <f t="shared" si="0"/>
        <v>USDOIS30M_Quote</v>
      </c>
      <c r="F33" s="199" t="str">
        <f>_xll.qlSimpleQuote(Currency&amp;$B33&amp;$C33&amp;$D33&amp;QuoteSuffix,,RateTickValue,Permanent,Trigger,ObjectOverwrite)</f>
        <v>USDOIS30M_Quote#0000</v>
      </c>
      <c r="G33" s="43" t="str">
        <f>_xll.ohRangeRetrieveError(F33)</f>
        <v/>
      </c>
      <c r="H33" s="42"/>
      <c r="J33" s="116"/>
      <c r="K33" s="227" t="s">
        <v>169</v>
      </c>
      <c r="L33" s="276"/>
      <c r="M33" s="276" t="s">
        <v>160</v>
      </c>
      <c r="N33" s="274" t="str">
        <f t="shared" si="1"/>
        <v>USD30MOIS</v>
      </c>
      <c r="O33" s="274" t="str">
        <v>USD30MOIS=TTKL</v>
      </c>
      <c r="P33" s="221">
        <v>0.58299999999999996</v>
      </c>
      <c r="Q33" s="221">
        <v>0.63300000000000001</v>
      </c>
      <c r="R33" s="221">
        <v>0</v>
      </c>
      <c r="S33" s="221">
        <v>0</v>
      </c>
      <c r="T33" s="225">
        <f>_xll.qlMidEquivalent($P33,$Q33,$R33,$S33)</f>
        <v>0.60799999999999998</v>
      </c>
      <c r="U33" s="223"/>
      <c r="V33" s="224">
        <v>0.48</v>
      </c>
      <c r="W33" s="223"/>
      <c r="X33" s="296">
        <v>0.60799999999999998</v>
      </c>
      <c r="Y33" s="220">
        <f>_xll.qlSimpleQuoteSetValue(F33,X33/100,Trigger)</f>
        <v>0</v>
      </c>
      <c r="Z33" s="189"/>
    </row>
    <row r="34" spans="1:26" x14ac:dyDescent="0.2">
      <c r="A34" s="116"/>
      <c r="B34" s="161"/>
      <c r="C34" s="161" t="s">
        <v>160</v>
      </c>
      <c r="D34" s="479" t="s">
        <v>168</v>
      </c>
      <c r="E34" s="199" t="str">
        <f t="shared" si="0"/>
        <v>USDOIS33M_Quote</v>
      </c>
      <c r="F34" s="199" t="str">
        <f>_xll.qlSimpleQuote(Currency&amp;$B34&amp;$C34&amp;$D34&amp;QuoteSuffix,,RateTickValue,Permanent,Trigger,ObjectOverwrite)</f>
        <v>USDOIS33M_Quote#0000</v>
      </c>
      <c r="G34" s="43" t="str">
        <f>_xll.ohRangeRetrieveError(F34)</f>
        <v/>
      </c>
      <c r="H34" s="42"/>
      <c r="J34" s="116"/>
      <c r="K34" s="227" t="s">
        <v>168</v>
      </c>
      <c r="L34" s="276"/>
      <c r="M34" s="276" t="s">
        <v>160</v>
      </c>
      <c r="N34" s="274" t="str">
        <f t="shared" si="1"/>
        <v>USD33MOIS</v>
      </c>
      <c r="O34" s="274" t="str">
        <v>USD33MOIS=TTKL</v>
      </c>
      <c r="P34" s="221">
        <v>0.69899999999999995</v>
      </c>
      <c r="Q34" s="221">
        <v>0.749</v>
      </c>
      <c r="R34" s="221">
        <v>0</v>
      </c>
      <c r="S34" s="221">
        <v>0</v>
      </c>
      <c r="T34" s="225">
        <f>_xll.qlMidEquivalent($P34,$Q34,$R34,$S34)</f>
        <v>0.72399999999999998</v>
      </c>
      <c r="U34" s="223"/>
      <c r="V34" s="224">
        <v>0.57699999999999996</v>
      </c>
      <c r="W34" s="223"/>
      <c r="X34" s="296">
        <v>0.72399999999999998</v>
      </c>
      <c r="Y34" s="220">
        <f>_xll.qlSimpleQuoteSetValue(F34,X34/100,Trigger)</f>
        <v>0</v>
      </c>
      <c r="Z34" s="189"/>
    </row>
    <row r="35" spans="1:26" x14ac:dyDescent="0.2">
      <c r="A35" s="116"/>
      <c r="B35" s="161"/>
      <c r="C35" s="161" t="s">
        <v>160</v>
      </c>
      <c r="D35" s="479" t="s">
        <v>86</v>
      </c>
      <c r="E35" s="199" t="str">
        <f t="shared" si="0"/>
        <v>USDOIS3Y_Quote</v>
      </c>
      <c r="F35" s="199" t="str">
        <f>_xll.qlSimpleQuote(Currency&amp;$B35&amp;$C35&amp;$D35&amp;QuoteSuffix,,RateTickValue,Permanent,Trigger,ObjectOverwrite)</f>
        <v>USDOIS3Y_Quote#0000</v>
      </c>
      <c r="G35" s="43" t="str">
        <f>_xll.ohRangeRetrieveError(F35)</f>
        <v/>
      </c>
      <c r="H35" s="42"/>
      <c r="J35" s="116"/>
      <c r="K35" s="227" t="s">
        <v>86</v>
      </c>
      <c r="L35" s="276"/>
      <c r="M35" s="276" t="s">
        <v>160</v>
      </c>
      <c r="N35" s="274" t="str">
        <f t="shared" si="1"/>
        <v>USD3YOIS</v>
      </c>
      <c r="O35" s="274" t="str">
        <v>USD3YOIS=TTKL</v>
      </c>
      <c r="P35" s="221">
        <v>0.80900000000000005</v>
      </c>
      <c r="Q35" s="221">
        <v>0.85899999999999999</v>
      </c>
      <c r="R35" s="221">
        <v>0</v>
      </c>
      <c r="S35" s="221">
        <v>0</v>
      </c>
      <c r="T35" s="225">
        <f>_xll.qlMidEquivalent($P35,$Q35,$R35,$S35)</f>
        <v>0.83400000000000007</v>
      </c>
      <c r="U35" s="223"/>
      <c r="V35" s="224">
        <v>0.67900000000000005</v>
      </c>
      <c r="W35" s="223"/>
      <c r="X35" s="296">
        <v>0.83400000000000007</v>
      </c>
      <c r="Y35" s="220">
        <f>_xll.qlSimpleQuoteSetValue(F35,X35/100,Trigger)</f>
        <v>0</v>
      </c>
      <c r="Z35" s="189"/>
    </row>
    <row r="36" spans="1:26" x14ac:dyDescent="0.2">
      <c r="A36" s="116"/>
      <c r="B36" s="161"/>
      <c r="C36" s="161" t="s">
        <v>160</v>
      </c>
      <c r="D36" s="479" t="s">
        <v>167</v>
      </c>
      <c r="E36" s="199" t="str">
        <f t="shared" si="0"/>
        <v>USDOIS39M_Quote</v>
      </c>
      <c r="F36" s="199" t="str">
        <f>_xll.qlSimpleQuote(Currency&amp;$B36&amp;$C36&amp;$D36&amp;QuoteSuffix,,RateTickValue,Permanent,Trigger,ObjectOverwrite)</f>
        <v>USDOIS39M_Quote#0000</v>
      </c>
      <c r="G36" s="43" t="str">
        <f>_xll.ohRangeRetrieveError(F36)</f>
        <v/>
      </c>
      <c r="H36" s="42"/>
      <c r="J36" s="116"/>
      <c r="K36" s="227" t="s">
        <v>167</v>
      </c>
      <c r="L36" s="276"/>
      <c r="M36" s="276" t="s">
        <v>160</v>
      </c>
      <c r="N36" s="274" t="str">
        <f t="shared" si="1"/>
        <v>USD39MOIS</v>
      </c>
      <c r="O36" s="274" t="str">
        <v>USD39MOIS=TTKL</v>
      </c>
      <c r="P36" s="221">
        <v>0.92</v>
      </c>
      <c r="Q36" s="221">
        <v>0.97</v>
      </c>
      <c r="R36" s="221">
        <v>0</v>
      </c>
      <c r="S36" s="221">
        <v>0</v>
      </c>
      <c r="T36" s="225">
        <f>_xll.qlMidEquivalent($P36,$Q36,$R36,$S36)</f>
        <v>0.94500000000000006</v>
      </c>
      <c r="U36" s="223"/>
      <c r="V36" s="224">
        <v>0.78300000000000003</v>
      </c>
      <c r="W36" s="223"/>
      <c r="X36" s="296">
        <v>0.94500000000000006</v>
      </c>
      <c r="Y36" s="220">
        <f>_xll.qlSimpleQuoteSetValue(F36,X36/100,Trigger)</f>
        <v>0</v>
      </c>
      <c r="Z36" s="189"/>
    </row>
    <row r="37" spans="1:26" x14ac:dyDescent="0.2">
      <c r="A37" s="116"/>
      <c r="B37" s="161"/>
      <c r="C37" s="161" t="s">
        <v>160</v>
      </c>
      <c r="D37" s="479" t="s">
        <v>166</v>
      </c>
      <c r="E37" s="199" t="str">
        <f t="shared" ref="E37:E58" si="2">Currency&amp;$B37&amp;$C37&amp;$D37&amp;QuoteSuffix</f>
        <v>USDOIS42M_Quote</v>
      </c>
      <c r="F37" s="199" t="str">
        <f>_xll.qlSimpleQuote(Currency&amp;$B37&amp;$C37&amp;$D37&amp;QuoteSuffix,,RateTickValue,Permanent,Trigger,ObjectOverwrite)</f>
        <v>USDOIS42M_Quote#0000</v>
      </c>
      <c r="G37" s="43" t="str">
        <f>_xll.ohRangeRetrieveError(F37)</f>
        <v/>
      </c>
      <c r="H37" s="42"/>
      <c r="J37" s="116"/>
      <c r="K37" s="227" t="s">
        <v>166</v>
      </c>
      <c r="L37" s="276"/>
      <c r="M37" s="276" t="s">
        <v>160</v>
      </c>
      <c r="N37" s="274" t="str">
        <f t="shared" ref="N37:N58" si="3">Currency&amp;$K37&amp;$L37&amp;$M37</f>
        <v>USD42MOIS</v>
      </c>
      <c r="O37" s="274" t="str">
        <v>USD42MOIS=TTKL</v>
      </c>
      <c r="P37" s="221">
        <v>1.03</v>
      </c>
      <c r="Q37" s="221">
        <v>1.08</v>
      </c>
      <c r="R37" s="221">
        <v>0</v>
      </c>
      <c r="S37" s="221">
        <v>0</v>
      </c>
      <c r="T37" s="225">
        <f>_xll.qlMidEquivalent($P37,$Q37,$R37,$S37)</f>
        <v>1.0550000000000002</v>
      </c>
      <c r="U37" s="223"/>
      <c r="V37" s="224">
        <v>0.89500000000000002</v>
      </c>
      <c r="W37" s="223"/>
      <c r="X37" s="296">
        <v>1.0550000000000002</v>
      </c>
      <c r="Y37" s="220">
        <f>_xll.qlSimpleQuoteSetValue(F37,X37/100,Trigger)</f>
        <v>0</v>
      </c>
      <c r="Z37" s="189"/>
    </row>
    <row r="38" spans="1:26" x14ac:dyDescent="0.2">
      <c r="A38" s="116"/>
      <c r="B38" s="161"/>
      <c r="C38" s="161" t="s">
        <v>160</v>
      </c>
      <c r="D38" s="479" t="s">
        <v>165</v>
      </c>
      <c r="E38" s="199" t="str">
        <f t="shared" si="2"/>
        <v>USDOIS45M_Quote</v>
      </c>
      <c r="F38" s="199" t="str">
        <f>_xll.qlSimpleQuote(Currency&amp;$B38&amp;$C38&amp;$D38&amp;QuoteSuffix,,RateTickValue,Permanent,Trigger,ObjectOverwrite)</f>
        <v>USDOIS45M_Quote#0000</v>
      </c>
      <c r="G38" s="43" t="str">
        <f>_xll.ohRangeRetrieveError(F38)</f>
        <v/>
      </c>
      <c r="H38" s="42"/>
      <c r="J38" s="116"/>
      <c r="K38" s="227" t="s">
        <v>165</v>
      </c>
      <c r="L38" s="276"/>
      <c r="M38" s="276" t="s">
        <v>160</v>
      </c>
      <c r="N38" s="274" t="str">
        <f t="shared" si="3"/>
        <v>USD45MOIS</v>
      </c>
      <c r="O38" s="274" t="str">
        <v>USD45MOIS=TTKL</v>
      </c>
      <c r="P38" s="221">
        <v>1.133</v>
      </c>
      <c r="Q38" s="221">
        <v>1.1830000000000001</v>
      </c>
      <c r="R38" s="221">
        <v>0</v>
      </c>
      <c r="S38" s="221">
        <v>0</v>
      </c>
      <c r="T38" s="225">
        <f>_xll.qlMidEquivalent($P38,$Q38,$R38,$S38)</f>
        <v>1.1579999999999999</v>
      </c>
      <c r="U38" s="223"/>
      <c r="V38" s="224">
        <v>0.997</v>
      </c>
      <c r="W38" s="223"/>
      <c r="X38" s="296">
        <v>1.1579999999999999</v>
      </c>
      <c r="Y38" s="220">
        <f>_xll.qlSimpleQuoteSetValue(F38,X38/100,Trigger)</f>
        <v>0</v>
      </c>
      <c r="Z38" s="189"/>
    </row>
    <row r="39" spans="1:26" x14ac:dyDescent="0.2">
      <c r="A39" s="116"/>
      <c r="B39" s="161"/>
      <c r="C39" s="161" t="s">
        <v>160</v>
      </c>
      <c r="D39" s="479" t="s">
        <v>85</v>
      </c>
      <c r="E39" s="199" t="str">
        <f t="shared" si="2"/>
        <v>USDOIS4Y_Quote</v>
      </c>
      <c r="F39" s="199" t="str">
        <f>_xll.qlSimpleQuote(Currency&amp;$B39&amp;$C39&amp;$D39&amp;QuoteSuffix,,RateTickValue,Permanent,Trigger,ObjectOverwrite)</f>
        <v>USDOIS4Y_Quote#0000</v>
      </c>
      <c r="G39" s="43" t="str">
        <f>_xll.ohRangeRetrieveError(F39)</f>
        <v/>
      </c>
      <c r="H39" s="42"/>
      <c r="J39" s="116"/>
      <c r="K39" s="227" t="s">
        <v>85</v>
      </c>
      <c r="L39" s="276"/>
      <c r="M39" s="276" t="s">
        <v>160</v>
      </c>
      <c r="N39" s="274" t="str">
        <f t="shared" si="3"/>
        <v>USD4YOIS</v>
      </c>
      <c r="O39" s="274" t="str">
        <v>USD4YOIS=TTKL</v>
      </c>
      <c r="P39" s="221">
        <v>1.232</v>
      </c>
      <c r="Q39" s="221">
        <v>1.282</v>
      </c>
      <c r="R39" s="221">
        <v>0</v>
      </c>
      <c r="S39" s="221">
        <v>0</v>
      </c>
      <c r="T39" s="225">
        <f>_xll.qlMidEquivalent($P39,$Q39,$R39,$S39)</f>
        <v>1.2570000000000001</v>
      </c>
      <c r="U39" s="223"/>
      <c r="V39" s="224">
        <v>1.109</v>
      </c>
      <c r="W39" s="223"/>
      <c r="X39" s="296">
        <v>1.2570000000000001</v>
      </c>
      <c r="Y39" s="220">
        <f>_xll.qlSimpleQuoteSetValue(F39,X39/100,Trigger)</f>
        <v>-9.9999999999995925E-6</v>
      </c>
      <c r="Z39" s="189"/>
    </row>
    <row r="40" spans="1:26" x14ac:dyDescent="0.2">
      <c r="A40" s="116"/>
      <c r="B40" s="161"/>
      <c r="C40" s="161" t="s">
        <v>160</v>
      </c>
      <c r="D40" s="479" t="s">
        <v>164</v>
      </c>
      <c r="E40" s="199" t="str">
        <f t="shared" si="2"/>
        <v>USDOIS51M_Quote</v>
      </c>
      <c r="F40" s="199" t="str">
        <f>_xll.qlSimpleQuote(Currency&amp;$B40&amp;$C40&amp;$D40&amp;QuoteSuffix,,RateTickValue,Permanent,Trigger,ObjectOverwrite)</f>
        <v>USDOIS51M_Quote#0000</v>
      </c>
      <c r="G40" s="43" t="str">
        <f>_xll.ohRangeRetrieveError(F40)</f>
        <v/>
      </c>
      <c r="H40" s="42"/>
      <c r="J40" s="116"/>
      <c r="K40" s="227" t="s">
        <v>164</v>
      </c>
      <c r="L40" s="276"/>
      <c r="M40" s="276" t="s">
        <v>160</v>
      </c>
      <c r="N40" s="274" t="str">
        <f t="shared" si="3"/>
        <v>USD51MOIS</v>
      </c>
      <c r="O40" s="274" t="str">
        <v>USD51MOIS=TTKL</v>
      </c>
      <c r="P40" s="221">
        <v>1.327</v>
      </c>
      <c r="Q40" s="221">
        <v>1.377</v>
      </c>
      <c r="R40" s="221">
        <v>0</v>
      </c>
      <c r="S40" s="221">
        <v>0</v>
      </c>
      <c r="T40" s="225">
        <f>_xll.qlMidEquivalent($P40,$Q40,$R40,$S40)</f>
        <v>1.3519999999999999</v>
      </c>
      <c r="U40" s="223"/>
      <c r="V40" s="224">
        <v>1.2070000000000001</v>
      </c>
      <c r="W40" s="223"/>
      <c r="X40" s="296">
        <v>1.3519999999999999</v>
      </c>
      <c r="Y40" s="220">
        <f>_xll.qlSimpleQuoteSetValue(F40,X40/100,Trigger)</f>
        <v>0</v>
      </c>
      <c r="Z40" s="189"/>
    </row>
    <row r="41" spans="1:26" x14ac:dyDescent="0.2">
      <c r="A41" s="116"/>
      <c r="B41" s="161"/>
      <c r="C41" s="161" t="s">
        <v>160</v>
      </c>
      <c r="D41" s="479" t="s">
        <v>163</v>
      </c>
      <c r="E41" s="199" t="str">
        <f t="shared" si="2"/>
        <v>USDOIS54M_Quote</v>
      </c>
      <c r="F41" s="199" t="str">
        <f>_xll.qlSimpleQuote(Currency&amp;$B41&amp;$C41&amp;$D41&amp;QuoteSuffix,,RateTickValue,Permanent,Trigger,ObjectOverwrite)</f>
        <v>USDOIS54M_Quote#0000</v>
      </c>
      <c r="G41" s="43" t="str">
        <f>_xll.ohRangeRetrieveError(F41)</f>
        <v/>
      </c>
      <c r="H41" s="42"/>
      <c r="J41" s="116"/>
      <c r="K41" s="227" t="s">
        <v>163</v>
      </c>
      <c r="L41" s="276"/>
      <c r="M41" s="276" t="s">
        <v>160</v>
      </c>
      <c r="N41" s="274" t="str">
        <f t="shared" si="3"/>
        <v>USD54MOIS</v>
      </c>
      <c r="O41" s="274" t="str">
        <v>USD54MOIS=TTKL</v>
      </c>
      <c r="P41" s="221">
        <v>1.4159999999999999</v>
      </c>
      <c r="Q41" s="221">
        <v>1.466</v>
      </c>
      <c r="R41" s="221">
        <v>0</v>
      </c>
      <c r="S41" s="221">
        <v>0</v>
      </c>
      <c r="T41" s="225">
        <f>_xll.qlMidEquivalent($P41,$Q41,$R41,$S41)</f>
        <v>1.4409999999999998</v>
      </c>
      <c r="U41" s="223"/>
      <c r="V41" s="224">
        <v>1.3140000000000001</v>
      </c>
      <c r="W41" s="223"/>
      <c r="X41" s="296">
        <v>1.4409999999999998</v>
      </c>
      <c r="Y41" s="220">
        <f>_xll.qlSimpleQuoteSetValue(F41,X41/100,Trigger)</f>
        <v>-2.000000000000092E-5</v>
      </c>
      <c r="Z41" s="189"/>
    </row>
    <row r="42" spans="1:26" x14ac:dyDescent="0.2">
      <c r="A42" s="116"/>
      <c r="B42" s="161"/>
      <c r="C42" s="161" t="s">
        <v>160</v>
      </c>
      <c r="D42" s="479" t="s">
        <v>162</v>
      </c>
      <c r="E42" s="199" t="str">
        <f t="shared" si="2"/>
        <v>USDOIS57M_Quote</v>
      </c>
      <c r="F42" s="199" t="str">
        <f>_xll.qlSimpleQuote(Currency&amp;$B42&amp;$C42&amp;$D42&amp;QuoteSuffix,,RateTickValue,Permanent,Trigger,ObjectOverwrite)</f>
        <v>USDOIS57M_Quote#0000</v>
      </c>
      <c r="G42" s="43" t="str">
        <f>_xll.ohRangeRetrieveError(F42)</f>
        <v/>
      </c>
      <c r="H42" s="42"/>
      <c r="J42" s="116"/>
      <c r="K42" s="227" t="s">
        <v>162</v>
      </c>
      <c r="L42" s="276"/>
      <c r="M42" s="276" t="s">
        <v>160</v>
      </c>
      <c r="N42" s="274" t="str">
        <f t="shared" si="3"/>
        <v>USD57MOIS</v>
      </c>
      <c r="O42" s="274" t="str">
        <v>USD57MOIS=TTKL</v>
      </c>
      <c r="P42" s="221">
        <v>1.5069999999999999</v>
      </c>
      <c r="Q42" s="221">
        <v>1.5569999999999999</v>
      </c>
      <c r="R42" s="221">
        <v>0</v>
      </c>
      <c r="S42" s="221">
        <v>0</v>
      </c>
      <c r="T42" s="225">
        <f>_xll.qlMidEquivalent($P42,$Q42,$R42,$S42)</f>
        <v>1.532</v>
      </c>
      <c r="U42" s="223"/>
      <c r="V42" s="224">
        <v>1.4079999999999999</v>
      </c>
      <c r="W42" s="223"/>
      <c r="X42" s="296">
        <v>1.532</v>
      </c>
      <c r="Y42" s="220">
        <f>_xll.qlSimpleQuoteSetValue(F42,X42/100,Trigger)</f>
        <v>0</v>
      </c>
      <c r="Z42" s="189"/>
    </row>
    <row r="43" spans="1:26" x14ac:dyDescent="0.2">
      <c r="A43" s="116"/>
      <c r="B43" s="161"/>
      <c r="C43" s="161" t="s">
        <v>160</v>
      </c>
      <c r="D43" s="479" t="s">
        <v>84</v>
      </c>
      <c r="E43" s="199" t="str">
        <f t="shared" si="2"/>
        <v>USDOIS5Y_Quote</v>
      </c>
      <c r="F43" s="199" t="str">
        <f>_xll.qlSimpleQuote(Currency&amp;$B43&amp;$C43&amp;$D43&amp;QuoteSuffix,,RateTickValue,Permanent,Trigger,ObjectOverwrite)</f>
        <v>USDOIS5Y_Quote#0000</v>
      </c>
      <c r="G43" s="43" t="str">
        <f>_xll.ohRangeRetrieveError(F43)</f>
        <v/>
      </c>
      <c r="H43" s="42"/>
      <c r="J43" s="116"/>
      <c r="K43" s="227" t="s">
        <v>84</v>
      </c>
      <c r="L43" s="276"/>
      <c r="M43" s="276" t="s">
        <v>160</v>
      </c>
      <c r="N43" s="274" t="str">
        <f t="shared" si="3"/>
        <v>USD5YOIS</v>
      </c>
      <c r="O43" s="274" t="str">
        <v>USD5YOIS=TTKL</v>
      </c>
      <c r="P43" s="221">
        <v>1.5880000000000001</v>
      </c>
      <c r="Q43" s="221">
        <v>1.6379999999999999</v>
      </c>
      <c r="R43" s="221">
        <v>0</v>
      </c>
      <c r="S43" s="221">
        <v>0</v>
      </c>
      <c r="T43" s="225">
        <f>_xll.qlMidEquivalent($P43,$Q43,$R43,$S43)</f>
        <v>1.613</v>
      </c>
      <c r="U43" s="223"/>
      <c r="V43" s="224">
        <v>1.5069999999999999</v>
      </c>
      <c r="W43" s="223"/>
      <c r="X43" s="296">
        <v>1.613</v>
      </c>
      <c r="Y43" s="220">
        <f>_xll.qlSimpleQuoteSetValue(F43,X43/100,Trigger)</f>
        <v>-2.0000000000002655E-5</v>
      </c>
      <c r="Z43" s="189"/>
    </row>
    <row r="44" spans="1:26" x14ac:dyDescent="0.2">
      <c r="A44" s="116"/>
      <c r="B44" s="161"/>
      <c r="C44" s="161" t="s">
        <v>160</v>
      </c>
      <c r="D44" s="479" t="s">
        <v>83</v>
      </c>
      <c r="E44" s="199" t="str">
        <f t="shared" si="2"/>
        <v>USDOIS6Y_Quote</v>
      </c>
      <c r="F44" s="199" t="str">
        <f>_xll.qlSimpleQuote(Currency&amp;$B44&amp;$C44&amp;$D44&amp;QuoteSuffix,,RateTickValue,Permanent,Trigger,ObjectOverwrite)</f>
        <v>USDOIS6Y_Quote#0000</v>
      </c>
      <c r="G44" s="43" t="str">
        <f>_xll.ohRangeRetrieveError(F44)</f>
        <v/>
      </c>
      <c r="H44" s="42"/>
      <c r="J44" s="116"/>
      <c r="K44" s="227" t="s">
        <v>83</v>
      </c>
      <c r="L44" s="276"/>
      <c r="M44" s="276" t="s">
        <v>160</v>
      </c>
      <c r="N44" s="274" t="str">
        <f t="shared" si="3"/>
        <v>USD6YOIS</v>
      </c>
      <c r="O44" s="274" t="str">
        <v>USD6YOIS=TTKL</v>
      </c>
      <c r="P44" s="221">
        <v>1.869</v>
      </c>
      <c r="Q44" s="221">
        <v>1.919</v>
      </c>
      <c r="R44" s="221">
        <v>0</v>
      </c>
      <c r="S44" s="221">
        <v>0</v>
      </c>
      <c r="T44" s="225">
        <f>_xll.qlMidEquivalent($P44,$Q44,$R44,$S44)</f>
        <v>1.8940000000000001</v>
      </c>
      <c r="U44" s="223"/>
      <c r="V44" s="224">
        <v>1.853</v>
      </c>
      <c r="W44" s="223"/>
      <c r="X44" s="296">
        <v>1.8940000000000001</v>
      </c>
      <c r="Y44" s="220">
        <f>_xll.qlSimpleQuoteSetValue(F44,X44/100,Trigger)</f>
        <v>-9.9999999999995925E-6</v>
      </c>
      <c r="Z44" s="189"/>
    </row>
    <row r="45" spans="1:26" x14ac:dyDescent="0.2">
      <c r="A45" s="116"/>
      <c r="B45" s="161"/>
      <c r="C45" s="161" t="s">
        <v>160</v>
      </c>
      <c r="D45" s="479" t="s">
        <v>82</v>
      </c>
      <c r="E45" s="199" t="str">
        <f t="shared" si="2"/>
        <v>USDOIS7Y_Quote</v>
      </c>
      <c r="F45" s="199" t="str">
        <f>_xll.qlSimpleQuote(Currency&amp;$B45&amp;$C45&amp;$D45&amp;QuoteSuffix,,RateTickValue,Permanent,Trigger,ObjectOverwrite)</f>
        <v>USDOIS7Y_Quote#0000</v>
      </c>
      <c r="G45" s="43" t="str">
        <f>_xll.ohRangeRetrieveError(F45)</f>
        <v/>
      </c>
      <c r="H45" s="42"/>
      <c r="J45" s="116"/>
      <c r="K45" s="227" t="s">
        <v>82</v>
      </c>
      <c r="L45" s="276"/>
      <c r="M45" s="276" t="s">
        <v>160</v>
      </c>
      <c r="N45" s="274" t="str">
        <f t="shared" si="3"/>
        <v>USD7YOIS</v>
      </c>
      <c r="O45" s="274" t="str">
        <v>USD7YOIS=TTKL</v>
      </c>
      <c r="P45" s="221">
        <v>2.093</v>
      </c>
      <c r="Q45" s="221">
        <v>2.1429999999999998</v>
      </c>
      <c r="R45" s="221">
        <v>0</v>
      </c>
      <c r="S45" s="221">
        <v>0</v>
      </c>
      <c r="T45" s="225">
        <f>_xll.qlMidEquivalent($P45,$Q45,$R45,$S45)</f>
        <v>2.1179999999999999</v>
      </c>
      <c r="U45" s="223"/>
      <c r="V45" s="224">
        <v>2.1360000000000001</v>
      </c>
      <c r="W45" s="223"/>
      <c r="X45" s="296">
        <v>2.1179999999999999</v>
      </c>
      <c r="Y45" s="220">
        <f>_xll.qlSimpleQuoteSetValue(F45,X45/100,Trigger)</f>
        <v>0</v>
      </c>
      <c r="Z45" s="189"/>
    </row>
    <row r="46" spans="1:26" x14ac:dyDescent="0.2">
      <c r="A46" s="116"/>
      <c r="B46" s="161"/>
      <c r="C46" s="161" t="s">
        <v>160</v>
      </c>
      <c r="D46" s="479" t="s">
        <v>81</v>
      </c>
      <c r="E46" s="199" t="str">
        <f t="shared" si="2"/>
        <v>USDOIS8Y_Quote</v>
      </c>
      <c r="F46" s="199" t="str">
        <f>_xll.qlSimpleQuote(Currency&amp;$B46&amp;$C46&amp;$D46&amp;QuoteSuffix,,RateTickValue,Permanent,Trigger,ObjectOverwrite)</f>
        <v>USDOIS8Y_Quote#0000</v>
      </c>
      <c r="G46" s="43" t="str">
        <f>_xll.ohRangeRetrieveError(F46)</f>
        <v/>
      </c>
      <c r="H46" s="42"/>
      <c r="J46" s="116"/>
      <c r="K46" s="227" t="s">
        <v>81</v>
      </c>
      <c r="L46" s="276"/>
      <c r="M46" s="276" t="s">
        <v>160</v>
      </c>
      <c r="N46" s="274" t="str">
        <f t="shared" si="3"/>
        <v>USD8YOIS</v>
      </c>
      <c r="O46" s="274" t="str">
        <v>USD8YOIS=TTKL</v>
      </c>
      <c r="P46" s="221">
        <v>2.2669999999999999</v>
      </c>
      <c r="Q46" s="221">
        <v>2.3170000000000002</v>
      </c>
      <c r="R46" s="221">
        <v>0</v>
      </c>
      <c r="S46" s="221">
        <v>0</v>
      </c>
      <c r="T46" s="225">
        <f>_xll.qlMidEquivalent($P46,$Q46,$R46,$S46)</f>
        <v>2.2919999999999998</v>
      </c>
      <c r="U46" s="223"/>
      <c r="V46" s="224">
        <v>2.37</v>
      </c>
      <c r="W46" s="223"/>
      <c r="X46" s="296">
        <v>2.2919999999999998</v>
      </c>
      <c r="Y46" s="220">
        <f>_xll.qlSimpleQuoteSetValue(F46,X46/100,Trigger)</f>
        <v>0</v>
      </c>
      <c r="Z46" s="189"/>
    </row>
    <row r="47" spans="1:26" x14ac:dyDescent="0.2">
      <c r="A47" s="116"/>
      <c r="B47" s="161"/>
      <c r="C47" s="161" t="s">
        <v>160</v>
      </c>
      <c r="D47" s="479" t="s">
        <v>80</v>
      </c>
      <c r="E47" s="199" t="str">
        <f t="shared" si="2"/>
        <v>USDOIS9Y_Quote</v>
      </c>
      <c r="F47" s="199" t="str">
        <f>_xll.qlSimpleQuote(Currency&amp;$B47&amp;$C47&amp;$D47&amp;QuoteSuffix,,RateTickValue,Permanent,Trigger,ObjectOverwrite)</f>
        <v>USDOIS9Y_Quote#0000</v>
      </c>
      <c r="G47" s="43" t="str">
        <f>_xll.ohRangeRetrieveError(F47)</f>
        <v/>
      </c>
      <c r="H47" s="42"/>
      <c r="J47" s="116"/>
      <c r="K47" s="227" t="s">
        <v>80</v>
      </c>
      <c r="L47" s="276"/>
      <c r="M47" s="276" t="s">
        <v>160</v>
      </c>
      <c r="N47" s="274" t="str">
        <f t="shared" si="3"/>
        <v>USD9YOIS</v>
      </c>
      <c r="O47" s="274" t="str">
        <v>USD9YOIS=TTKL</v>
      </c>
      <c r="P47" s="221">
        <v>2.4089999999999998</v>
      </c>
      <c r="Q47" s="221">
        <v>2.4590000000000001</v>
      </c>
      <c r="R47" s="221">
        <v>0</v>
      </c>
      <c r="S47" s="221">
        <v>0</v>
      </c>
      <c r="T47" s="225">
        <f>_xll.qlMidEquivalent($P47,$Q47,$R47,$S47)</f>
        <v>2.4340000000000002</v>
      </c>
      <c r="U47" s="223"/>
      <c r="V47" s="224">
        <v>2.56</v>
      </c>
      <c r="W47" s="223"/>
      <c r="X47" s="296">
        <v>2.4340000000000002</v>
      </c>
      <c r="Y47" s="220">
        <f>_xll.qlSimpleQuoteSetValue(F47,X47/100,Trigger)</f>
        <v>-1.9999999999999185E-5</v>
      </c>
      <c r="Z47" s="189"/>
    </row>
    <row r="48" spans="1:26" x14ac:dyDescent="0.2">
      <c r="A48" s="116"/>
      <c r="B48" s="161"/>
      <c r="C48" s="161" t="s">
        <v>160</v>
      </c>
      <c r="D48" s="479" t="s">
        <v>79</v>
      </c>
      <c r="E48" s="199" t="str">
        <f t="shared" si="2"/>
        <v>USDOIS10Y_Quote</v>
      </c>
      <c r="F48" s="199" t="str">
        <f>_xll.qlSimpleQuote(Currency&amp;$B48&amp;$C48&amp;$D48&amp;QuoteSuffix,,RateTickValue,Permanent,Trigger,ObjectOverwrite)</f>
        <v>USDOIS10Y_Quote#0000</v>
      </c>
      <c r="G48" s="43" t="str">
        <f>_xll.ohRangeRetrieveError(F48)</f>
        <v/>
      </c>
      <c r="H48" s="42"/>
      <c r="J48" s="116"/>
      <c r="K48" s="227" t="s">
        <v>79</v>
      </c>
      <c r="L48" s="276"/>
      <c r="M48" s="276" t="s">
        <v>160</v>
      </c>
      <c r="N48" s="274" t="str">
        <f t="shared" si="3"/>
        <v>USD10YOIS</v>
      </c>
      <c r="O48" s="274" t="str">
        <v>USD10YOIS=TTKL</v>
      </c>
      <c r="P48" s="221">
        <v>2.532</v>
      </c>
      <c r="Q48" s="221">
        <v>2.5819999999999999</v>
      </c>
      <c r="R48" s="221">
        <v>0</v>
      </c>
      <c r="S48" s="221">
        <v>0</v>
      </c>
      <c r="T48" s="225">
        <f>_xll.qlMidEquivalent($P48,$Q48,$R48,$S48)</f>
        <v>2.5569999999999999</v>
      </c>
      <c r="U48" s="223"/>
      <c r="V48" s="224">
        <v>2.7160000000000002</v>
      </c>
      <c r="W48" s="223"/>
      <c r="X48" s="296">
        <v>2.5569999999999999</v>
      </c>
      <c r="Y48" s="220">
        <f>_xll.qlSimpleQuoteSetValue(F48,X48/100,Trigger)</f>
        <v>-2.0000000000002655E-5</v>
      </c>
      <c r="Z48" s="189"/>
    </row>
    <row r="49" spans="1:26" x14ac:dyDescent="0.2">
      <c r="A49" s="116"/>
      <c r="B49" s="161"/>
      <c r="C49" s="161" t="s">
        <v>160</v>
      </c>
      <c r="D49" s="479" t="s">
        <v>77</v>
      </c>
      <c r="E49" s="199" t="str">
        <f t="shared" si="2"/>
        <v>USDOIS12Y_Quote</v>
      </c>
      <c r="F49" s="199" t="str">
        <f>_xll.qlSimpleQuote(Currency&amp;$B49&amp;$C49&amp;$D49&amp;QuoteSuffix,,RateTickValue,Permanent,Trigger,ObjectOverwrite)</f>
        <v>USDOIS12Y_Quote#0000</v>
      </c>
      <c r="G49" s="43" t="str">
        <f>_xll.ohRangeRetrieveError(F49)</f>
        <v/>
      </c>
      <c r="H49" s="42"/>
      <c r="J49" s="116"/>
      <c r="K49" s="227" t="s">
        <v>77</v>
      </c>
      <c r="L49" s="276"/>
      <c r="M49" s="276" t="s">
        <v>160</v>
      </c>
      <c r="N49" s="274" t="str">
        <f t="shared" si="3"/>
        <v>USD12YOIS</v>
      </c>
      <c r="O49" s="274" t="str">
        <v>USD12YOIS=TTKL</v>
      </c>
      <c r="P49" s="221">
        <v>2.72</v>
      </c>
      <c r="Q49" s="221">
        <v>2.77</v>
      </c>
      <c r="R49" s="221">
        <v>0</v>
      </c>
      <c r="S49" s="221">
        <v>0</v>
      </c>
      <c r="T49" s="225">
        <f>_xll.qlMidEquivalent($P49,$Q49,$R49,$S49)</f>
        <v>2.7450000000000001</v>
      </c>
      <c r="U49" s="223"/>
      <c r="V49" s="224">
        <v>2.968</v>
      </c>
      <c r="W49" s="223"/>
      <c r="X49" s="296">
        <v>2.7450000000000001</v>
      </c>
      <c r="Y49" s="220">
        <f>_xll.qlSimpleQuoteSetValue(F49,X49/100,Trigger)</f>
        <v>-1.9999999999995716E-5</v>
      </c>
      <c r="Z49" s="189"/>
    </row>
    <row r="50" spans="1:26" x14ac:dyDescent="0.2">
      <c r="A50" s="116"/>
      <c r="B50" s="161"/>
      <c r="C50" s="161" t="s">
        <v>160</v>
      </c>
      <c r="D50" s="479" t="s">
        <v>74</v>
      </c>
      <c r="E50" s="199" t="str">
        <f t="shared" si="2"/>
        <v>USDOIS15Y_Quote</v>
      </c>
      <c r="F50" s="199" t="str">
        <f>_xll.qlSimpleQuote(Currency&amp;$B50&amp;$C50&amp;$D50&amp;QuoteSuffix,,RateTickValue,Permanent,Trigger,ObjectOverwrite)</f>
        <v>USDOIS15Y_Quote#0000</v>
      </c>
      <c r="G50" s="43" t="str">
        <f>_xll.ohRangeRetrieveError(F50)</f>
        <v/>
      </c>
      <c r="H50" s="42"/>
      <c r="J50" s="116"/>
      <c r="K50" s="227" t="s">
        <v>74</v>
      </c>
      <c r="L50" s="276"/>
      <c r="M50" s="276" t="s">
        <v>160</v>
      </c>
      <c r="N50" s="274" t="str">
        <f t="shared" si="3"/>
        <v>USD15YOIS</v>
      </c>
      <c r="O50" s="274" t="str">
        <v>USD15YOIS=TTKL</v>
      </c>
      <c r="P50" s="221">
        <v>2.9180000000000001</v>
      </c>
      <c r="Q50" s="221">
        <v>2.968</v>
      </c>
      <c r="R50" s="221">
        <v>0</v>
      </c>
      <c r="S50" s="221">
        <v>0</v>
      </c>
      <c r="T50" s="225">
        <f>_xll.qlMidEquivalent($P50,$Q50,$R50,$S50)</f>
        <v>2.9430000000000001</v>
      </c>
      <c r="U50" s="223"/>
      <c r="V50" s="224">
        <v>3.2069999999999999</v>
      </c>
      <c r="W50" s="223"/>
      <c r="X50" s="296">
        <v>2.9430000000000001</v>
      </c>
      <c r="Y50" s="220">
        <f>_xll.qlSimpleQuoteSetValue(F50,X50/100,Trigger)</f>
        <v>-2.0000000000002655E-5</v>
      </c>
      <c r="Z50" s="189"/>
    </row>
    <row r="51" spans="1:26" x14ac:dyDescent="0.2">
      <c r="A51" s="116"/>
      <c r="B51" s="161"/>
      <c r="C51" s="161" t="s">
        <v>160</v>
      </c>
      <c r="D51" s="479" t="s">
        <v>69</v>
      </c>
      <c r="E51" s="199" t="str">
        <f t="shared" si="2"/>
        <v>USDOIS20Y_Quote</v>
      </c>
      <c r="F51" s="199" t="str">
        <f>_xll.qlSimpleQuote(Currency&amp;$B51&amp;$C51&amp;$D51&amp;QuoteSuffix,,RateTickValue,Permanent,Trigger,ObjectOverwrite)</f>
        <v>USDOIS20Y_Quote#0000</v>
      </c>
      <c r="G51" s="43" t="str">
        <f>_xll.ohRangeRetrieveError(F51)</f>
        <v/>
      </c>
      <c r="H51" s="42"/>
      <c r="J51" s="116"/>
      <c r="K51" s="227" t="s">
        <v>69</v>
      </c>
      <c r="L51" s="276"/>
      <c r="M51" s="276" t="s">
        <v>160</v>
      </c>
      <c r="N51" s="274" t="str">
        <f t="shared" si="3"/>
        <v>USD20YOIS</v>
      </c>
      <c r="O51" s="274" t="str">
        <v>USD20YOIS=TTKL</v>
      </c>
      <c r="P51" s="221">
        <v>3.085</v>
      </c>
      <c r="Q51" s="221">
        <v>3.1349999999999998</v>
      </c>
      <c r="R51" s="221">
        <v>0</v>
      </c>
      <c r="S51" s="221">
        <v>0</v>
      </c>
      <c r="T51" s="225">
        <f>_xll.qlMidEquivalent($P51,$Q51,$R51,$S51)</f>
        <v>3.11</v>
      </c>
      <c r="U51" s="223"/>
      <c r="V51" s="224">
        <v>3.4079999999999999</v>
      </c>
      <c r="W51" s="223"/>
      <c r="X51" s="296">
        <v>3.11</v>
      </c>
      <c r="Y51" s="220">
        <f>_xll.qlSimpleQuoteSetValue(F51,X51/100,Trigger)</f>
        <v>-9.9999999999995925E-6</v>
      </c>
      <c r="Z51" s="189"/>
    </row>
    <row r="52" spans="1:26" x14ac:dyDescent="0.2">
      <c r="A52" s="116"/>
      <c r="B52" s="161"/>
      <c r="C52" s="161" t="s">
        <v>160</v>
      </c>
      <c r="D52" s="479" t="s">
        <v>64</v>
      </c>
      <c r="E52" s="199" t="str">
        <f t="shared" si="2"/>
        <v>USDOIS25Y_Quote</v>
      </c>
      <c r="F52" s="199" t="str">
        <f>_xll.qlSimpleQuote(Currency&amp;$B52&amp;$C52&amp;$D52&amp;QuoteSuffix,,RateTickValue,Permanent,Trigger,ObjectOverwrite)</f>
        <v>USDOIS25Y_Quote#0000</v>
      </c>
      <c r="G52" s="43" t="str">
        <f>_xll.ohRangeRetrieveError(F52)</f>
        <v/>
      </c>
      <c r="H52" s="42"/>
      <c r="J52" s="116"/>
      <c r="K52" s="227" t="s">
        <v>64</v>
      </c>
      <c r="L52" s="276"/>
      <c r="M52" s="276" t="s">
        <v>160</v>
      </c>
      <c r="N52" s="274" t="str">
        <f t="shared" si="3"/>
        <v>USD25YOIS</v>
      </c>
      <c r="O52" s="274" t="str">
        <v>USD25YOIS=TTKL</v>
      </c>
      <c r="P52" s="221">
        <v>3.1579999999999999</v>
      </c>
      <c r="Q52" s="221">
        <v>3.2080000000000002</v>
      </c>
      <c r="R52" s="221">
        <v>0</v>
      </c>
      <c r="S52" s="221">
        <v>0</v>
      </c>
      <c r="T52" s="225">
        <f>_xll.qlMidEquivalent($P52,$Q52,$R52,$S52)</f>
        <v>3.1829999999999998</v>
      </c>
      <c r="U52" s="223"/>
      <c r="V52" s="224">
        <v>3.4969999999999999</v>
      </c>
      <c r="W52" s="223"/>
      <c r="X52" s="296">
        <v>3.1829999999999998</v>
      </c>
      <c r="Y52" s="220">
        <f>_xll.qlSimpleQuoteSetValue(F52,X52/100,Trigger)</f>
        <v>0</v>
      </c>
      <c r="Z52" s="189"/>
    </row>
    <row r="53" spans="1:26" x14ac:dyDescent="0.2">
      <c r="A53" s="116"/>
      <c r="B53" s="161"/>
      <c r="C53" s="161" t="s">
        <v>160</v>
      </c>
      <c r="D53" s="479" t="s">
        <v>62</v>
      </c>
      <c r="E53" s="199" t="str">
        <f t="shared" si="2"/>
        <v>USDOIS27Y_Quote</v>
      </c>
      <c r="F53" s="199" t="str">
        <f>_xll.qlSimpleQuote(Currency&amp;$B53&amp;$C53&amp;$D53&amp;QuoteSuffix,,RateTickValue,Permanent,Trigger,ObjectOverwrite)</f>
        <v>USDOIS27Y_Quote#0000</v>
      </c>
      <c r="G53" s="43" t="str">
        <f>_xll.ohRangeRetrieveError(F53)</f>
        <v/>
      </c>
      <c r="H53" s="42"/>
      <c r="J53" s="116"/>
      <c r="K53" s="227" t="s">
        <v>62</v>
      </c>
      <c r="L53" s="276"/>
      <c r="M53" s="276" t="s">
        <v>160</v>
      </c>
      <c r="N53" s="274" t="str">
        <f t="shared" si="3"/>
        <v>USD27YOIS</v>
      </c>
      <c r="O53" s="274" t="str">
        <v>USD27YOIS=TTKL</v>
      </c>
      <c r="P53" s="221" t="s">
        <v>219</v>
      </c>
      <c r="Q53" s="221" t="s">
        <v>219</v>
      </c>
      <c r="R53" s="221" t="s">
        <v>219</v>
      </c>
      <c r="S53" s="221" t="s">
        <v>219</v>
      </c>
      <c r="T53" s="225" t="e">
        <f>_xll.qlMidEquivalent($P53,$Q53,$R53,$S53)</f>
        <v>#NUM!</v>
      </c>
      <c r="U53" s="223"/>
      <c r="V53" s="224" t="e">
        <v>#NUM!</v>
      </c>
      <c r="W53" s="223"/>
      <c r="X53" s="296" t="e">
        <v>#NUM!</v>
      </c>
      <c r="Y53" s="220" t="e">
        <f>_xll.qlSimpleQuoteSetValue(F53,X53/100,Trigger)</f>
        <v>#NUM!</v>
      </c>
      <c r="Z53" s="189"/>
    </row>
    <row r="54" spans="1:26" x14ac:dyDescent="0.2">
      <c r="A54" s="116"/>
      <c r="B54" s="161"/>
      <c r="C54" s="161" t="s">
        <v>160</v>
      </c>
      <c r="D54" s="479" t="s">
        <v>59</v>
      </c>
      <c r="E54" s="199" t="str">
        <f t="shared" si="2"/>
        <v>USDOIS30Y_Quote</v>
      </c>
      <c r="F54" s="199" t="str">
        <f>_xll.qlSimpleQuote(Currency&amp;$B54&amp;$C54&amp;$D54&amp;QuoteSuffix,,RateTickValue,Permanent,Trigger,ObjectOverwrite)</f>
        <v>USDOIS30Y_Quote#0000</v>
      </c>
      <c r="G54" s="43" t="str">
        <f>_xll.ohRangeRetrieveError(F54)</f>
        <v/>
      </c>
      <c r="H54" s="42"/>
      <c r="J54" s="116"/>
      <c r="K54" s="227" t="s">
        <v>59</v>
      </c>
      <c r="L54" s="276"/>
      <c r="M54" s="276" t="s">
        <v>160</v>
      </c>
      <c r="N54" s="274" t="str">
        <f t="shared" si="3"/>
        <v>USD30YOIS</v>
      </c>
      <c r="O54" s="274" t="str">
        <v>USD30YOIS=TTKL</v>
      </c>
      <c r="P54" s="221">
        <v>3.1890000000000001</v>
      </c>
      <c r="Q54" s="221">
        <v>3.2389999999999999</v>
      </c>
      <c r="R54" s="221">
        <v>0</v>
      </c>
      <c r="S54" s="221">
        <v>0</v>
      </c>
      <c r="T54" s="225">
        <f>_xll.qlMidEquivalent($P54,$Q54,$R54,$S54)</f>
        <v>3.214</v>
      </c>
      <c r="U54" s="223"/>
      <c r="V54" s="224">
        <v>3.5489999999999999</v>
      </c>
      <c r="W54" s="223"/>
      <c r="X54" s="296">
        <v>3.214</v>
      </c>
      <c r="Y54" s="220">
        <f>_xll.qlSimpleQuoteSetValue(F54,X54/100,Trigger)</f>
        <v>0</v>
      </c>
      <c r="Z54" s="189"/>
    </row>
    <row r="55" spans="1:26" x14ac:dyDescent="0.2">
      <c r="A55" s="116"/>
      <c r="B55" s="161"/>
      <c r="C55" s="161" t="s">
        <v>160</v>
      </c>
      <c r="D55" s="479" t="s">
        <v>54</v>
      </c>
      <c r="E55" s="199" t="str">
        <f t="shared" si="2"/>
        <v>USDOIS35Y_Quote</v>
      </c>
      <c r="F55" s="199" t="str">
        <f>_xll.qlSimpleQuote(Currency&amp;$B55&amp;$C55&amp;$D55&amp;QuoteSuffix,,RateTickValue,Permanent,Trigger,ObjectOverwrite)</f>
        <v>USDOIS35Y_Quote#0000</v>
      </c>
      <c r="G55" s="43" t="str">
        <f>_xll.ohRangeRetrieveError(F55)</f>
        <v/>
      </c>
      <c r="H55" s="42"/>
      <c r="J55" s="116"/>
      <c r="K55" s="227" t="s">
        <v>54</v>
      </c>
      <c r="L55" s="276"/>
      <c r="M55" s="276" t="s">
        <v>160</v>
      </c>
      <c r="N55" s="274" t="str">
        <f t="shared" si="3"/>
        <v>USD35YOIS</v>
      </c>
      <c r="O55" s="274" t="str">
        <v>USD35YOIS=TTKL</v>
      </c>
      <c r="P55" s="221">
        <v>3.1960000000000002</v>
      </c>
      <c r="Q55" s="221">
        <v>3.246</v>
      </c>
      <c r="R55" s="221">
        <v>0</v>
      </c>
      <c r="S55" s="221">
        <v>0</v>
      </c>
      <c r="T55" s="225">
        <f>_xll.qlMidEquivalent($P55,$Q55,$R55,$S55)</f>
        <v>3.2210000000000001</v>
      </c>
      <c r="U55" s="223"/>
      <c r="V55" s="224">
        <v>3.5670000000000002</v>
      </c>
      <c r="W55" s="223"/>
      <c r="X55" s="296">
        <v>3.2210000000000001</v>
      </c>
      <c r="Y55" s="220">
        <f>_xll.qlSimpleQuoteSetValue(F55,X55/100,Trigger)</f>
        <v>0</v>
      </c>
      <c r="Z55" s="189"/>
    </row>
    <row r="56" spans="1:26" x14ac:dyDescent="0.2">
      <c r="A56" s="116"/>
      <c r="B56" s="161"/>
      <c r="C56" s="161" t="s">
        <v>160</v>
      </c>
      <c r="D56" s="479" t="s">
        <v>49</v>
      </c>
      <c r="E56" s="199" t="str">
        <f t="shared" si="2"/>
        <v>USDOIS40Y_Quote</v>
      </c>
      <c r="F56" s="199" t="str">
        <f>_xll.qlSimpleQuote(Currency&amp;$B56&amp;$C56&amp;$D56&amp;QuoteSuffix,,RateTickValue,Permanent,Trigger,ObjectOverwrite)</f>
        <v>USDOIS40Y_Quote#0000</v>
      </c>
      <c r="G56" s="43" t="str">
        <f>_xll.ohRangeRetrieveError(F56)</f>
        <v/>
      </c>
      <c r="H56" s="42"/>
      <c r="J56" s="116"/>
      <c r="K56" s="227" t="s">
        <v>49</v>
      </c>
      <c r="L56" s="276"/>
      <c r="M56" s="276" t="s">
        <v>160</v>
      </c>
      <c r="N56" s="274" t="str">
        <f t="shared" si="3"/>
        <v>USD40YOIS</v>
      </c>
      <c r="O56" s="274" t="str">
        <v>USD40YOIS=TTKL</v>
      </c>
      <c r="P56" s="221">
        <v>3.2</v>
      </c>
      <c r="Q56" s="221">
        <v>3.25</v>
      </c>
      <c r="R56" s="221">
        <v>0</v>
      </c>
      <c r="S56" s="221">
        <v>0</v>
      </c>
      <c r="T56" s="225">
        <f>_xll.qlMidEquivalent($P56,$Q56,$R56,$S56)</f>
        <v>3.2250000000000001</v>
      </c>
      <c r="U56" s="223"/>
      <c r="V56" s="224">
        <v>3.5680000000000001</v>
      </c>
      <c r="W56" s="223"/>
      <c r="X56" s="296">
        <v>3.2250000000000001</v>
      </c>
      <c r="Y56" s="220">
        <f>_xll.qlSimpleQuoteSetValue(F56,X56/100,Trigger)</f>
        <v>0</v>
      </c>
      <c r="Z56" s="189"/>
    </row>
    <row r="57" spans="1:26" x14ac:dyDescent="0.2">
      <c r="A57" s="116"/>
      <c r="B57" s="161"/>
      <c r="C57" s="161" t="s">
        <v>160</v>
      </c>
      <c r="D57" s="479" t="s">
        <v>44</v>
      </c>
      <c r="E57" s="199" t="str">
        <f t="shared" si="2"/>
        <v>USDOIS45Y_Quote</v>
      </c>
      <c r="F57" s="199" t="str">
        <f>_xll.qlSimpleQuote(Currency&amp;$B57&amp;$C57&amp;$D57&amp;QuoteSuffix,,RateTickValue,Permanent,Trigger,ObjectOverwrite)</f>
        <v>USDOIS45Y_Quote#0000</v>
      </c>
      <c r="G57" s="43" t="str">
        <f>_xll.ohRangeRetrieveError(F57)</f>
        <v/>
      </c>
      <c r="H57" s="42"/>
      <c r="J57" s="116"/>
      <c r="K57" s="227" t="s">
        <v>44</v>
      </c>
      <c r="L57" s="276"/>
      <c r="M57" s="276" t="s">
        <v>160</v>
      </c>
      <c r="N57" s="274" t="str">
        <f t="shared" si="3"/>
        <v>USD45YOIS</v>
      </c>
      <c r="O57" s="274" t="str">
        <v>USD45YOIS=TTKL</v>
      </c>
      <c r="P57" s="221">
        <v>3.1909999999999998</v>
      </c>
      <c r="Q57" s="221">
        <v>3.2410000000000001</v>
      </c>
      <c r="R57" s="221">
        <v>0</v>
      </c>
      <c r="S57" s="221">
        <v>0</v>
      </c>
      <c r="T57" s="225">
        <f>_xll.qlMidEquivalent($P57,$Q57,$R57,$S57)</f>
        <v>3.2160000000000002</v>
      </c>
      <c r="U57" s="223"/>
      <c r="V57" s="224">
        <v>3.5590000000000002</v>
      </c>
      <c r="W57" s="223"/>
      <c r="X57" s="296">
        <v>3.2160000000000002</v>
      </c>
      <c r="Y57" s="220">
        <f>_xll.qlSimpleQuoteSetValue(F57,X57/100,Trigger)</f>
        <v>0</v>
      </c>
      <c r="Z57" s="189"/>
    </row>
    <row r="58" spans="1:26" x14ac:dyDescent="0.2">
      <c r="A58" s="116"/>
      <c r="B58" s="161"/>
      <c r="C58" s="161" t="s">
        <v>160</v>
      </c>
      <c r="D58" s="479" t="s">
        <v>39</v>
      </c>
      <c r="E58" s="199" t="str">
        <f t="shared" si="2"/>
        <v>USDOIS50Y_Quote</v>
      </c>
      <c r="F58" s="199" t="str">
        <f>_xll.qlSimpleQuote(Currency&amp;$B58&amp;$C58&amp;$D58&amp;QuoteSuffix,,RateTickValue,Permanent,Trigger,ObjectOverwrite)</f>
        <v>USDOIS50Y_Quote#0000</v>
      </c>
      <c r="G58" s="43" t="str">
        <f>_xll.ohRangeRetrieveError(F58)</f>
        <v/>
      </c>
      <c r="H58" s="42"/>
      <c r="J58" s="116"/>
      <c r="K58" s="239" t="s">
        <v>39</v>
      </c>
      <c r="L58" s="271"/>
      <c r="M58" s="271" t="s">
        <v>160</v>
      </c>
      <c r="N58" s="269" t="str">
        <f t="shared" si="3"/>
        <v>USD50YOIS</v>
      </c>
      <c r="O58" s="269" t="str">
        <v>USD50YOIS=TTKL</v>
      </c>
      <c r="P58" s="234">
        <v>3.1829999999999998</v>
      </c>
      <c r="Q58" s="234">
        <v>3.2330000000000001</v>
      </c>
      <c r="R58" s="234">
        <v>0</v>
      </c>
      <c r="S58" s="234">
        <v>0</v>
      </c>
      <c r="T58" s="237">
        <f>_xll.qlMidEquivalent($P58,$Q58,$R58,$S58)</f>
        <v>3.2080000000000002</v>
      </c>
      <c r="U58" s="223"/>
      <c r="V58" s="224">
        <v>3.55</v>
      </c>
      <c r="W58" s="223"/>
      <c r="X58" s="289">
        <v>3.2080000000000002</v>
      </c>
      <c r="Y58" s="233">
        <f>_xll.qlSimpleQuoteSetValue(F58,X58/100,Trigger)</f>
        <v>1.0000000000003062E-5</v>
      </c>
      <c r="Z58" s="189"/>
    </row>
    <row r="59" spans="1:26" ht="12" thickBot="1" x14ac:dyDescent="0.25">
      <c r="A59" s="116"/>
      <c r="B59" s="480"/>
      <c r="C59" s="480"/>
      <c r="D59" s="481"/>
      <c r="E59" s="482"/>
      <c r="F59" s="482"/>
      <c r="G59" s="483"/>
      <c r="H59" s="42"/>
      <c r="J59" s="175"/>
      <c r="K59" s="320"/>
      <c r="L59" s="320"/>
      <c r="M59" s="320"/>
      <c r="N59" s="320"/>
      <c r="O59" s="320"/>
      <c r="P59" s="320"/>
      <c r="Q59" s="320"/>
      <c r="R59" s="320"/>
      <c r="S59" s="320"/>
      <c r="T59" s="320"/>
      <c r="U59" s="320"/>
      <c r="V59" s="320"/>
      <c r="W59" s="320"/>
      <c r="X59" s="320"/>
      <c r="Y59" s="320"/>
      <c r="Z59" s="319"/>
    </row>
    <row r="60" spans="1:26" x14ac:dyDescent="0.2">
      <c r="A60" s="116"/>
      <c r="B60" s="161" t="s">
        <v>161</v>
      </c>
      <c r="C60" s="161" t="s">
        <v>160</v>
      </c>
      <c r="D60" s="484" t="str">
        <f>_xll.qlECBNextCode(_xll.qlSettingsEvaluationDate(Trigger)-365)</f>
        <v>MAY13</v>
      </c>
      <c r="E60" s="199" t="str">
        <f t="shared" ref="E60:E95" si="4">Currency&amp;$B60&amp;$C60&amp;$D60&amp;QuoteSuffix</f>
        <v>USDFEDOISMAY13_Quote</v>
      </c>
      <c r="F60" s="199" t="str">
        <f>_xll.qlSimpleQuote(Currency&amp;$B60&amp;$C60&amp;$D60&amp;QuoteSuffix,,RateTickValue,Permanent,Trigger,ObjectOverwrite)</f>
        <v>USDFEDOISMAY13_Quote#0000</v>
      </c>
      <c r="G60" s="43" t="str">
        <f>_xll.ohRangeRetrieveError(F60)</f>
        <v/>
      </c>
      <c r="H60" s="42"/>
    </row>
    <row r="61" spans="1:26" x14ac:dyDescent="0.2">
      <c r="A61" s="116"/>
      <c r="B61" s="161" t="s">
        <v>161</v>
      </c>
      <c r="C61" s="161" t="s">
        <v>160</v>
      </c>
      <c r="D61" s="484" t="str">
        <f>_xll.qlECBNextCode(_xll.qlECBdate(D60))</f>
        <v>JUN13</v>
      </c>
      <c r="E61" s="199" t="str">
        <f t="shared" si="4"/>
        <v>USDFEDOISJUN13_Quote</v>
      </c>
      <c r="F61" s="199" t="str">
        <f>_xll.qlSimpleQuote(Currency&amp;$B61&amp;$C61&amp;$D61&amp;QuoteSuffix,,RateTickValue,Permanent,Trigger,ObjectOverwrite)</f>
        <v>USDFEDOISJUN13_Quote#0000</v>
      </c>
      <c r="G61" s="43" t="str">
        <f>_xll.ohRangeRetrieveError(F61)</f>
        <v/>
      </c>
      <c r="H61" s="42"/>
    </row>
    <row r="62" spans="1:26" x14ac:dyDescent="0.2">
      <c r="A62" s="116"/>
      <c r="B62" s="161" t="s">
        <v>161</v>
      </c>
      <c r="C62" s="161" t="s">
        <v>160</v>
      </c>
      <c r="D62" s="484" t="str">
        <f>_xll.qlECBNextCode(_xll.qlECBdate(D61))</f>
        <v>JUL13</v>
      </c>
      <c r="E62" s="199" t="str">
        <f t="shared" si="4"/>
        <v>USDFEDOISJUL13_Quote</v>
      </c>
      <c r="F62" s="199" t="str">
        <f>_xll.qlSimpleQuote(Currency&amp;$B62&amp;$C62&amp;$D62&amp;QuoteSuffix,,RateTickValue,Permanent,Trigger,ObjectOverwrite)</f>
        <v>USDFEDOISJUL13_Quote#0000</v>
      </c>
      <c r="G62" s="43" t="str">
        <f>_xll.ohRangeRetrieveError(F62)</f>
        <v/>
      </c>
      <c r="H62" s="42"/>
    </row>
    <row r="63" spans="1:26" x14ac:dyDescent="0.2">
      <c r="A63" s="116"/>
      <c r="B63" s="161" t="s">
        <v>161</v>
      </c>
      <c r="C63" s="161" t="s">
        <v>160</v>
      </c>
      <c r="D63" s="484" t="str">
        <f>_xll.qlECBNextCode(_xll.qlECBdate(D62))</f>
        <v>AUG13</v>
      </c>
      <c r="E63" s="199" t="str">
        <f t="shared" si="4"/>
        <v>USDFEDOISAUG13_Quote</v>
      </c>
      <c r="F63" s="199" t="str">
        <f>_xll.qlSimpleQuote(Currency&amp;$B63&amp;$C63&amp;$D63&amp;QuoteSuffix,,RateTickValue,Permanent,Trigger,ObjectOverwrite)</f>
        <v>USDFEDOISAUG13_Quote#0000</v>
      </c>
      <c r="G63" s="43" t="str">
        <f>_xll.ohRangeRetrieveError(F63)</f>
        <v/>
      </c>
      <c r="H63" s="42"/>
    </row>
    <row r="64" spans="1:26" x14ac:dyDescent="0.2">
      <c r="A64" s="116"/>
      <c r="B64" s="161" t="s">
        <v>161</v>
      </c>
      <c r="C64" s="161" t="s">
        <v>160</v>
      </c>
      <c r="D64" s="484" t="str">
        <f>_xll.qlECBNextCode(_xll.qlECBdate(D63))</f>
        <v>SEP13</v>
      </c>
      <c r="E64" s="199" t="str">
        <f t="shared" si="4"/>
        <v>USDFEDOISSEP13_Quote</v>
      </c>
      <c r="F64" s="199" t="str">
        <f>_xll.qlSimpleQuote(Currency&amp;$B64&amp;$C64&amp;$D64&amp;QuoteSuffix,,RateTickValue,Permanent,Trigger,ObjectOverwrite)</f>
        <v>USDFEDOISSEP13_Quote#0000</v>
      </c>
      <c r="G64" s="43" t="str">
        <f>_xll.ohRangeRetrieveError(F64)</f>
        <v/>
      </c>
      <c r="H64" s="42"/>
    </row>
    <row r="65" spans="1:8" x14ac:dyDescent="0.2">
      <c r="A65" s="116"/>
      <c r="B65" s="161" t="s">
        <v>161</v>
      </c>
      <c r="C65" s="161" t="s">
        <v>160</v>
      </c>
      <c r="D65" s="484" t="str">
        <f>_xll.qlECBNextCode(_xll.qlECBdate(D64))</f>
        <v>OCT13</v>
      </c>
      <c r="E65" s="199" t="str">
        <f t="shared" si="4"/>
        <v>USDFEDOISOCT13_Quote</v>
      </c>
      <c r="F65" s="199" t="str">
        <f>_xll.qlSimpleQuote(Currency&amp;$B65&amp;$C65&amp;$D65&amp;QuoteSuffix,,RateTickValue,Permanent,Trigger,ObjectOverwrite)</f>
        <v>USDFEDOISOCT13_Quote#0000</v>
      </c>
      <c r="G65" s="43" t="str">
        <f>_xll.ohRangeRetrieveError(F65)</f>
        <v/>
      </c>
      <c r="H65" s="42"/>
    </row>
    <row r="66" spans="1:8" x14ac:dyDescent="0.2">
      <c r="A66" s="116"/>
      <c r="B66" s="161" t="s">
        <v>161</v>
      </c>
      <c r="C66" s="161" t="s">
        <v>160</v>
      </c>
      <c r="D66" s="484" t="str">
        <f>_xll.qlECBNextCode(_xll.qlECBdate(D65))</f>
        <v>NOV13</v>
      </c>
      <c r="E66" s="199" t="str">
        <f t="shared" si="4"/>
        <v>USDFEDOISNOV13_Quote</v>
      </c>
      <c r="F66" s="199" t="str">
        <f>_xll.qlSimpleQuote(Currency&amp;$B66&amp;$C66&amp;$D66&amp;QuoteSuffix,,RateTickValue,Permanent,Trigger,ObjectOverwrite)</f>
        <v>USDFEDOISNOV13_Quote#0000</v>
      </c>
      <c r="G66" s="43" t="str">
        <f>_xll.ohRangeRetrieveError(F66)</f>
        <v/>
      </c>
      <c r="H66" s="42"/>
    </row>
    <row r="67" spans="1:8" x14ac:dyDescent="0.2">
      <c r="A67" s="116"/>
      <c r="B67" s="161" t="s">
        <v>161</v>
      </c>
      <c r="C67" s="161" t="s">
        <v>160</v>
      </c>
      <c r="D67" s="484" t="str">
        <f>_xll.qlECBNextCode(_xll.qlECBdate(D66))</f>
        <v>DEC13</v>
      </c>
      <c r="E67" s="199" t="str">
        <f t="shared" si="4"/>
        <v>USDFEDOISDEC13_Quote</v>
      </c>
      <c r="F67" s="199" t="str">
        <f>_xll.qlSimpleQuote(Currency&amp;$B67&amp;$C67&amp;$D67&amp;QuoteSuffix,,RateTickValue,Permanent,Trigger,ObjectOverwrite)</f>
        <v>USDFEDOISDEC13_Quote#0000</v>
      </c>
      <c r="G67" s="43" t="str">
        <f>_xll.ohRangeRetrieveError(F67)</f>
        <v/>
      </c>
      <c r="H67" s="42"/>
    </row>
    <row r="68" spans="1:8" x14ac:dyDescent="0.2">
      <c r="A68" s="116"/>
      <c r="B68" s="161" t="s">
        <v>161</v>
      </c>
      <c r="C68" s="161" t="s">
        <v>160</v>
      </c>
      <c r="D68" s="484" t="e">
        <f>_xll.qlECBNextCode(_xll.qlECBdate(D67))</f>
        <v>#NUM!</v>
      </c>
      <c r="E68" s="199" t="e">
        <f t="shared" si="4"/>
        <v>#NUM!</v>
      </c>
      <c r="F68" s="199" t="e">
        <f>_xll.qlSimpleQuote(Currency&amp;$B68&amp;$C68&amp;$D68&amp;QuoteSuffix,,RateTickValue,Permanent,Trigger,ObjectOverwrite)</f>
        <v>#VALUE!</v>
      </c>
      <c r="G68" s="43" t="str">
        <f ca="1">_xll.ohRangeRetrieveError(F68)</f>
        <v/>
      </c>
      <c r="H68" s="42"/>
    </row>
    <row r="69" spans="1:8" x14ac:dyDescent="0.2">
      <c r="A69" s="116"/>
      <c r="B69" s="161" t="s">
        <v>161</v>
      </c>
      <c r="C69" s="161" t="s">
        <v>160</v>
      </c>
      <c r="D69" s="484" t="e">
        <f>_xll.qlECBNextCode(_xll.qlECBdate(D68))</f>
        <v>#NUM!</v>
      </c>
      <c r="E69" s="199" t="e">
        <f t="shared" si="4"/>
        <v>#NUM!</v>
      </c>
      <c r="F69" s="199" t="e">
        <f>_xll.qlSimpleQuote(Currency&amp;$B69&amp;$C69&amp;$D69&amp;QuoteSuffix,,RateTickValue,Permanent,Trigger,ObjectOverwrite)</f>
        <v>#VALUE!</v>
      </c>
      <c r="G69" s="43" t="str">
        <f ca="1">_xll.ohRangeRetrieveError(F69)</f>
        <v/>
      </c>
      <c r="H69" s="42"/>
    </row>
    <row r="70" spans="1:8" x14ac:dyDescent="0.2">
      <c r="A70" s="116"/>
      <c r="B70" s="161" t="s">
        <v>161</v>
      </c>
      <c r="C70" s="161" t="s">
        <v>160</v>
      </c>
      <c r="D70" s="484" t="e">
        <f>_xll.qlECBNextCode(_xll.qlECBdate(D69))</f>
        <v>#NUM!</v>
      </c>
      <c r="E70" s="199" t="e">
        <f t="shared" si="4"/>
        <v>#NUM!</v>
      </c>
      <c r="F70" s="199" t="e">
        <f>_xll.qlSimpleQuote(Currency&amp;$B70&amp;$C70&amp;$D70&amp;QuoteSuffix,,RateTickValue,Permanent,Trigger,ObjectOverwrite)</f>
        <v>#VALUE!</v>
      </c>
      <c r="G70" s="43" t="str">
        <f ca="1">_xll.ohRangeRetrieveError(F70)</f>
        <v/>
      </c>
      <c r="H70" s="42"/>
    </row>
    <row r="71" spans="1:8" x14ac:dyDescent="0.2">
      <c r="A71" s="116"/>
      <c r="B71" s="161" t="s">
        <v>161</v>
      </c>
      <c r="C71" s="161" t="s">
        <v>160</v>
      </c>
      <c r="D71" s="484" t="e">
        <f>_xll.qlECBNextCode(_xll.qlECBdate(D70))</f>
        <v>#NUM!</v>
      </c>
      <c r="E71" s="199" t="e">
        <f t="shared" si="4"/>
        <v>#NUM!</v>
      </c>
      <c r="F71" s="199" t="e">
        <f>_xll.qlSimpleQuote(Currency&amp;$B71&amp;$C71&amp;$D71&amp;QuoteSuffix,,RateTickValue,Permanent,Trigger,ObjectOverwrite)</f>
        <v>#VALUE!</v>
      </c>
      <c r="G71" s="43" t="str">
        <f ca="1">_xll.ohRangeRetrieveError(F71)</f>
        <v/>
      </c>
      <c r="H71" s="42"/>
    </row>
    <row r="72" spans="1:8" x14ac:dyDescent="0.2">
      <c r="A72" s="116"/>
      <c r="B72" s="161" t="s">
        <v>161</v>
      </c>
      <c r="C72" s="161" t="s">
        <v>160</v>
      </c>
      <c r="D72" s="484" t="e">
        <f>_xll.qlECBNextCode(_xll.qlECBdate(D71))</f>
        <v>#NUM!</v>
      </c>
      <c r="E72" s="199" t="e">
        <f t="shared" si="4"/>
        <v>#NUM!</v>
      </c>
      <c r="F72" s="199" t="e">
        <f>_xll.qlSimpleQuote(Currency&amp;$B72&amp;$C72&amp;$D72&amp;QuoteSuffix,,RateTickValue,Permanent,Trigger,ObjectOverwrite)</f>
        <v>#VALUE!</v>
      </c>
      <c r="G72" s="43" t="str">
        <f ca="1">_xll.ohRangeRetrieveError(F72)</f>
        <v/>
      </c>
      <c r="H72" s="42"/>
    </row>
    <row r="73" spans="1:8" x14ac:dyDescent="0.2">
      <c r="A73" s="116"/>
      <c r="B73" s="161" t="s">
        <v>161</v>
      </c>
      <c r="C73" s="161" t="s">
        <v>160</v>
      </c>
      <c r="D73" s="484" t="e">
        <f>_xll.qlECBNextCode(_xll.qlECBdate(D72))</f>
        <v>#NUM!</v>
      </c>
      <c r="E73" s="199" t="e">
        <f t="shared" si="4"/>
        <v>#NUM!</v>
      </c>
      <c r="F73" s="199" t="e">
        <f>_xll.qlSimpleQuote(Currency&amp;$B73&amp;$C73&amp;$D73&amp;QuoteSuffix,,RateTickValue,Permanent,Trigger,ObjectOverwrite)</f>
        <v>#VALUE!</v>
      </c>
      <c r="G73" s="43" t="str">
        <f ca="1">_xll.ohRangeRetrieveError(F73)</f>
        <v/>
      </c>
      <c r="H73" s="42"/>
    </row>
    <row r="74" spans="1:8" x14ac:dyDescent="0.2">
      <c r="A74" s="116"/>
      <c r="B74" s="161" t="s">
        <v>161</v>
      </c>
      <c r="C74" s="161" t="s">
        <v>160</v>
      </c>
      <c r="D74" s="484" t="e">
        <f>_xll.qlECBNextCode(_xll.qlECBdate(D73))</f>
        <v>#NUM!</v>
      </c>
      <c r="E74" s="199" t="e">
        <f t="shared" si="4"/>
        <v>#NUM!</v>
      </c>
      <c r="F74" s="199" t="e">
        <f>_xll.qlSimpleQuote(Currency&amp;$B74&amp;$C74&amp;$D74&amp;QuoteSuffix,,RateTickValue,Permanent,Trigger,ObjectOverwrite)</f>
        <v>#VALUE!</v>
      </c>
      <c r="G74" s="43" t="str">
        <f ca="1">_xll.ohRangeRetrieveError(F74)</f>
        <v/>
      </c>
      <c r="H74" s="42"/>
    </row>
    <row r="75" spans="1:8" x14ac:dyDescent="0.2">
      <c r="A75" s="116"/>
      <c r="B75" s="161" t="s">
        <v>161</v>
      </c>
      <c r="C75" s="161" t="s">
        <v>160</v>
      </c>
      <c r="D75" s="484" t="e">
        <f>_xll.qlECBNextCode(_xll.qlECBdate(D74))</f>
        <v>#NUM!</v>
      </c>
      <c r="E75" s="199" t="e">
        <f t="shared" si="4"/>
        <v>#NUM!</v>
      </c>
      <c r="F75" s="199" t="e">
        <f>_xll.qlSimpleQuote(Currency&amp;$B75&amp;$C75&amp;$D75&amp;QuoteSuffix,,RateTickValue,Permanent,Trigger,ObjectOverwrite)</f>
        <v>#VALUE!</v>
      </c>
      <c r="G75" s="43" t="str">
        <f ca="1">_xll.ohRangeRetrieveError(F75)</f>
        <v/>
      </c>
      <c r="H75" s="42"/>
    </row>
    <row r="76" spans="1:8" x14ac:dyDescent="0.2">
      <c r="A76" s="116"/>
      <c r="B76" s="161" t="s">
        <v>161</v>
      </c>
      <c r="C76" s="161" t="s">
        <v>160</v>
      </c>
      <c r="D76" s="484" t="e">
        <f>_xll.qlECBNextCode(_xll.qlECBdate(D75))</f>
        <v>#NUM!</v>
      </c>
      <c r="E76" s="199" t="e">
        <f t="shared" si="4"/>
        <v>#NUM!</v>
      </c>
      <c r="F76" s="199" t="e">
        <f>_xll.qlSimpleQuote(Currency&amp;$B76&amp;$C76&amp;$D76&amp;QuoteSuffix,,RateTickValue,Permanent,Trigger,ObjectOverwrite)</f>
        <v>#VALUE!</v>
      </c>
      <c r="G76" s="43" t="str">
        <f ca="1">_xll.ohRangeRetrieveError(F76)</f>
        <v/>
      </c>
      <c r="H76" s="42"/>
    </row>
    <row r="77" spans="1:8" x14ac:dyDescent="0.2">
      <c r="A77" s="116"/>
      <c r="B77" s="161" t="s">
        <v>161</v>
      </c>
      <c r="C77" s="161" t="s">
        <v>160</v>
      </c>
      <c r="D77" s="484" t="e">
        <f>_xll.qlECBNextCode(_xll.qlECBdate(D76))</f>
        <v>#NUM!</v>
      </c>
      <c r="E77" s="199" t="e">
        <f t="shared" si="4"/>
        <v>#NUM!</v>
      </c>
      <c r="F77" s="199" t="e">
        <f>_xll.qlSimpleQuote(Currency&amp;$B77&amp;$C77&amp;$D77&amp;QuoteSuffix,,RateTickValue,Permanent,Trigger,ObjectOverwrite)</f>
        <v>#VALUE!</v>
      </c>
      <c r="G77" s="43" t="str">
        <f ca="1">_xll.ohRangeRetrieveError(F77)</f>
        <v/>
      </c>
      <c r="H77" s="42"/>
    </row>
    <row r="78" spans="1:8" x14ac:dyDescent="0.2">
      <c r="A78" s="116"/>
      <c r="B78" s="161" t="s">
        <v>161</v>
      </c>
      <c r="C78" s="161" t="s">
        <v>160</v>
      </c>
      <c r="D78" s="484" t="e">
        <f>_xll.qlECBNextCode(_xll.qlECBdate(D77))</f>
        <v>#NUM!</v>
      </c>
      <c r="E78" s="199" t="e">
        <f t="shared" si="4"/>
        <v>#NUM!</v>
      </c>
      <c r="F78" s="199" t="e">
        <f>_xll.qlSimpleQuote(Currency&amp;$B78&amp;$C78&amp;$D78&amp;QuoteSuffix,,RateTickValue,Permanent,Trigger,ObjectOverwrite)</f>
        <v>#VALUE!</v>
      </c>
      <c r="G78" s="43" t="str">
        <f ca="1">_xll.ohRangeRetrieveError(F78)</f>
        <v/>
      </c>
      <c r="H78" s="42"/>
    </row>
    <row r="79" spans="1:8" x14ac:dyDescent="0.2">
      <c r="A79" s="116"/>
      <c r="B79" s="161" t="s">
        <v>161</v>
      </c>
      <c r="C79" s="161" t="s">
        <v>160</v>
      </c>
      <c r="D79" s="484" t="e">
        <f>_xll.qlECBNextCode(_xll.qlECBdate(D78))</f>
        <v>#NUM!</v>
      </c>
      <c r="E79" s="199" t="e">
        <f t="shared" si="4"/>
        <v>#NUM!</v>
      </c>
      <c r="F79" s="199" t="e">
        <f>_xll.qlSimpleQuote(Currency&amp;$B79&amp;$C79&amp;$D79&amp;QuoteSuffix,,RateTickValue,Permanent,Trigger,ObjectOverwrite)</f>
        <v>#VALUE!</v>
      </c>
      <c r="G79" s="43" t="str">
        <f ca="1">_xll.ohRangeRetrieveError(F79)</f>
        <v/>
      </c>
      <c r="H79" s="42"/>
    </row>
    <row r="80" spans="1:8" x14ac:dyDescent="0.2">
      <c r="A80" s="116"/>
      <c r="B80" s="161" t="s">
        <v>161</v>
      </c>
      <c r="C80" s="161" t="s">
        <v>160</v>
      </c>
      <c r="D80" s="484" t="e">
        <f>_xll.qlECBNextCode(_xll.qlECBdate(D79))</f>
        <v>#NUM!</v>
      </c>
      <c r="E80" s="199" t="e">
        <f t="shared" si="4"/>
        <v>#NUM!</v>
      </c>
      <c r="F80" s="199" t="e">
        <f>_xll.qlSimpleQuote(Currency&amp;$B80&amp;$C80&amp;$D80&amp;QuoteSuffix,,RateTickValue,Permanent,Trigger,ObjectOverwrite)</f>
        <v>#VALUE!</v>
      </c>
      <c r="G80" s="43" t="str">
        <f ca="1">_xll.ohRangeRetrieveError(F80)</f>
        <v/>
      </c>
      <c r="H80" s="42"/>
    </row>
    <row r="81" spans="1:8" x14ac:dyDescent="0.2">
      <c r="A81" s="116"/>
      <c r="B81" s="161" t="s">
        <v>161</v>
      </c>
      <c r="C81" s="161" t="s">
        <v>160</v>
      </c>
      <c r="D81" s="484" t="e">
        <f>_xll.qlECBNextCode(_xll.qlECBdate(D80))</f>
        <v>#NUM!</v>
      </c>
      <c r="E81" s="199" t="e">
        <f t="shared" si="4"/>
        <v>#NUM!</v>
      </c>
      <c r="F81" s="199" t="e">
        <f>_xll.qlSimpleQuote(Currency&amp;$B81&amp;$C81&amp;$D81&amp;QuoteSuffix,,RateTickValue,Permanent,Trigger,ObjectOverwrite)</f>
        <v>#VALUE!</v>
      </c>
      <c r="G81" s="43" t="str">
        <f ca="1">_xll.ohRangeRetrieveError(F81)</f>
        <v/>
      </c>
      <c r="H81" s="42"/>
    </row>
    <row r="82" spans="1:8" x14ac:dyDescent="0.2">
      <c r="A82" s="116"/>
      <c r="B82" s="161" t="s">
        <v>161</v>
      </c>
      <c r="C82" s="161" t="s">
        <v>160</v>
      </c>
      <c r="D82" s="484" t="e">
        <f>_xll.qlECBNextCode(_xll.qlECBdate(D81))</f>
        <v>#NUM!</v>
      </c>
      <c r="E82" s="199" t="e">
        <f t="shared" si="4"/>
        <v>#NUM!</v>
      </c>
      <c r="F82" s="199" t="e">
        <f>_xll.qlSimpleQuote(Currency&amp;$B82&amp;$C82&amp;$D82&amp;QuoteSuffix,,RateTickValue,Permanent,Trigger,ObjectOverwrite)</f>
        <v>#VALUE!</v>
      </c>
      <c r="G82" s="43" t="str">
        <f ca="1">_xll.ohRangeRetrieveError(F82)</f>
        <v/>
      </c>
      <c r="H82" s="42"/>
    </row>
    <row r="83" spans="1:8" x14ac:dyDescent="0.2">
      <c r="A83" s="116"/>
      <c r="B83" s="161" t="s">
        <v>161</v>
      </c>
      <c r="C83" s="161" t="s">
        <v>160</v>
      </c>
      <c r="D83" s="484" t="e">
        <f>_xll.qlECBNextCode(_xll.qlECBdate(D82))</f>
        <v>#NUM!</v>
      </c>
      <c r="E83" s="199" t="e">
        <f t="shared" si="4"/>
        <v>#NUM!</v>
      </c>
      <c r="F83" s="199" t="e">
        <f>_xll.qlSimpleQuote(Currency&amp;$B83&amp;$C83&amp;$D83&amp;QuoteSuffix,,RateTickValue,Permanent,Trigger,ObjectOverwrite)</f>
        <v>#VALUE!</v>
      </c>
      <c r="G83" s="43" t="str">
        <f ca="1">_xll.ohRangeRetrieveError(F83)</f>
        <v/>
      </c>
      <c r="H83" s="42"/>
    </row>
    <row r="84" spans="1:8" x14ac:dyDescent="0.2">
      <c r="A84" s="116"/>
      <c r="B84" s="161" t="s">
        <v>161</v>
      </c>
      <c r="C84" s="161" t="s">
        <v>160</v>
      </c>
      <c r="D84" s="484" t="e">
        <f>_xll.qlECBNextCode(_xll.qlECBdate(D83))</f>
        <v>#NUM!</v>
      </c>
      <c r="E84" s="199" t="e">
        <f t="shared" si="4"/>
        <v>#NUM!</v>
      </c>
      <c r="F84" s="199" t="e">
        <f>_xll.qlSimpleQuote(Currency&amp;$B84&amp;$C84&amp;$D84&amp;QuoteSuffix,,RateTickValue,Permanent,Trigger,ObjectOverwrite)</f>
        <v>#VALUE!</v>
      </c>
      <c r="G84" s="43" t="str">
        <f ca="1">_xll.ohRangeRetrieveError(F84)</f>
        <v/>
      </c>
      <c r="H84" s="42"/>
    </row>
    <row r="85" spans="1:8" x14ac:dyDescent="0.2">
      <c r="A85" s="116"/>
      <c r="B85" s="161" t="s">
        <v>161</v>
      </c>
      <c r="C85" s="161" t="s">
        <v>160</v>
      </c>
      <c r="D85" s="484" t="e">
        <f>_xll.qlECBNextCode(_xll.qlECBdate(D84))</f>
        <v>#NUM!</v>
      </c>
      <c r="E85" s="199" t="e">
        <f t="shared" si="4"/>
        <v>#NUM!</v>
      </c>
      <c r="F85" s="199" t="e">
        <f>_xll.qlSimpleQuote(Currency&amp;$B85&amp;$C85&amp;$D85&amp;QuoteSuffix,,RateTickValue,Permanent,Trigger,ObjectOverwrite)</f>
        <v>#VALUE!</v>
      </c>
      <c r="G85" s="43" t="str">
        <f ca="1">_xll.ohRangeRetrieveError(F85)</f>
        <v/>
      </c>
      <c r="H85" s="42"/>
    </row>
    <row r="86" spans="1:8" x14ac:dyDescent="0.2">
      <c r="A86" s="116"/>
      <c r="B86" s="161" t="s">
        <v>161</v>
      </c>
      <c r="C86" s="161" t="s">
        <v>160</v>
      </c>
      <c r="D86" s="484" t="e">
        <f>_xll.qlECBNextCode(_xll.qlECBdate(D85))</f>
        <v>#NUM!</v>
      </c>
      <c r="E86" s="199" t="e">
        <f t="shared" si="4"/>
        <v>#NUM!</v>
      </c>
      <c r="F86" s="199" t="e">
        <f>_xll.qlSimpleQuote(Currency&amp;$B86&amp;$C86&amp;$D86&amp;QuoteSuffix,,RateTickValue,Permanent,Trigger,ObjectOverwrite)</f>
        <v>#VALUE!</v>
      </c>
      <c r="G86" s="43" t="str">
        <f ca="1">_xll.ohRangeRetrieveError(F86)</f>
        <v/>
      </c>
      <c r="H86" s="42"/>
    </row>
    <row r="87" spans="1:8" x14ac:dyDescent="0.2">
      <c r="A87" s="116"/>
      <c r="B87" s="161" t="s">
        <v>161</v>
      </c>
      <c r="C87" s="161" t="s">
        <v>160</v>
      </c>
      <c r="D87" s="484" t="e">
        <f>_xll.qlECBNextCode(_xll.qlECBdate(D86))</f>
        <v>#NUM!</v>
      </c>
      <c r="E87" s="199" t="e">
        <f t="shared" si="4"/>
        <v>#NUM!</v>
      </c>
      <c r="F87" s="199" t="e">
        <f>_xll.qlSimpleQuote(Currency&amp;$B87&amp;$C87&amp;$D87&amp;QuoteSuffix,,RateTickValue,Permanent,Trigger,ObjectOverwrite)</f>
        <v>#VALUE!</v>
      </c>
      <c r="G87" s="43" t="str">
        <f ca="1">_xll.ohRangeRetrieveError(F87)</f>
        <v/>
      </c>
      <c r="H87" s="42"/>
    </row>
    <row r="88" spans="1:8" x14ac:dyDescent="0.2">
      <c r="A88" s="116"/>
      <c r="B88" s="161" t="s">
        <v>161</v>
      </c>
      <c r="C88" s="161" t="s">
        <v>160</v>
      </c>
      <c r="D88" s="484" t="e">
        <f>_xll.qlECBNextCode(_xll.qlECBdate(D87))</f>
        <v>#NUM!</v>
      </c>
      <c r="E88" s="199" t="e">
        <f t="shared" si="4"/>
        <v>#NUM!</v>
      </c>
      <c r="F88" s="199" t="e">
        <f>_xll.qlSimpleQuote(Currency&amp;$B88&amp;$C88&amp;$D88&amp;QuoteSuffix,,RateTickValue,Permanent,Trigger,ObjectOverwrite)</f>
        <v>#VALUE!</v>
      </c>
      <c r="G88" s="43" t="str">
        <f ca="1">_xll.ohRangeRetrieveError(F88)</f>
        <v/>
      </c>
      <c r="H88" s="42"/>
    </row>
    <row r="89" spans="1:8" x14ac:dyDescent="0.2">
      <c r="A89" s="116"/>
      <c r="B89" s="161" t="s">
        <v>161</v>
      </c>
      <c r="C89" s="161" t="s">
        <v>160</v>
      </c>
      <c r="D89" s="484" t="e">
        <f>_xll.qlECBNextCode(_xll.qlECBdate(D88))</f>
        <v>#NUM!</v>
      </c>
      <c r="E89" s="199" t="e">
        <f t="shared" si="4"/>
        <v>#NUM!</v>
      </c>
      <c r="F89" s="199" t="e">
        <f>_xll.qlSimpleQuote(Currency&amp;$B89&amp;$C89&amp;$D89&amp;QuoteSuffix,,RateTickValue,Permanent,Trigger,ObjectOverwrite)</f>
        <v>#VALUE!</v>
      </c>
      <c r="G89" s="43" t="str">
        <f ca="1">_xll.ohRangeRetrieveError(F89)</f>
        <v/>
      </c>
      <c r="H89" s="42"/>
    </row>
    <row r="90" spans="1:8" x14ac:dyDescent="0.2">
      <c r="A90" s="116"/>
      <c r="B90" s="161" t="s">
        <v>161</v>
      </c>
      <c r="C90" s="161" t="s">
        <v>160</v>
      </c>
      <c r="D90" s="484" t="e">
        <f>_xll.qlECBNextCode(_xll.qlECBdate(D89))</f>
        <v>#NUM!</v>
      </c>
      <c r="E90" s="199" t="e">
        <f t="shared" si="4"/>
        <v>#NUM!</v>
      </c>
      <c r="F90" s="199" t="e">
        <f>_xll.qlSimpleQuote(Currency&amp;$B90&amp;$C90&amp;$D90&amp;QuoteSuffix,,RateTickValue,Permanent,Trigger,ObjectOverwrite)</f>
        <v>#VALUE!</v>
      </c>
      <c r="G90" s="43" t="str">
        <f ca="1">_xll.ohRangeRetrieveError(F90)</f>
        <v/>
      </c>
      <c r="H90" s="42"/>
    </row>
    <row r="91" spans="1:8" x14ac:dyDescent="0.2">
      <c r="A91" s="116"/>
      <c r="B91" s="161" t="s">
        <v>161</v>
      </c>
      <c r="C91" s="161" t="s">
        <v>160</v>
      </c>
      <c r="D91" s="484" t="e">
        <f>_xll.qlECBNextCode(_xll.qlECBdate(D90))</f>
        <v>#NUM!</v>
      </c>
      <c r="E91" s="199" t="e">
        <f t="shared" si="4"/>
        <v>#NUM!</v>
      </c>
      <c r="F91" s="199" t="e">
        <f>_xll.qlSimpleQuote(Currency&amp;$B91&amp;$C91&amp;$D91&amp;QuoteSuffix,,RateTickValue,Permanent,Trigger,ObjectOverwrite)</f>
        <v>#VALUE!</v>
      </c>
      <c r="G91" s="43" t="str">
        <f ca="1">_xll.ohRangeRetrieveError(F91)</f>
        <v/>
      </c>
      <c r="H91" s="42"/>
    </row>
    <row r="92" spans="1:8" x14ac:dyDescent="0.2">
      <c r="A92" s="116"/>
      <c r="B92" s="161" t="s">
        <v>161</v>
      </c>
      <c r="C92" s="161" t="s">
        <v>160</v>
      </c>
      <c r="D92" s="484" t="e">
        <f>_xll.qlECBNextCode(_xll.qlECBdate(D91))</f>
        <v>#NUM!</v>
      </c>
      <c r="E92" s="199" t="e">
        <f t="shared" si="4"/>
        <v>#NUM!</v>
      </c>
      <c r="F92" s="199" t="e">
        <f>_xll.qlSimpleQuote(Currency&amp;$B92&amp;$C92&amp;$D92&amp;QuoteSuffix,,RateTickValue,Permanent,Trigger,ObjectOverwrite)</f>
        <v>#VALUE!</v>
      </c>
      <c r="G92" s="43" t="str">
        <f ca="1">_xll.ohRangeRetrieveError(F92)</f>
        <v/>
      </c>
      <c r="H92" s="42"/>
    </row>
    <row r="93" spans="1:8" x14ac:dyDescent="0.2">
      <c r="A93" s="116"/>
      <c r="B93" s="161" t="s">
        <v>161</v>
      </c>
      <c r="C93" s="161" t="s">
        <v>160</v>
      </c>
      <c r="D93" s="484" t="e">
        <f>_xll.qlECBNextCode(_xll.qlECBdate(D92))</f>
        <v>#NUM!</v>
      </c>
      <c r="E93" s="199" t="e">
        <f t="shared" si="4"/>
        <v>#NUM!</v>
      </c>
      <c r="F93" s="199" t="e">
        <f>_xll.qlSimpleQuote(Currency&amp;$B93&amp;$C93&amp;$D93&amp;QuoteSuffix,,RateTickValue,Permanent,Trigger,ObjectOverwrite)</f>
        <v>#VALUE!</v>
      </c>
      <c r="G93" s="43" t="str">
        <f ca="1">_xll.ohRangeRetrieveError(F93)</f>
        <v/>
      </c>
      <c r="H93" s="42"/>
    </row>
    <row r="94" spans="1:8" x14ac:dyDescent="0.2">
      <c r="A94" s="116"/>
      <c r="B94" s="161" t="s">
        <v>161</v>
      </c>
      <c r="C94" s="161" t="s">
        <v>160</v>
      </c>
      <c r="D94" s="484" t="e">
        <f>_xll.qlECBNextCode(_xll.qlECBdate(D93))</f>
        <v>#NUM!</v>
      </c>
      <c r="E94" s="199" t="e">
        <f t="shared" si="4"/>
        <v>#NUM!</v>
      </c>
      <c r="F94" s="199" t="e">
        <f>_xll.qlSimpleQuote(Currency&amp;$B94&amp;$C94&amp;$D94&amp;QuoteSuffix,,RateTickValue,Permanent,Trigger,ObjectOverwrite)</f>
        <v>#VALUE!</v>
      </c>
      <c r="G94" s="43" t="str">
        <f ca="1">_xll.ohRangeRetrieveError(F94)</f>
        <v/>
      </c>
      <c r="H94" s="42"/>
    </row>
    <row r="95" spans="1:8" x14ac:dyDescent="0.2">
      <c r="A95" s="116"/>
      <c r="B95" s="161" t="s">
        <v>161</v>
      </c>
      <c r="C95" s="161" t="s">
        <v>160</v>
      </c>
      <c r="D95" s="484" t="e">
        <f>_xll.qlECBNextCode(_xll.qlECBdate(D94))</f>
        <v>#NUM!</v>
      </c>
      <c r="E95" s="199" t="e">
        <f t="shared" si="4"/>
        <v>#NUM!</v>
      </c>
      <c r="F95" s="199" t="e">
        <f>_xll.qlSimpleQuote(Currency&amp;$B95&amp;$C95&amp;$D95&amp;QuoteSuffix,,RateTickValue,Permanent,Trigger,ObjectOverwrite)</f>
        <v>#VALUE!</v>
      </c>
      <c r="G95" s="43" t="str">
        <f ca="1">_xll.ohRangeRetrieveError(F95)</f>
        <v/>
      </c>
      <c r="H95" s="42"/>
    </row>
    <row r="96" spans="1:8" ht="12" thickBot="1" x14ac:dyDescent="0.25">
      <c r="A96" s="41"/>
      <c r="B96" s="40"/>
      <c r="C96" s="40"/>
      <c r="D96" s="40"/>
      <c r="E96" s="40"/>
      <c r="F96" s="110"/>
      <c r="G96" s="110"/>
      <c r="H96" s="39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G16" sqref="G16"/>
    </sheetView>
  </sheetViews>
  <sheetFormatPr defaultRowHeight="12.75" x14ac:dyDescent="0.2"/>
  <cols>
    <col min="1" max="1" width="2.7109375" style="18" customWidth="1"/>
    <col min="2" max="2" width="4.85546875" style="109" bestFit="1" customWidth="1"/>
    <col min="3" max="3" width="2.7109375" style="18" bestFit="1" customWidth="1"/>
    <col min="4" max="4" width="3.85546875" style="18" bestFit="1" customWidth="1"/>
    <col min="5" max="5" width="16.140625" style="18" bestFit="1" customWidth="1"/>
    <col min="6" max="6" width="18" style="108" bestFit="1" customWidth="1"/>
    <col min="7" max="7" width="38.28515625" style="18" customWidth="1"/>
    <col min="8" max="10" width="2.7109375" style="18" customWidth="1"/>
    <col min="11" max="14" width="9.140625" style="18"/>
    <col min="15" max="15" width="12.7109375" style="18" bestFit="1" customWidth="1"/>
    <col min="16" max="18" width="9.140625" style="18"/>
    <col min="19" max="19" width="10.5703125" style="18" customWidth="1"/>
    <col min="20" max="20" width="9.140625" style="18"/>
    <col min="21" max="21" width="2.7109375" style="18" customWidth="1"/>
    <col min="22" max="22" width="9.140625" style="18"/>
    <col min="23" max="23" width="2.7109375" style="18" customWidth="1"/>
    <col min="24" max="25" width="9.140625" style="18"/>
    <col min="26" max="26" width="2.7109375" style="18" customWidth="1"/>
    <col min="27" max="16384" width="9.140625" style="18"/>
  </cols>
  <sheetData>
    <row r="1" spans="1:28" x14ac:dyDescent="0.2">
      <c r="J1" s="28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67"/>
    </row>
    <row r="2" spans="1:28" ht="13.5" thickBot="1" x14ac:dyDescent="0.25">
      <c r="J2" s="256"/>
      <c r="K2" s="223"/>
      <c r="L2" s="223"/>
      <c r="M2" s="223"/>
      <c r="N2" s="223"/>
      <c r="O2" s="138" t="s">
        <v>220</v>
      </c>
      <c r="P2" s="223"/>
      <c r="Q2" s="223"/>
      <c r="R2" s="223"/>
      <c r="S2" s="223"/>
      <c r="T2" s="131"/>
      <c r="U2" s="223"/>
      <c r="V2" s="223"/>
      <c r="W2" s="223"/>
      <c r="X2" s="223"/>
      <c r="Y2" s="131"/>
      <c r="Z2" s="42"/>
    </row>
    <row r="3" spans="1:28" x14ac:dyDescent="0.2">
      <c r="A3" s="188" t="s">
        <v>191</v>
      </c>
      <c r="B3" s="170"/>
      <c r="C3" s="170"/>
      <c r="D3" s="170"/>
      <c r="E3" s="168"/>
      <c r="F3" s="169"/>
      <c r="G3" s="168"/>
      <c r="H3" s="167"/>
      <c r="J3" s="116"/>
      <c r="K3" s="223"/>
      <c r="L3" s="131"/>
      <c r="M3" s="131"/>
      <c r="N3" s="131"/>
      <c r="O3" s="131"/>
      <c r="P3" s="131"/>
      <c r="Q3" s="131"/>
      <c r="R3" s="131"/>
      <c r="S3" s="131"/>
      <c r="T3" s="131"/>
      <c r="U3" s="223"/>
      <c r="V3" s="223"/>
      <c r="W3" s="223"/>
      <c r="X3" s="131"/>
      <c r="Y3" s="253">
        <f>_xll.ohTrigger(Y5:Y15)</f>
        <v>34</v>
      </c>
      <c r="Z3" s="189"/>
    </row>
    <row r="4" spans="1:28" x14ac:dyDescent="0.2">
      <c r="A4" s="116"/>
      <c r="B4" s="166"/>
      <c r="C4" s="165"/>
      <c r="D4" s="86"/>
      <c r="E4" s="85" t="str">
        <f>Currency&amp;"_010_Sw"&amp;"1M.xml"</f>
        <v>USD_010_Sw1M.xml</v>
      </c>
      <c r="F4" s="84" t="str">
        <f>IF(Serialize,_xll.ohObjectSave(F5:F15,SerializationPath&amp;E4,FileOverwrite,Serialize),"---")</f>
        <v>---</v>
      </c>
      <c r="G4" s="68" t="str">
        <f>_xll.ohRangeRetrieveError(F4)</f>
        <v/>
      </c>
      <c r="H4" s="42"/>
      <c r="J4" s="116"/>
      <c r="K4" s="285"/>
      <c r="L4" s="165"/>
      <c r="M4" s="165"/>
      <c r="N4" s="165"/>
      <c r="O4" s="218" t="str">
        <f>_xll.RData(O5:O18,P4:S4,"RTFEED:IDN",ReutersRtMode,,P5)</f>
        <v>Paused at 15:28:02</v>
      </c>
      <c r="P4" s="284" t="s">
        <v>207</v>
      </c>
      <c r="Q4" s="284" t="s">
        <v>206</v>
      </c>
      <c r="R4" s="284" t="s">
        <v>224</v>
      </c>
      <c r="S4" s="284" t="s">
        <v>242</v>
      </c>
      <c r="T4" s="249" t="s">
        <v>241</v>
      </c>
      <c r="U4" s="223"/>
      <c r="V4" s="251" t="s">
        <v>237</v>
      </c>
      <c r="W4" s="223"/>
      <c r="X4" s="454" t="s">
        <v>235</v>
      </c>
      <c r="Y4" s="87" t="s">
        <v>234</v>
      </c>
      <c r="Z4" s="189"/>
      <c r="AB4" s="282" t="s">
        <v>240</v>
      </c>
    </row>
    <row r="5" spans="1:28" x14ac:dyDescent="0.2">
      <c r="A5" s="116"/>
      <c r="B5" s="164"/>
      <c r="C5" s="71">
        <v>2</v>
      </c>
      <c r="D5" s="70" t="s">
        <v>179</v>
      </c>
      <c r="E5" s="69" t="str">
        <f t="shared" ref="E5:E15" si="0">Currency&amp;$C5&amp;$D5&amp;$B5&amp;QuoteSuffix</f>
        <v>USD2X1S_Quote</v>
      </c>
      <c r="F5" s="69" t="str">
        <f>_xll.qlSimpleQuote(Currency&amp;$C5&amp;$D5&amp;$B5&amp;QuoteSuffix,,RateTickValue,Permanent,Trigger,ObjectOverwrite)</f>
        <v>USD2X1S_Quote#0000</v>
      </c>
      <c r="G5" s="23" t="str">
        <f>_xll.ohRangeRetrieveError(F5)</f>
        <v/>
      </c>
      <c r="H5" s="42"/>
      <c r="J5" s="116"/>
      <c r="K5" s="222"/>
      <c r="L5" s="276">
        <v>2</v>
      </c>
      <c r="M5" s="276" t="s">
        <v>179</v>
      </c>
      <c r="N5" s="226" t="str">
        <f t="shared" ref="N5:N18" si="1">Currency&amp;$L5&amp;$M5&amp;$K5</f>
        <v>USD2X1S</v>
      </c>
      <c r="O5" s="226" t="str">
        <f t="array" ref="O5:O18">Instruments&amp;"="&amp;VLOOKUP(Contributor,ContributorTable,2,FALSE)</f>
        <v>USD2X1S=ICAP</v>
      </c>
      <c r="P5" s="221">
        <v>0.126</v>
      </c>
      <c r="Q5" s="221">
        <v>0.17599999999999999</v>
      </c>
      <c r="R5" s="221">
        <v>0</v>
      </c>
      <c r="S5" s="221">
        <v>0</v>
      </c>
      <c r="T5" s="225">
        <f>_xll.qlMidSafe($P5,$Q5)</f>
        <v>0.151</v>
      </c>
      <c r="U5" s="223"/>
      <c r="V5" s="224">
        <v>0.17199999999999999</v>
      </c>
      <c r="W5" s="223"/>
      <c r="X5" s="296">
        <f t="array" ref="X5:X18">QuoteLive</f>
        <v>0.151</v>
      </c>
      <c r="Y5" s="220">
        <f>_xll.qlSimpleQuoteSetValue(F5,X5/100,Trigger)</f>
        <v>0</v>
      </c>
      <c r="Z5" s="189"/>
      <c r="AB5" s="258">
        <f t="shared" ref="AB5:AB15" si="2">(Q5-T5)/50</f>
        <v>4.999999999999999E-4</v>
      </c>
    </row>
    <row r="6" spans="1:28" x14ac:dyDescent="0.2">
      <c r="A6" s="116"/>
      <c r="B6" s="163"/>
      <c r="C6" s="162">
        <v>3</v>
      </c>
      <c r="D6" s="161" t="s">
        <v>179</v>
      </c>
      <c r="E6" s="69" t="str">
        <f t="shared" si="0"/>
        <v>USD3X1S_Quote</v>
      </c>
      <c r="F6" s="69" t="str">
        <f>_xll.qlSimpleQuote(Currency&amp;$C6&amp;$D6&amp;$B6&amp;QuoteSuffix,,RateTickValue,Permanent,Trigger,ObjectOverwrite)</f>
        <v>USD3X1S_Quote#0000</v>
      </c>
      <c r="G6" s="160" t="str">
        <f>_xll.ohRangeRetrieveError(F6)</f>
        <v/>
      </c>
      <c r="H6" s="42"/>
      <c r="J6" s="116"/>
      <c r="K6" s="222"/>
      <c r="L6" s="276">
        <v>3</v>
      </c>
      <c r="M6" s="276" t="s">
        <v>179</v>
      </c>
      <c r="N6" s="226" t="str">
        <f t="shared" si="1"/>
        <v>USD3X1S</v>
      </c>
      <c r="O6" s="226" t="str">
        <v>USD3X1S=ICAP</v>
      </c>
      <c r="P6" s="221">
        <v>0.127</v>
      </c>
      <c r="Q6" s="221">
        <v>0.17699999999999999</v>
      </c>
      <c r="R6" s="221">
        <v>0</v>
      </c>
      <c r="S6" s="221">
        <v>0</v>
      </c>
      <c r="T6" s="225">
        <f>_xll.qlMidSafe($P6,$Q6)</f>
        <v>0.152</v>
      </c>
      <c r="U6" s="223"/>
      <c r="V6" s="224">
        <v>0.17399999999999999</v>
      </c>
      <c r="W6" s="223"/>
      <c r="X6" s="296">
        <v>0.152</v>
      </c>
      <c r="Y6" s="220">
        <f>_xll.qlSimpleQuoteSetValue(F6,X6/100,Trigger)</f>
        <v>0</v>
      </c>
      <c r="Z6" s="189"/>
      <c r="AB6" s="258">
        <f t="shared" si="2"/>
        <v>4.999999999999999E-4</v>
      </c>
    </row>
    <row r="7" spans="1:28" x14ac:dyDescent="0.2">
      <c r="A7" s="116"/>
      <c r="B7" s="163"/>
      <c r="C7" s="162">
        <v>4</v>
      </c>
      <c r="D7" s="161" t="s">
        <v>179</v>
      </c>
      <c r="E7" s="69" t="str">
        <f t="shared" si="0"/>
        <v>USD4X1S_Quote</v>
      </c>
      <c r="F7" s="69" t="str">
        <f>_xll.qlSimpleQuote(Currency&amp;$C7&amp;$D7&amp;$B7&amp;QuoteSuffix,,RateTickValue,Permanent,Trigger,ObjectOverwrite)</f>
        <v>USD4X1S_Quote#0000</v>
      </c>
      <c r="G7" s="160" t="str">
        <f>_xll.ohRangeRetrieveError(F7)</f>
        <v/>
      </c>
      <c r="H7" s="42"/>
      <c r="J7" s="116"/>
      <c r="K7" s="222"/>
      <c r="L7" s="276">
        <v>4</v>
      </c>
      <c r="M7" s="276" t="s">
        <v>179</v>
      </c>
      <c r="N7" s="226" t="str">
        <f t="shared" si="1"/>
        <v>USD4X1S</v>
      </c>
      <c r="O7" s="226" t="str">
        <v>USD4X1S=ICAP</v>
      </c>
      <c r="P7" s="221">
        <v>0.129</v>
      </c>
      <c r="Q7" s="221">
        <v>0.17899999999999999</v>
      </c>
      <c r="R7" s="221">
        <v>0</v>
      </c>
      <c r="S7" s="221">
        <v>0</v>
      </c>
      <c r="T7" s="225">
        <f>_xll.qlMidSafe($P7,$Q7)</f>
        <v>0.154</v>
      </c>
      <c r="U7" s="223"/>
      <c r="V7" s="224">
        <v>0.17699999999999999</v>
      </c>
      <c r="W7" s="223"/>
      <c r="X7" s="296">
        <v>0.154</v>
      </c>
      <c r="Y7" s="220">
        <f>_xll.qlSimpleQuoteSetValue(F7,X7/100,Trigger)</f>
        <v>0</v>
      </c>
      <c r="Z7" s="189"/>
      <c r="AB7" s="258">
        <f t="shared" si="2"/>
        <v>4.999999999999999E-4</v>
      </c>
    </row>
    <row r="8" spans="1:28" x14ac:dyDescent="0.2">
      <c r="A8" s="116"/>
      <c r="B8" s="163"/>
      <c r="C8" s="162">
        <v>5</v>
      </c>
      <c r="D8" s="161" t="s">
        <v>179</v>
      </c>
      <c r="E8" s="69" t="str">
        <f t="shared" si="0"/>
        <v>USD5X1S_Quote</v>
      </c>
      <c r="F8" s="69" t="str">
        <f>_xll.qlSimpleQuote(Currency&amp;$C8&amp;$D8&amp;$B8&amp;QuoteSuffix,,RateTickValue,Permanent,Trigger,ObjectOverwrite)</f>
        <v>USD5X1S_Quote#0000</v>
      </c>
      <c r="G8" s="160" t="str">
        <f>_xll.ohRangeRetrieveError(F8)</f>
        <v/>
      </c>
      <c r="H8" s="42"/>
      <c r="J8" s="116"/>
      <c r="K8" s="222"/>
      <c r="L8" s="276">
        <v>5</v>
      </c>
      <c r="M8" s="276" t="s">
        <v>179</v>
      </c>
      <c r="N8" s="226" t="str">
        <f t="shared" si="1"/>
        <v>USD5X1S</v>
      </c>
      <c r="O8" s="226" t="str">
        <v>USD5X1S=ICAP</v>
      </c>
      <c r="P8" s="221">
        <v>0.13100000000000001</v>
      </c>
      <c r="Q8" s="221">
        <v>0.18099999999999999</v>
      </c>
      <c r="R8" s="221">
        <v>0</v>
      </c>
      <c r="S8" s="221">
        <v>0</v>
      </c>
      <c r="T8" s="225">
        <f>_xll.qlMidSafe($P8,$Q8)</f>
        <v>0.156</v>
      </c>
      <c r="U8" s="223"/>
      <c r="V8" s="224">
        <v>0.18</v>
      </c>
      <c r="W8" s="223"/>
      <c r="X8" s="296">
        <v>0.156</v>
      </c>
      <c r="Y8" s="220">
        <f>_xll.qlSimpleQuoteSetValue(F8,X8/100,Trigger)</f>
        <v>0</v>
      </c>
      <c r="Z8" s="189"/>
      <c r="AB8" s="258">
        <f t="shared" si="2"/>
        <v>4.999999999999999E-4</v>
      </c>
    </row>
    <row r="9" spans="1:28" x14ac:dyDescent="0.2">
      <c r="A9" s="116"/>
      <c r="B9" s="163"/>
      <c r="C9" s="162">
        <v>6</v>
      </c>
      <c r="D9" s="161" t="s">
        <v>179</v>
      </c>
      <c r="E9" s="69" t="str">
        <f t="shared" si="0"/>
        <v>USD6X1S_Quote</v>
      </c>
      <c r="F9" s="69" t="str">
        <f>_xll.qlSimpleQuote(Currency&amp;$C9&amp;$D9&amp;$B9&amp;QuoteSuffix,,RateTickValue,Permanent,Trigger,ObjectOverwrite)</f>
        <v>USD6X1S_Quote#0000</v>
      </c>
      <c r="G9" s="160" t="str">
        <f>_xll.ohRangeRetrieveError(F9)</f>
        <v/>
      </c>
      <c r="H9" s="42"/>
      <c r="J9" s="116"/>
      <c r="K9" s="222"/>
      <c r="L9" s="276">
        <v>6</v>
      </c>
      <c r="M9" s="276" t="s">
        <v>179</v>
      </c>
      <c r="N9" s="226" t="str">
        <f t="shared" si="1"/>
        <v>USD6X1S</v>
      </c>
      <c r="O9" s="226" t="str">
        <v>USD6X1S=ICAP</v>
      </c>
      <c r="P9" s="221">
        <v>0.13300000000000001</v>
      </c>
      <c r="Q9" s="221">
        <v>0.183</v>
      </c>
      <c r="R9" s="221">
        <v>0</v>
      </c>
      <c r="S9" s="221">
        <v>0</v>
      </c>
      <c r="T9" s="225">
        <f>_xll.qlMidSafe($P9,$Q9)</f>
        <v>0.158</v>
      </c>
      <c r="U9" s="223"/>
      <c r="V9" s="224">
        <v>0.185</v>
      </c>
      <c r="W9" s="223"/>
      <c r="X9" s="296">
        <v>0.158</v>
      </c>
      <c r="Y9" s="220">
        <f>_xll.qlSimpleQuoteSetValue(F9,X9/100,Trigger)</f>
        <v>0</v>
      </c>
      <c r="Z9" s="189"/>
      <c r="AB9" s="258">
        <f t="shared" si="2"/>
        <v>4.999999999999999E-4</v>
      </c>
    </row>
    <row r="10" spans="1:28" x14ac:dyDescent="0.2">
      <c r="A10" s="116"/>
      <c r="B10" s="163"/>
      <c r="C10" s="162">
        <v>7</v>
      </c>
      <c r="D10" s="161" t="s">
        <v>179</v>
      </c>
      <c r="E10" s="69" t="str">
        <f t="shared" si="0"/>
        <v>USD7X1S_Quote</v>
      </c>
      <c r="F10" s="69" t="str">
        <f>_xll.qlSimpleQuote(Currency&amp;$C10&amp;$D10&amp;$B10&amp;QuoteSuffix,,RateTickValue,Permanent,Trigger,ObjectOverwrite)</f>
        <v>USD7X1S_Quote#0000</v>
      </c>
      <c r="G10" s="160" t="str">
        <f>_xll.ohRangeRetrieveError(F10)</f>
        <v/>
      </c>
      <c r="H10" s="42"/>
      <c r="J10" s="116"/>
      <c r="K10" s="222"/>
      <c r="L10" s="276">
        <v>7</v>
      </c>
      <c r="M10" s="276" t="s">
        <v>179</v>
      </c>
      <c r="N10" s="226" t="str">
        <f t="shared" si="1"/>
        <v>USD7X1S</v>
      </c>
      <c r="O10" s="226" t="str">
        <v>USD7X1S=ICAP</v>
      </c>
      <c r="P10" s="221">
        <v>0.13500000000000001</v>
      </c>
      <c r="Q10" s="221">
        <v>0.185</v>
      </c>
      <c r="R10" s="221">
        <v>0</v>
      </c>
      <c r="S10" s="221">
        <v>0</v>
      </c>
      <c r="T10" s="225">
        <f>_xll.qlMidSafe($P10,$Q10)</f>
        <v>0.16</v>
      </c>
      <c r="U10" s="223"/>
      <c r="V10" s="224">
        <v>0.19</v>
      </c>
      <c r="W10" s="223"/>
      <c r="X10" s="296">
        <v>0.16</v>
      </c>
      <c r="Y10" s="220">
        <f>_xll.qlSimpleQuoteSetValue(F10,X10/100,Trigger)</f>
        <v>0</v>
      </c>
      <c r="Z10" s="189"/>
      <c r="AB10" s="258">
        <f t="shared" si="2"/>
        <v>4.999999999999999E-4</v>
      </c>
    </row>
    <row r="11" spans="1:28" x14ac:dyDescent="0.2">
      <c r="A11" s="116"/>
      <c r="B11" s="163"/>
      <c r="C11" s="162">
        <v>8</v>
      </c>
      <c r="D11" s="161" t="s">
        <v>179</v>
      </c>
      <c r="E11" s="69" t="str">
        <f t="shared" si="0"/>
        <v>USD8X1S_Quote</v>
      </c>
      <c r="F11" s="69" t="str">
        <f>_xll.qlSimpleQuote(Currency&amp;$C11&amp;$D11&amp;$B11&amp;QuoteSuffix,,RateTickValue,Permanent,Trigger,ObjectOverwrite)</f>
        <v>USD8X1S_Quote#0000</v>
      </c>
      <c r="G11" s="160" t="str">
        <f>_xll.ohRangeRetrieveError(F11)</f>
        <v/>
      </c>
      <c r="H11" s="42"/>
      <c r="J11" s="116"/>
      <c r="K11" s="222"/>
      <c r="L11" s="276">
        <v>8</v>
      </c>
      <c r="M11" s="276" t="s">
        <v>179</v>
      </c>
      <c r="N11" s="226" t="str">
        <f t="shared" si="1"/>
        <v>USD8X1S</v>
      </c>
      <c r="O11" s="226" t="str">
        <v>USD8X1S=ICAP</v>
      </c>
      <c r="P11" s="221">
        <v>0.13800000000000001</v>
      </c>
      <c r="Q11" s="221">
        <v>0.188</v>
      </c>
      <c r="R11" s="221">
        <v>0</v>
      </c>
      <c r="S11" s="221">
        <v>0</v>
      </c>
      <c r="T11" s="225">
        <f>_xll.qlMidSafe($P11,$Q11)</f>
        <v>0.16300000000000001</v>
      </c>
      <c r="U11" s="223"/>
      <c r="V11" s="224">
        <v>0.19500000000000001</v>
      </c>
      <c r="W11" s="223"/>
      <c r="X11" s="296">
        <v>0.16300000000000001</v>
      </c>
      <c r="Y11" s="220">
        <f>_xll.qlSimpleQuoteSetValue(F11,X11/100,Trigger)</f>
        <v>0</v>
      </c>
      <c r="Z11" s="189"/>
      <c r="AB11" s="258">
        <f t="shared" si="2"/>
        <v>4.999999999999999E-4</v>
      </c>
    </row>
    <row r="12" spans="1:28" x14ac:dyDescent="0.2">
      <c r="A12" s="116"/>
      <c r="B12" s="163"/>
      <c r="C12" s="162">
        <v>9</v>
      </c>
      <c r="D12" s="161" t="s">
        <v>179</v>
      </c>
      <c r="E12" s="69" t="str">
        <f t="shared" si="0"/>
        <v>USD9X1S_Quote</v>
      </c>
      <c r="F12" s="69" t="str">
        <f>_xll.qlSimpleQuote(Currency&amp;$C12&amp;$D12&amp;$B12&amp;QuoteSuffix,,RateTickValue,Permanent,Trigger,ObjectOverwrite)</f>
        <v>USD9X1S_Quote#0000</v>
      </c>
      <c r="G12" s="160" t="str">
        <f>_xll.ohRangeRetrieveError(F12)</f>
        <v/>
      </c>
      <c r="H12" s="42"/>
      <c r="J12" s="116"/>
      <c r="K12" s="222"/>
      <c r="L12" s="276">
        <v>9</v>
      </c>
      <c r="M12" s="276" t="s">
        <v>179</v>
      </c>
      <c r="N12" s="226" t="str">
        <f t="shared" si="1"/>
        <v>USD9X1S</v>
      </c>
      <c r="O12" s="226" t="str">
        <v>USD9X1S=ICAP</v>
      </c>
      <c r="P12" s="221">
        <v>0.14199999999999999</v>
      </c>
      <c r="Q12" s="221">
        <v>0.192</v>
      </c>
      <c r="R12" s="221">
        <v>0</v>
      </c>
      <c r="S12" s="221">
        <v>0</v>
      </c>
      <c r="T12" s="225">
        <f>_xll.qlMidSafe($P12,$Q12)</f>
        <v>0.16699999999999998</v>
      </c>
      <c r="U12" s="223"/>
      <c r="V12" s="224">
        <v>0.20100000000000001</v>
      </c>
      <c r="W12" s="223"/>
      <c r="X12" s="296">
        <v>0.16699999999999998</v>
      </c>
      <c r="Y12" s="220">
        <f>_xll.qlSimpleQuoteSetValue(F12,X12/100,Trigger)</f>
        <v>0</v>
      </c>
      <c r="Z12" s="189"/>
      <c r="AB12" s="258">
        <f t="shared" si="2"/>
        <v>5.0000000000000044E-4</v>
      </c>
    </row>
    <row r="13" spans="1:28" x14ac:dyDescent="0.2">
      <c r="A13" s="116"/>
      <c r="B13" s="163"/>
      <c r="C13" s="162">
        <v>10</v>
      </c>
      <c r="D13" s="161" t="s">
        <v>179</v>
      </c>
      <c r="E13" s="69" t="str">
        <f t="shared" si="0"/>
        <v>USD10X1S_Quote</v>
      </c>
      <c r="F13" s="69" t="str">
        <f>_xll.qlSimpleQuote(Currency&amp;$C13&amp;$D13&amp;$B13&amp;QuoteSuffix,,RateTickValue,Permanent,Trigger,ObjectOverwrite)</f>
        <v>USD10X1S_Quote#0000</v>
      </c>
      <c r="G13" s="160" t="str">
        <f>_xll.ohRangeRetrieveError(F13)</f>
        <v/>
      </c>
      <c r="H13" s="42"/>
      <c r="J13" s="116"/>
      <c r="K13" s="222"/>
      <c r="L13" s="276">
        <v>10</v>
      </c>
      <c r="M13" s="276" t="s">
        <v>179</v>
      </c>
      <c r="N13" s="226" t="str">
        <f t="shared" si="1"/>
        <v>USD10X1S</v>
      </c>
      <c r="O13" s="226" t="str">
        <v>USD10X1S=ICAP</v>
      </c>
      <c r="P13" s="221">
        <v>0.14699999999999999</v>
      </c>
      <c r="Q13" s="221">
        <v>0.19700000000000001</v>
      </c>
      <c r="R13" s="221">
        <v>0</v>
      </c>
      <c r="S13" s="221">
        <v>0</v>
      </c>
      <c r="T13" s="225">
        <f>_xll.qlMidSafe($P13,$Q13)</f>
        <v>0.17199999999999999</v>
      </c>
      <c r="U13" s="223"/>
      <c r="V13" s="224">
        <v>0.20700000000000002</v>
      </c>
      <c r="W13" s="223"/>
      <c r="X13" s="296">
        <v>0.17199999999999999</v>
      </c>
      <c r="Y13" s="220">
        <f>_xll.qlSimpleQuoteSetValue(F13,X13/100,Trigger)</f>
        <v>0</v>
      </c>
      <c r="Z13" s="189"/>
      <c r="AB13" s="258">
        <f t="shared" si="2"/>
        <v>5.0000000000000044E-4</v>
      </c>
    </row>
    <row r="14" spans="1:28" x14ac:dyDescent="0.2">
      <c r="A14" s="116"/>
      <c r="B14" s="163"/>
      <c r="C14" s="162">
        <v>11</v>
      </c>
      <c r="D14" s="161" t="s">
        <v>179</v>
      </c>
      <c r="E14" s="69" t="str">
        <f t="shared" si="0"/>
        <v>USD11X1S_Quote</v>
      </c>
      <c r="F14" s="69" t="str">
        <f>_xll.qlSimpleQuote(Currency&amp;$C14&amp;$D14&amp;$B14&amp;QuoteSuffix,,RateTickValue,Permanent,Trigger,ObjectOverwrite)</f>
        <v>USD11X1S_Quote#0000</v>
      </c>
      <c r="G14" s="160" t="str">
        <f>_xll.ohRangeRetrieveError(F14)</f>
        <v/>
      </c>
      <c r="H14" s="42"/>
      <c r="J14" s="116"/>
      <c r="K14" s="222"/>
      <c r="L14" s="276">
        <v>11</v>
      </c>
      <c r="M14" s="276" t="s">
        <v>179</v>
      </c>
      <c r="N14" s="226" t="str">
        <f t="shared" si="1"/>
        <v>USD11X1S</v>
      </c>
      <c r="O14" s="226" t="str">
        <v>USD11X1S=ICAP</v>
      </c>
      <c r="P14" s="221">
        <v>0.153</v>
      </c>
      <c r="Q14" s="221">
        <v>0.20300000000000001</v>
      </c>
      <c r="R14" s="221">
        <v>0</v>
      </c>
      <c r="S14" s="221">
        <v>0</v>
      </c>
      <c r="T14" s="225">
        <f>_xll.qlMidSafe($P14,$Q14)</f>
        <v>0.17799999999999999</v>
      </c>
      <c r="U14" s="223"/>
      <c r="V14" s="224">
        <v>0.21299999999999999</v>
      </c>
      <c r="W14" s="223"/>
      <c r="X14" s="296">
        <v>0.17799999999999999</v>
      </c>
      <c r="Y14" s="220">
        <f>_xll.qlSimpleQuoteSetValue(F14,X14/100,Trigger)</f>
        <v>0</v>
      </c>
      <c r="Z14" s="189"/>
      <c r="AB14" s="258">
        <f t="shared" si="2"/>
        <v>5.0000000000000044E-4</v>
      </c>
    </row>
    <row r="15" spans="1:28" x14ac:dyDescent="0.2">
      <c r="A15" s="116"/>
      <c r="B15" s="163"/>
      <c r="C15" s="162">
        <v>12</v>
      </c>
      <c r="D15" s="161" t="s">
        <v>179</v>
      </c>
      <c r="E15" s="69" t="str">
        <f t="shared" si="0"/>
        <v>USD12X1S_Quote</v>
      </c>
      <c r="F15" s="69" t="str">
        <f>_xll.qlSimpleQuote(Currency&amp;$C15&amp;$D15&amp;$B15&amp;QuoteSuffix,,RateTickValue,Permanent,Trigger,ObjectOverwrite)</f>
        <v>USD12X1S_Quote#0000</v>
      </c>
      <c r="G15" s="160" t="str">
        <f>_xll.ohRangeRetrieveError(F15)</f>
        <v/>
      </c>
      <c r="H15" s="42"/>
      <c r="J15" s="116"/>
      <c r="K15" s="222"/>
      <c r="L15" s="276">
        <v>12</v>
      </c>
      <c r="M15" s="276" t="s">
        <v>179</v>
      </c>
      <c r="N15" s="226" t="str">
        <f t="shared" si="1"/>
        <v>USD12X1S</v>
      </c>
      <c r="O15" s="226" t="str">
        <v>USD12X1S=ICAP</v>
      </c>
      <c r="P15" s="221">
        <v>0.161</v>
      </c>
      <c r="Q15" s="221">
        <v>0.21099999999999999</v>
      </c>
      <c r="R15" s="221">
        <v>0</v>
      </c>
      <c r="S15" s="221">
        <v>0</v>
      </c>
      <c r="T15" s="225">
        <f>_xll.qlMidSafe($P15,$Q15)</f>
        <v>0.186</v>
      </c>
      <c r="U15" s="223"/>
      <c r="V15" s="224">
        <v>0.22</v>
      </c>
      <c r="W15" s="223"/>
      <c r="X15" s="296">
        <v>0.186</v>
      </c>
      <c r="Y15" s="220">
        <f>_xll.qlSimpleQuoteSetValue(F15,X15/100,Trigger)</f>
        <v>0</v>
      </c>
      <c r="Z15" s="189"/>
      <c r="AB15" s="258">
        <f t="shared" si="2"/>
        <v>4.999999999999999E-4</v>
      </c>
    </row>
    <row r="16" spans="1:28" ht="13.5" thickBot="1" x14ac:dyDescent="0.25">
      <c r="A16" s="41"/>
      <c r="B16" s="40"/>
      <c r="C16" s="40"/>
      <c r="D16" s="40"/>
      <c r="E16" s="40"/>
      <c r="F16" s="110"/>
      <c r="G16" s="110"/>
      <c r="H16" s="39"/>
      <c r="J16" s="116"/>
      <c r="K16" s="222"/>
      <c r="L16" s="276">
        <v>15</v>
      </c>
      <c r="M16" s="276" t="s">
        <v>179</v>
      </c>
      <c r="N16" s="226" t="str">
        <f t="shared" si="1"/>
        <v>USD15X1S</v>
      </c>
      <c r="O16" s="226" t="str">
        <v>USD15X1S=ICAP</v>
      </c>
      <c r="P16" s="221">
        <v>0.2</v>
      </c>
      <c r="Q16" s="221">
        <v>0.25</v>
      </c>
      <c r="R16" s="221">
        <v>0</v>
      </c>
      <c r="S16" s="221">
        <v>0</v>
      </c>
      <c r="T16" s="225">
        <f>_xll.qlMidSafe($P16,$Q16)</f>
        <v>0.22500000000000001</v>
      </c>
      <c r="U16" s="223"/>
      <c r="V16" s="224">
        <v>0.24399999999999999</v>
      </c>
      <c r="W16" s="223"/>
      <c r="X16" s="296">
        <v>0.22500000000000001</v>
      </c>
      <c r="Y16" s="220" t="e">
        <f>_xll.qlSimpleQuoteSetValue(F16,X16/100,Trigger)</f>
        <v>#NUM!</v>
      </c>
      <c r="Z16" s="189"/>
    </row>
    <row r="17" spans="10:26" x14ac:dyDescent="0.2">
      <c r="J17" s="116"/>
      <c r="K17" s="222"/>
      <c r="L17" s="276">
        <v>18</v>
      </c>
      <c r="M17" s="276" t="s">
        <v>179</v>
      </c>
      <c r="N17" s="226" t="str">
        <f t="shared" si="1"/>
        <v>USD18X1S</v>
      </c>
      <c r="O17" s="226" t="str">
        <v>USD18X1S=ICAP</v>
      </c>
      <c r="P17" s="221">
        <v>0.26200000000000001</v>
      </c>
      <c r="Q17" s="221">
        <v>0.312</v>
      </c>
      <c r="R17" s="221">
        <v>0</v>
      </c>
      <c r="S17" s="221">
        <v>0</v>
      </c>
      <c r="T17" s="225">
        <f>_xll.qlMidSafe($P17,$Q17)</f>
        <v>0.28700000000000003</v>
      </c>
      <c r="U17" s="223"/>
      <c r="V17" s="224">
        <v>0.27300000000000002</v>
      </c>
      <c r="W17" s="223"/>
      <c r="X17" s="296">
        <v>0.28700000000000003</v>
      </c>
      <c r="Y17" s="220" t="e">
        <f>_xll.qlSimpleQuoteSetValue(F17,X17/100,Trigger)</f>
        <v>#NUM!</v>
      </c>
      <c r="Z17" s="189"/>
    </row>
    <row r="18" spans="10:26" x14ac:dyDescent="0.2">
      <c r="J18" s="116"/>
      <c r="K18" s="222"/>
      <c r="L18" s="276">
        <v>24</v>
      </c>
      <c r="M18" s="276" t="s">
        <v>179</v>
      </c>
      <c r="N18" s="226" t="str">
        <f t="shared" si="1"/>
        <v>USD24X1S</v>
      </c>
      <c r="O18" s="226" t="str">
        <v>USD24X1S=ICAP</v>
      </c>
      <c r="P18" s="221">
        <v>0.443</v>
      </c>
      <c r="Q18" s="221">
        <v>0.49299999999999999</v>
      </c>
      <c r="R18" s="221">
        <v>0</v>
      </c>
      <c r="S18" s="221">
        <v>0</v>
      </c>
      <c r="T18" s="225">
        <f>_xll.qlMidSafe($P18,$Q18)</f>
        <v>0.46799999999999997</v>
      </c>
      <c r="U18" s="223"/>
      <c r="V18" s="236">
        <v>0.35099999999999998</v>
      </c>
      <c r="W18" s="223"/>
      <c r="X18" s="289">
        <v>0.46799999999999997</v>
      </c>
      <c r="Y18" s="233" t="e">
        <f>_xll.qlSimpleQuoteSetValue(F18,X18/100,Trigger)</f>
        <v>#NUM!</v>
      </c>
      <c r="Z18" s="189"/>
    </row>
    <row r="19" spans="10:26" ht="13.5" thickBot="1" x14ac:dyDescent="0.25">
      <c r="J19" s="41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40"/>
      <c r="V19" s="219"/>
      <c r="W19" s="40"/>
      <c r="X19" s="219"/>
      <c r="Y19" s="219"/>
      <c r="Z19" s="259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8" customWidth="1"/>
    <col min="2" max="2" width="4.85546875" style="109" bestFit="1" customWidth="1"/>
    <col min="3" max="3" width="2.85546875" style="18" bestFit="1" customWidth="1"/>
    <col min="4" max="4" width="2.7109375" style="18" bestFit="1" customWidth="1"/>
    <col min="5" max="5" width="17" style="18" bestFit="1" customWidth="1"/>
    <col min="6" max="6" width="16.85546875" style="108" bestFit="1" customWidth="1"/>
    <col min="7" max="7" width="38.28515625" style="18" customWidth="1"/>
    <col min="8" max="10" width="2.7109375" style="18" customWidth="1"/>
    <col min="11" max="20" width="9.140625" style="18"/>
    <col min="21" max="21" width="2.7109375" style="18" customWidth="1"/>
    <col min="22" max="22" width="9.140625" style="18"/>
    <col min="23" max="23" width="2.7109375" style="18" customWidth="1"/>
    <col min="24" max="25" width="9.140625" style="18"/>
    <col min="26" max="26" width="2.7109375" style="18" customWidth="1"/>
    <col min="27" max="16384" width="9.140625" style="18"/>
  </cols>
  <sheetData>
    <row r="1" spans="1:28" x14ac:dyDescent="0.2">
      <c r="J1" s="287" t="s">
        <v>286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67"/>
    </row>
    <row r="2" spans="1:28" ht="13.5" thickBot="1" x14ac:dyDescent="0.25">
      <c r="J2" s="256"/>
      <c r="K2" s="131"/>
      <c r="L2" s="223"/>
      <c r="M2" s="223"/>
      <c r="N2" s="223"/>
      <c r="O2" s="138" t="s">
        <v>220</v>
      </c>
      <c r="P2" s="223"/>
      <c r="Q2" s="223"/>
      <c r="R2" s="223"/>
      <c r="S2" s="223"/>
      <c r="T2" s="131"/>
      <c r="U2" s="223"/>
      <c r="V2" s="223"/>
      <c r="W2" s="223"/>
      <c r="X2" s="223"/>
      <c r="Y2" s="131"/>
      <c r="Z2" s="42"/>
    </row>
    <row r="3" spans="1:28" x14ac:dyDescent="0.2">
      <c r="A3" s="188" t="s">
        <v>191</v>
      </c>
      <c r="B3" s="170"/>
      <c r="C3" s="170"/>
      <c r="D3" s="170"/>
      <c r="E3" s="168"/>
      <c r="F3" s="169"/>
      <c r="G3" s="168"/>
      <c r="H3" s="167"/>
      <c r="J3" s="116"/>
      <c r="K3" s="223"/>
      <c r="L3" s="131"/>
      <c r="M3" s="131"/>
      <c r="N3" s="131"/>
      <c r="O3" s="131"/>
      <c r="P3" s="131"/>
      <c r="Q3" s="131"/>
      <c r="R3" s="131"/>
      <c r="S3" s="131"/>
      <c r="T3" s="131"/>
      <c r="U3" s="223"/>
      <c r="V3" s="223"/>
      <c r="W3" s="223"/>
      <c r="X3" s="131"/>
      <c r="Y3" s="253">
        <f>_xll.ohTrigger(Y5:Y11)</f>
        <v>32</v>
      </c>
      <c r="Z3" s="189"/>
    </row>
    <row r="4" spans="1:28" ht="22.5" x14ac:dyDescent="0.2">
      <c r="A4" s="116"/>
      <c r="B4" s="174"/>
      <c r="C4" s="173"/>
      <c r="D4" s="86"/>
      <c r="E4" s="85" t="str">
        <f>Currency&amp;"_010_Sw"&amp;"IMM.xml"</f>
        <v>USD_010_SwIMM.xml</v>
      </c>
      <c r="F4" s="84" t="str">
        <f>IF(Serialize,_xll.ohObjectSave(F5:F11,SerializationPath&amp;E4,FileOverwrite,Serialize),"---")</f>
        <v>---</v>
      </c>
      <c r="G4" s="68" t="str">
        <f>_xll.ohRangeRetrieveError(F4)</f>
        <v/>
      </c>
      <c r="H4" s="42"/>
      <c r="J4" s="116"/>
      <c r="K4" s="285"/>
      <c r="L4" s="165"/>
      <c r="M4" s="165"/>
      <c r="N4" s="165"/>
      <c r="O4" s="218" t="str">
        <f>_xll.RData(O5:O11,P4:S4,"RTFEED:IDN",ReutersRtMode,,P5)</f>
        <v>Paused at 15:28:02</v>
      </c>
      <c r="P4" s="284" t="s">
        <v>207</v>
      </c>
      <c r="Q4" s="284" t="s">
        <v>206</v>
      </c>
      <c r="R4" s="284" t="s">
        <v>224</v>
      </c>
      <c r="S4" s="284" t="s">
        <v>242</v>
      </c>
      <c r="T4" s="249" t="s">
        <v>241</v>
      </c>
      <c r="U4" s="223"/>
      <c r="V4" s="251" t="s">
        <v>237</v>
      </c>
      <c r="W4" s="223"/>
      <c r="X4" s="454" t="s">
        <v>235</v>
      </c>
      <c r="Y4" s="87" t="s">
        <v>234</v>
      </c>
      <c r="Z4" s="189"/>
      <c r="AB4" s="282" t="s">
        <v>240</v>
      </c>
    </row>
    <row r="5" spans="1:28" x14ac:dyDescent="0.2">
      <c r="A5" s="116"/>
      <c r="B5" s="172"/>
      <c r="C5" s="70" t="s">
        <v>180</v>
      </c>
      <c r="D5" s="70">
        <v>12</v>
      </c>
      <c r="E5" s="69" t="str">
        <f t="shared" ref="E5:E11" si="0">Currency&amp;$C5&amp;$D5&amp;$B5&amp;QuoteSuffix</f>
        <v>USD1S12_Quote</v>
      </c>
      <c r="F5" s="69" t="str">
        <f>_xll.qlSimpleQuote(Currency&amp;$C5&amp;$D5&amp;$B5&amp;QuoteSuffix,,RateTickValue,Permanent,Trigger,ObjectOverwrite)</f>
        <v>USD1S12_Quote#0000</v>
      </c>
      <c r="G5" s="23" t="str">
        <f>_xll.ohRangeRetrieveError(F5)</f>
        <v/>
      </c>
      <c r="H5" s="42"/>
      <c r="J5" s="116"/>
      <c r="K5" s="222"/>
      <c r="L5" s="276" t="s">
        <v>180</v>
      </c>
      <c r="M5" s="276">
        <v>12</v>
      </c>
      <c r="N5" s="226" t="str">
        <f t="shared" ref="N5:N11" si="1">Currency&amp;$L5&amp;$M5&amp;$K5</f>
        <v>USD1S12</v>
      </c>
      <c r="O5" s="226" t="str">
        <f t="array" ref="O5:O11">Instruments&amp;"="&amp;VLOOKUP(Contributor,ContributorTable,2,FALSE)</f>
        <v>USD1S12=ICAP</v>
      </c>
      <c r="P5" s="221">
        <v>0.26200000000000001</v>
      </c>
      <c r="Q5" s="221">
        <v>0.312</v>
      </c>
      <c r="R5" s="221">
        <v>0</v>
      </c>
      <c r="S5" s="221">
        <v>0</v>
      </c>
      <c r="T5" s="225">
        <f>_xll.qlMidSafe($P5,$Q5)</f>
        <v>0.28700000000000003</v>
      </c>
      <c r="U5" s="223"/>
      <c r="V5" s="224">
        <v>0.317</v>
      </c>
      <c r="W5" s="223"/>
      <c r="X5" s="296">
        <f t="array" ref="X5:X11">QuoteLive</f>
        <v>0.28700000000000003</v>
      </c>
      <c r="Y5" s="220">
        <f>_xll.qlSimpleQuoteSetValue(F5,X5/100,Trigger)</f>
        <v>0</v>
      </c>
      <c r="Z5" s="189"/>
      <c r="AB5" s="258">
        <f t="shared" ref="AB5:AB11" si="2">(Q5-T5)/50</f>
        <v>4.9999999999999936E-4</v>
      </c>
    </row>
    <row r="6" spans="1:28" x14ac:dyDescent="0.2">
      <c r="A6" s="116"/>
      <c r="B6" s="171"/>
      <c r="C6" s="161" t="s">
        <v>181</v>
      </c>
      <c r="D6" s="161">
        <v>12</v>
      </c>
      <c r="E6" s="69" t="str">
        <f t="shared" si="0"/>
        <v>USD2S12_Quote</v>
      </c>
      <c r="F6" s="69" t="str">
        <f>_xll.qlSimpleQuote(Currency&amp;$C6&amp;$D6&amp;$B6&amp;QuoteSuffix,,RateTickValue,Permanent,Trigger,ObjectOverwrite)</f>
        <v>USD2S12_Quote#0000</v>
      </c>
      <c r="G6" s="160" t="str">
        <f>_xll.ohRangeRetrieveError(F6)</f>
        <v/>
      </c>
      <c r="H6" s="42"/>
      <c r="J6" s="116"/>
      <c r="K6" s="222"/>
      <c r="L6" s="276" t="s">
        <v>181</v>
      </c>
      <c r="M6" s="276">
        <v>12</v>
      </c>
      <c r="N6" s="226" t="str">
        <f t="shared" si="1"/>
        <v>USD2S12</v>
      </c>
      <c r="O6" s="226" t="str">
        <v>USD2S12=ICAP</v>
      </c>
      <c r="P6" s="221">
        <v>0.34599999999999997</v>
      </c>
      <c r="Q6" s="221">
        <v>0.39600000000000002</v>
      </c>
      <c r="R6" s="221">
        <v>0</v>
      </c>
      <c r="S6" s="221">
        <v>0</v>
      </c>
      <c r="T6" s="225">
        <f>_xll.qlMidSafe($P6,$Q6)</f>
        <v>0.371</v>
      </c>
      <c r="U6" s="223"/>
      <c r="V6" s="224">
        <v>0.36899999999999999</v>
      </c>
      <c r="W6" s="223"/>
      <c r="X6" s="296">
        <v>0.371</v>
      </c>
      <c r="Y6" s="220">
        <f>_xll.qlSimpleQuoteSetValue(F6,X6/100,Trigger)</f>
        <v>-1.0000000000000026E-5</v>
      </c>
      <c r="Z6" s="189"/>
      <c r="AB6" s="258">
        <f t="shared" si="2"/>
        <v>5.0000000000000044E-4</v>
      </c>
    </row>
    <row r="7" spans="1:28" x14ac:dyDescent="0.2">
      <c r="A7" s="116"/>
      <c r="B7" s="171"/>
      <c r="C7" s="161" t="s">
        <v>183</v>
      </c>
      <c r="D7" s="161">
        <v>12</v>
      </c>
      <c r="E7" s="69" t="str">
        <f t="shared" si="0"/>
        <v>USD3S12_Quote</v>
      </c>
      <c r="F7" s="69" t="str">
        <f>_xll.qlSimpleQuote(Currency&amp;$C7&amp;$D7&amp;$B7&amp;QuoteSuffix,,RateTickValue,Permanent,Trigger,ObjectOverwrite)</f>
        <v>USD3S12_Quote#0000</v>
      </c>
      <c r="G7" s="160" t="str">
        <f>_xll.ohRangeRetrieveError(F7)</f>
        <v/>
      </c>
      <c r="H7" s="42"/>
      <c r="J7" s="116"/>
      <c r="K7" s="222"/>
      <c r="L7" s="276" t="s">
        <v>183</v>
      </c>
      <c r="M7" s="276">
        <v>12</v>
      </c>
      <c r="N7" s="226" t="str">
        <f t="shared" si="1"/>
        <v>USD3S12</v>
      </c>
      <c r="O7" s="226" t="str">
        <v>USD3S12=ICAP</v>
      </c>
      <c r="P7" s="221">
        <v>0.48599999999999999</v>
      </c>
      <c r="Q7" s="221">
        <v>0.53600000000000003</v>
      </c>
      <c r="R7" s="221">
        <v>0</v>
      </c>
      <c r="S7" s="221">
        <v>0</v>
      </c>
      <c r="T7" s="225">
        <f>_xll.qlMidSafe($P7,$Q7)</f>
        <v>0.51100000000000001</v>
      </c>
      <c r="U7" s="223"/>
      <c r="V7" s="224">
        <v>0.434</v>
      </c>
      <c r="W7" s="223"/>
      <c r="X7" s="296">
        <v>0.51100000000000001</v>
      </c>
      <c r="Y7" s="220">
        <f>_xll.qlSimpleQuoteSetValue(F7,X7/100,Trigger)</f>
        <v>-3.0000000000000512E-5</v>
      </c>
      <c r="Z7" s="189"/>
      <c r="AB7" s="258">
        <f t="shared" si="2"/>
        <v>5.0000000000000044E-4</v>
      </c>
    </row>
    <row r="8" spans="1:28" x14ac:dyDescent="0.2">
      <c r="A8" s="116"/>
      <c r="B8" s="171"/>
      <c r="C8" s="161" t="s">
        <v>182</v>
      </c>
      <c r="D8" s="161">
        <v>12</v>
      </c>
      <c r="E8" s="69" t="str">
        <f t="shared" si="0"/>
        <v>USD4S12_Quote</v>
      </c>
      <c r="F8" s="69" t="str">
        <f>_xll.qlSimpleQuote(Currency&amp;$C8&amp;$D8&amp;$B8&amp;QuoteSuffix,,RateTickValue,Permanent,Trigger,ObjectOverwrite)</f>
        <v>USD4S12_Quote#0000</v>
      </c>
      <c r="G8" s="160" t="str">
        <f>_xll.ohRangeRetrieveError(F8)</f>
        <v/>
      </c>
      <c r="H8" s="42"/>
      <c r="J8" s="116"/>
      <c r="K8" s="222"/>
      <c r="L8" s="276" t="s">
        <v>182</v>
      </c>
      <c r="M8" s="276">
        <v>12</v>
      </c>
      <c r="N8" s="226" t="str">
        <f t="shared" si="1"/>
        <v>USD4S12</v>
      </c>
      <c r="O8" s="226" t="str">
        <v>USD4S12=ICAP</v>
      </c>
      <c r="P8" s="221">
        <v>0.69</v>
      </c>
      <c r="Q8" s="221">
        <v>0.74</v>
      </c>
      <c r="R8" s="221">
        <v>0</v>
      </c>
      <c r="S8" s="221">
        <v>0</v>
      </c>
      <c r="T8" s="225">
        <f>_xll.qlMidSafe($P8,$Q8)</f>
        <v>0.71499999999999997</v>
      </c>
      <c r="U8" s="223"/>
      <c r="V8" s="224">
        <v>0.51900000000000002</v>
      </c>
      <c r="W8" s="223"/>
      <c r="X8" s="296">
        <v>0.71499999999999997</v>
      </c>
      <c r="Y8" s="220">
        <f>_xll.qlSimpleQuoteSetValue(F8,X8/100,Trigger)</f>
        <v>-2.9999999999999645E-5</v>
      </c>
      <c r="Z8" s="189"/>
      <c r="AB8" s="258">
        <f t="shared" si="2"/>
        <v>5.0000000000000044E-4</v>
      </c>
    </row>
    <row r="9" spans="1:28" x14ac:dyDescent="0.2">
      <c r="A9" s="116"/>
      <c r="B9" s="171"/>
      <c r="C9" s="161" t="s">
        <v>180</v>
      </c>
      <c r="D9" s="161">
        <v>24</v>
      </c>
      <c r="E9" s="69" t="str">
        <f t="shared" si="0"/>
        <v>USD1S24_Quote</v>
      </c>
      <c r="F9" s="69" t="str">
        <f>_xll.qlSimpleQuote(Currency&amp;$C9&amp;$D9&amp;$B9&amp;QuoteSuffix,,RateTickValue,Permanent,Trigger,ObjectOverwrite)</f>
        <v>USD1S24_Quote#0000</v>
      </c>
      <c r="G9" s="160" t="str">
        <f>_xll.ohRangeRetrieveError(F9)</f>
        <v/>
      </c>
      <c r="H9" s="42"/>
      <c r="J9" s="116"/>
      <c r="K9" s="222"/>
      <c r="L9" s="276" t="s">
        <v>180</v>
      </c>
      <c r="M9" s="276">
        <v>24</v>
      </c>
      <c r="N9" s="226" t="str">
        <f t="shared" si="1"/>
        <v>USD1S24</v>
      </c>
      <c r="O9" s="226" t="str">
        <v>USD1S24=ICAP</v>
      </c>
      <c r="P9" s="221" t="s">
        <v>219</v>
      </c>
      <c r="Q9" s="221" t="s">
        <v>219</v>
      </c>
      <c r="R9" s="221" t="s">
        <v>219</v>
      </c>
      <c r="S9" s="221" t="s">
        <v>219</v>
      </c>
      <c r="T9" s="225" t="e">
        <f>_xll.qlMidSafe($P9,$Q9)</f>
        <v>#NUM!</v>
      </c>
      <c r="U9" s="223"/>
      <c r="V9" s="224" t="e">
        <v>#NUM!</v>
      </c>
      <c r="W9" s="223"/>
      <c r="X9" s="296" t="e">
        <v>#NUM!</v>
      </c>
      <c r="Y9" s="220" t="e">
        <f>_xll.qlSimpleQuoteSetValue(F9,X9/100,Trigger)</f>
        <v>#NUM!</v>
      </c>
      <c r="Z9" s="189"/>
      <c r="AB9" s="258" t="e">
        <f t="shared" si="2"/>
        <v>#VALUE!</v>
      </c>
    </row>
    <row r="10" spans="1:28" x14ac:dyDescent="0.2">
      <c r="A10" s="116"/>
      <c r="B10" s="171"/>
      <c r="C10" s="161" t="s">
        <v>181</v>
      </c>
      <c r="D10" s="161">
        <v>24</v>
      </c>
      <c r="E10" s="69" t="str">
        <f t="shared" si="0"/>
        <v>USD2S24_Quote</v>
      </c>
      <c r="F10" s="69" t="str">
        <f>_xll.qlSimpleQuote(Currency&amp;$C10&amp;$D10&amp;$B10&amp;QuoteSuffix,,RateTickValue,Permanent,Trigger,ObjectOverwrite)</f>
        <v>USD2S24_Quote#0000</v>
      </c>
      <c r="G10" s="160" t="str">
        <f>_xll.ohRangeRetrieveError(F10)</f>
        <v/>
      </c>
      <c r="H10" s="42"/>
      <c r="J10" s="116"/>
      <c r="K10" s="222"/>
      <c r="L10" s="276" t="s">
        <v>181</v>
      </c>
      <c r="M10" s="276">
        <v>24</v>
      </c>
      <c r="N10" s="226" t="str">
        <f t="shared" si="1"/>
        <v>USD2S24</v>
      </c>
      <c r="O10" s="226" t="str">
        <v>USD2S24=ICAP</v>
      </c>
      <c r="P10" s="221" t="s">
        <v>219</v>
      </c>
      <c r="Q10" s="221" t="s">
        <v>219</v>
      </c>
      <c r="R10" s="221" t="s">
        <v>219</v>
      </c>
      <c r="S10" s="221" t="s">
        <v>219</v>
      </c>
      <c r="T10" s="225" t="e">
        <f>_xll.qlMidSafe($P10,$Q10)</f>
        <v>#NUM!</v>
      </c>
      <c r="U10" s="223"/>
      <c r="V10" s="224" t="e">
        <v>#NUM!</v>
      </c>
      <c r="W10" s="223"/>
      <c r="X10" s="296" t="e">
        <v>#NUM!</v>
      </c>
      <c r="Y10" s="220" t="e">
        <f>_xll.qlSimpleQuoteSetValue(F10,X10/100,Trigger)</f>
        <v>#NUM!</v>
      </c>
      <c r="Z10" s="189"/>
      <c r="AB10" s="258" t="e">
        <f t="shared" si="2"/>
        <v>#VALUE!</v>
      </c>
    </row>
    <row r="11" spans="1:28" x14ac:dyDescent="0.2">
      <c r="A11" s="116"/>
      <c r="B11" s="171"/>
      <c r="C11" s="161" t="s">
        <v>180</v>
      </c>
      <c r="D11" s="161">
        <v>36</v>
      </c>
      <c r="E11" s="69" t="str">
        <f t="shared" si="0"/>
        <v>USD1S36_Quote</v>
      </c>
      <c r="F11" s="69" t="str">
        <f>_xll.qlSimpleQuote(Currency&amp;$C11&amp;$D11&amp;$B11&amp;QuoteSuffix,,RateTickValue,Permanent,Trigger,ObjectOverwrite)</f>
        <v>USD1S36_Quote#0000</v>
      </c>
      <c r="G11" s="160" t="str">
        <f>_xll.ohRangeRetrieveError(F11)</f>
        <v/>
      </c>
      <c r="H11" s="42"/>
      <c r="J11" s="116"/>
      <c r="K11" s="235"/>
      <c r="L11" s="271" t="s">
        <v>180</v>
      </c>
      <c r="M11" s="271">
        <v>36</v>
      </c>
      <c r="N11" s="238" t="str">
        <f t="shared" si="1"/>
        <v>USD1S36</v>
      </c>
      <c r="O11" s="238" t="str">
        <v>USD1S36=ICAP</v>
      </c>
      <c r="P11" s="234" t="s">
        <v>219</v>
      </c>
      <c r="Q11" s="234" t="s">
        <v>219</v>
      </c>
      <c r="R11" s="234" t="s">
        <v>219</v>
      </c>
      <c r="S11" s="234" t="s">
        <v>219</v>
      </c>
      <c r="T11" s="237" t="e">
        <f>_xll.qlMidSafe($P11,$Q11)</f>
        <v>#NUM!</v>
      </c>
      <c r="U11" s="223"/>
      <c r="V11" s="236" t="e">
        <v>#NUM!</v>
      </c>
      <c r="W11" s="223"/>
      <c r="X11" s="289" t="e">
        <v>#NUM!</v>
      </c>
      <c r="Y11" s="233" t="e">
        <f>_xll.qlSimpleQuoteSetValue(F11,X11/100,Trigger)</f>
        <v>#NUM!</v>
      </c>
      <c r="Z11" s="189"/>
      <c r="AB11" s="258" t="e">
        <f t="shared" si="2"/>
        <v>#VALUE!</v>
      </c>
    </row>
    <row r="12" spans="1:28" ht="13.5" thickBot="1" x14ac:dyDescent="0.25">
      <c r="A12" s="41"/>
      <c r="B12" s="40"/>
      <c r="C12" s="40"/>
      <c r="D12" s="40"/>
      <c r="E12" s="40"/>
      <c r="F12" s="110"/>
      <c r="G12" s="110"/>
      <c r="H12" s="39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259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T10" workbookViewId="0">
      <selection activeCell="S2" sqref="S2"/>
    </sheetView>
  </sheetViews>
  <sheetFormatPr defaultRowHeight="12.75" x14ac:dyDescent="0.2"/>
  <cols>
    <col min="1" max="1" width="2.7109375" style="18" customWidth="1"/>
    <col min="2" max="2" width="6.5703125" style="109" bestFit="1" customWidth="1"/>
    <col min="3" max="3" width="3.140625" style="18" bestFit="1" customWidth="1"/>
    <col min="4" max="4" width="2.7109375" style="18" bestFit="1" customWidth="1"/>
    <col min="5" max="5" width="18" style="18" bestFit="1" customWidth="1"/>
    <col min="6" max="6" width="20.140625" style="108" bestFit="1" customWidth="1"/>
    <col min="7" max="7" width="38.28515625" style="18" customWidth="1"/>
    <col min="8" max="9" width="2.7109375" style="18" customWidth="1"/>
    <col min="10" max="10" width="4.140625" style="18" bestFit="1" customWidth="1"/>
    <col min="11" max="11" width="3.28515625" style="18" bestFit="1" customWidth="1"/>
    <col min="12" max="12" width="9.5703125" style="18" bestFit="1" customWidth="1"/>
    <col min="13" max="14" width="2.7109375" style="18" customWidth="1"/>
    <col min="15" max="17" width="9.140625" style="455"/>
    <col min="18" max="18" width="10.85546875" style="18" bestFit="1" customWidth="1"/>
    <col min="19" max="19" width="16.5703125" style="18" customWidth="1"/>
    <col min="20" max="24" width="9.140625" style="18"/>
    <col min="25" max="25" width="2.7109375" style="18" customWidth="1"/>
    <col min="26" max="26" width="9.140625" style="18"/>
    <col min="27" max="27" width="2.7109375" style="18" customWidth="1"/>
    <col min="28" max="29" width="9.140625" style="18"/>
    <col min="30" max="31" width="2.7109375" style="18" customWidth="1"/>
    <col min="32" max="16384" width="9.140625" style="18"/>
  </cols>
  <sheetData>
    <row r="1" spans="1:36" x14ac:dyDescent="0.2">
      <c r="N1" s="287" t="s">
        <v>286</v>
      </c>
      <c r="O1" s="312"/>
      <c r="P1" s="312"/>
      <c r="Q1" s="312"/>
      <c r="R1" s="170"/>
      <c r="S1" s="170" t="s">
        <v>261</v>
      </c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  <c r="AI1" s="19"/>
      <c r="AJ1" s="19"/>
    </row>
    <row r="2" spans="1:36" x14ac:dyDescent="0.2">
      <c r="N2" s="256"/>
      <c r="O2" s="223"/>
      <c r="P2" s="223"/>
      <c r="Q2" s="223"/>
      <c r="R2" s="223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  <c r="AI2" s="19"/>
      <c r="AJ2" s="19"/>
    </row>
    <row r="3" spans="1:36" ht="13.5" thickBot="1" x14ac:dyDescent="0.25">
      <c r="N3" s="116"/>
      <c r="O3" s="223"/>
      <c r="P3" s="223"/>
      <c r="Q3" s="223"/>
      <c r="R3" s="131"/>
      <c r="S3" s="131"/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531</v>
      </c>
      <c r="AD3" s="189"/>
      <c r="AE3" s="19"/>
      <c r="AF3" s="19"/>
      <c r="AG3" s="19"/>
      <c r="AH3" s="19"/>
      <c r="AI3" s="19"/>
      <c r="AJ3" s="19"/>
    </row>
    <row r="4" spans="1:36" ht="23.25" thickBot="1" x14ac:dyDescent="0.25">
      <c r="A4" s="188" t="s">
        <v>191</v>
      </c>
      <c r="B4" s="170"/>
      <c r="C4" s="170"/>
      <c r="D4" s="170"/>
      <c r="E4" s="168"/>
      <c r="F4" s="169"/>
      <c r="G4" s="168"/>
      <c r="H4" s="167"/>
      <c r="N4" s="116"/>
      <c r="O4" s="285"/>
      <c r="P4" s="165"/>
      <c r="Q4" s="165"/>
      <c r="R4" s="165"/>
      <c r="S4" s="218" t="str">
        <f>_xll.RData(S5:S42,T4:W4,"RTFEED:IDN",ReutersRtMode,,T5)</f>
        <v>Paused at 15:28:02</v>
      </c>
      <c r="T4" s="284" t="s">
        <v>207</v>
      </c>
      <c r="U4" s="284" t="s">
        <v>206</v>
      </c>
      <c r="V4" s="284" t="s">
        <v>224</v>
      </c>
      <c r="W4" s="284" t="s">
        <v>242</v>
      </c>
      <c r="X4" s="249" t="s">
        <v>241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  <c r="AI4" s="19"/>
      <c r="AJ4" s="282" t="s">
        <v>240</v>
      </c>
    </row>
    <row r="5" spans="1:36" x14ac:dyDescent="0.2">
      <c r="A5" s="116"/>
      <c r="B5" s="86" t="s">
        <v>114</v>
      </c>
      <c r="C5" s="86"/>
      <c r="D5" s="86"/>
      <c r="E5" s="85" t="str">
        <f>Currency&amp;"_010_Sw"&amp;$C$6&amp;$D$6&amp;".xml"</f>
        <v>USD_010_SwAM3L.xml</v>
      </c>
      <c r="F5" s="84" t="str">
        <f>IF(Serialize,_xll.ohObjectSave(F6:F42,SerializationPath&amp;E5,FileOverwrite,Serialize),"---")</f>
        <v>---</v>
      </c>
      <c r="G5" s="68" t="str">
        <f>_xll.ohRangeRetrieveError(F5)</f>
        <v/>
      </c>
      <c r="H5" s="42"/>
      <c r="J5" s="179" t="s">
        <v>189</v>
      </c>
      <c r="K5" s="178" t="s">
        <v>188</v>
      </c>
      <c r="L5" s="177" t="s">
        <v>187</v>
      </c>
      <c r="N5" s="116"/>
      <c r="O5" s="227" t="s">
        <v>15</v>
      </c>
      <c r="P5" s="276" t="str">
        <f t="array" ref="P5:P42">VLOOKUP(Currency,Conventions,2)</f>
        <v>AM</v>
      </c>
      <c r="Q5" s="276" t="str">
        <f t="array" ref="Q5:Q42">VLOOKUP(Currency,Conventions,3)</f>
        <v>3L</v>
      </c>
      <c r="R5" s="274" t="str">
        <f t="shared" ref="R5:R42" si="0">Currency&amp;$P5&amp;$Q5&amp;$O5</f>
        <v>USDAM3L6M</v>
      </c>
      <c r="S5" s="274" t="str">
        <f t="array" ref="S5:S42">Instruments&amp;"="&amp;VLOOKUP(Contributor,ContributorTable,2,FALSE)</f>
        <v>USDAM3L6M=ICAP</v>
      </c>
      <c r="T5" s="221" t="s">
        <v>219</v>
      </c>
      <c r="U5" s="221" t="s">
        <v>219</v>
      </c>
      <c r="V5" s="221" t="s">
        <v>219</v>
      </c>
      <c r="W5" s="221" t="s">
        <v>219</v>
      </c>
      <c r="X5" s="225" t="e">
        <f>_xll.qlMidSafe($T5,$U5)</f>
        <v>#NUM!</v>
      </c>
      <c r="Y5" s="223"/>
      <c r="Z5" s="224" t="e">
        <v>#NUM!</v>
      </c>
      <c r="AA5" s="223"/>
      <c r="AB5" s="296" t="e">
        <f t="array" ref="AB5:AB42">QuoteLive</f>
        <v>#NUM!</v>
      </c>
      <c r="AC5" s="458" t="e">
        <f>_xll.qlSimpleQuoteSetValue(F5,AB5/100,Trigger)</f>
        <v>#NUM!</v>
      </c>
      <c r="AD5" s="189"/>
      <c r="AE5" s="19"/>
      <c r="AF5" s="337" t="s">
        <v>110</v>
      </c>
      <c r="AG5" s="81" t="s">
        <v>186</v>
      </c>
      <c r="AH5" s="80" t="s">
        <v>103</v>
      </c>
      <c r="AI5" s="19"/>
      <c r="AJ5" s="258" t="e">
        <f t="shared" ref="AJ5:AJ42" si="1">(U5-X5)/50</f>
        <v>#VALUE!</v>
      </c>
    </row>
    <row r="6" spans="1:36" x14ac:dyDescent="0.2">
      <c r="A6" s="116"/>
      <c r="B6" s="164" t="s">
        <v>9</v>
      </c>
      <c r="C6" s="71" t="str">
        <f t="array" ref="C6:C42">VLOOKUP(Currency,SwapMainSetConventions,2)</f>
        <v>AM</v>
      </c>
      <c r="D6" s="71" t="str">
        <f t="array" ref="D6:D42">VLOOKUP(Currency,SwapMainSetConventions,3)</f>
        <v>3L</v>
      </c>
      <c r="E6" s="69" t="str">
        <f t="shared" ref="E6:E42" si="2">Currency&amp;$C6&amp;$D6&amp;$B6&amp;QuoteSuffix</f>
        <v>USDAM3L1Y_Quote</v>
      </c>
      <c r="F6" s="69" t="str">
        <f>_xll.qlSimpleQuote(Currency&amp;$C6&amp;$D6&amp;$B6&amp;QuoteSuffix,,RateTickValue,Permanent,Trigger,ObjectOverwrite)</f>
        <v>USDAM3L1Y_Quote#0000</v>
      </c>
      <c r="G6" s="23" t="str">
        <f>_xll.ohRangeRetrieveError(F6)</f>
        <v/>
      </c>
      <c r="H6" s="42"/>
      <c r="J6" s="176" t="s">
        <v>110</v>
      </c>
      <c r="K6" s="78" t="s">
        <v>186</v>
      </c>
      <c r="L6" s="77" t="s">
        <v>103</v>
      </c>
      <c r="N6" s="116"/>
      <c r="O6" s="227" t="s">
        <v>9</v>
      </c>
      <c r="P6" s="276" t="str">
        <v>AM</v>
      </c>
      <c r="Q6" s="276" t="str">
        <v>3L</v>
      </c>
      <c r="R6" s="274" t="str">
        <f t="shared" si="0"/>
        <v>USDAM3L1Y</v>
      </c>
      <c r="S6" s="274" t="str">
        <v>USDAM3L1Y=ICAP</v>
      </c>
      <c r="T6" s="221">
        <v>0.247</v>
      </c>
      <c r="U6" s="221">
        <v>0.27700000000000002</v>
      </c>
      <c r="V6" s="221">
        <v>0</v>
      </c>
      <c r="W6" s="221">
        <v>0</v>
      </c>
      <c r="X6" s="225">
        <f>_xll.qlMidSafe($T6,$U6)</f>
        <v>0.26200000000000001</v>
      </c>
      <c r="Y6" s="223"/>
      <c r="Z6" s="224">
        <v>0.29400000000000004</v>
      </c>
      <c r="AA6" s="223"/>
      <c r="AB6" s="296">
        <v>0.26200000000000001</v>
      </c>
      <c r="AC6" s="220">
        <f>_xll.qlSimpleQuoteSetValue(F6,AB6/100,Trigger)</f>
        <v>0</v>
      </c>
      <c r="AD6" s="189"/>
      <c r="AE6" s="19"/>
      <c r="AF6" s="176" t="s">
        <v>109</v>
      </c>
      <c r="AG6" s="78" t="s">
        <v>186</v>
      </c>
      <c r="AH6" s="77" t="s">
        <v>115</v>
      </c>
      <c r="AI6" s="19"/>
      <c r="AJ6" s="258">
        <f t="shared" si="1"/>
        <v>3.0000000000000024E-4</v>
      </c>
    </row>
    <row r="7" spans="1:36" x14ac:dyDescent="0.2">
      <c r="A7" s="116"/>
      <c r="B7" s="163" t="s">
        <v>113</v>
      </c>
      <c r="C7" s="71" t="str">
        <v>AM</v>
      </c>
      <c r="D7" s="71" t="str">
        <v>3L</v>
      </c>
      <c r="E7" s="69" t="str">
        <f t="shared" si="2"/>
        <v>USDAM3L15M_Quote</v>
      </c>
      <c r="F7" s="69" t="str">
        <f>_xll.qlSimpleQuote(Currency&amp;$C7&amp;$D7&amp;$B7&amp;QuoteSuffix,,RateTickValue,Permanent,Trigger,ObjectOverwrite)</f>
        <v>USDAM3L15M_Quote#0000</v>
      </c>
      <c r="G7" s="160" t="str">
        <f>_xll.ohRangeRetrieveError(F7)</f>
        <v/>
      </c>
      <c r="H7" s="42"/>
      <c r="J7" s="176" t="s">
        <v>109</v>
      </c>
      <c r="K7" s="78" t="s">
        <v>186</v>
      </c>
      <c r="L7" s="77" t="s">
        <v>115</v>
      </c>
      <c r="N7" s="116"/>
      <c r="O7" s="227" t="s">
        <v>113</v>
      </c>
      <c r="P7" s="276" t="str">
        <v>AM</v>
      </c>
      <c r="Q7" s="276" t="str">
        <v>3L</v>
      </c>
      <c r="R7" s="274" t="str">
        <f t="shared" si="0"/>
        <v>USDAM3L15M</v>
      </c>
      <c r="S7" s="274" t="str">
        <v>USDAM3L15M=ICAP</v>
      </c>
      <c r="T7" s="221" t="s">
        <v>219</v>
      </c>
      <c r="U7" s="221" t="s">
        <v>219</v>
      </c>
      <c r="V7" s="221" t="s">
        <v>219</v>
      </c>
      <c r="W7" s="221" t="s">
        <v>219</v>
      </c>
      <c r="X7" s="225" t="e">
        <f>_xll.qlMidSafe($T7,$U7)</f>
        <v>#NUM!</v>
      </c>
      <c r="Y7" s="223"/>
      <c r="Z7" s="224" t="e">
        <v>#NUM!</v>
      </c>
      <c r="AA7" s="223"/>
      <c r="AB7" s="296" t="e">
        <v>#NUM!</v>
      </c>
      <c r="AC7" s="220" t="e">
        <f>_xll.qlSimpleQuoteSetValue(F7,AB7/100,Trigger)</f>
        <v>#NUM!</v>
      </c>
      <c r="AD7" s="189"/>
      <c r="AE7" s="19"/>
      <c r="AF7" s="176" t="s">
        <v>106</v>
      </c>
      <c r="AG7" s="78" t="s">
        <v>184</v>
      </c>
      <c r="AH7" s="77" t="s">
        <v>103</v>
      </c>
      <c r="AI7" s="19"/>
      <c r="AJ7" s="258" t="e">
        <f t="shared" si="1"/>
        <v>#VALUE!</v>
      </c>
    </row>
    <row r="8" spans="1:36" x14ac:dyDescent="0.2">
      <c r="A8" s="116"/>
      <c r="B8" s="163" t="s">
        <v>112</v>
      </c>
      <c r="C8" s="71" t="str">
        <v>AM</v>
      </c>
      <c r="D8" s="71" t="str">
        <v>3L</v>
      </c>
      <c r="E8" s="69" t="str">
        <f t="shared" si="2"/>
        <v>USDAM3L18M_Quote</v>
      </c>
      <c r="F8" s="69" t="str">
        <f>_xll.qlSimpleQuote(Currency&amp;$C8&amp;$D8&amp;$B8&amp;QuoteSuffix,,RateTickValue,Permanent,Trigger,ObjectOverwrite)</f>
        <v>USDAM3L18M_Quote#0000</v>
      </c>
      <c r="G8" s="160" t="str">
        <f>_xll.ohRangeRetrieveError(F8)</f>
        <v/>
      </c>
      <c r="H8" s="42"/>
      <c r="J8" s="176" t="s">
        <v>106</v>
      </c>
      <c r="K8" s="78" t="s">
        <v>184</v>
      </c>
      <c r="L8" s="77" t="s">
        <v>103</v>
      </c>
      <c r="N8" s="116"/>
      <c r="O8" s="227" t="s">
        <v>112</v>
      </c>
      <c r="P8" s="276" t="str">
        <v>AM</v>
      </c>
      <c r="Q8" s="276" t="str">
        <v>3L</v>
      </c>
      <c r="R8" s="274" t="str">
        <f t="shared" si="0"/>
        <v>USDAM3L18M</v>
      </c>
      <c r="S8" s="274" t="str">
        <v>USDAM3L18M=ICAP</v>
      </c>
      <c r="T8" s="221" t="s">
        <v>219</v>
      </c>
      <c r="U8" s="221" t="s">
        <v>219</v>
      </c>
      <c r="V8" s="221" t="s">
        <v>219</v>
      </c>
      <c r="W8" s="221" t="s">
        <v>219</v>
      </c>
      <c r="X8" s="225" t="e">
        <f>_xll.qlMidSafe($T8,$U8)</f>
        <v>#NUM!</v>
      </c>
      <c r="Y8" s="223"/>
      <c r="Z8" s="224" t="e">
        <v>#NUM!</v>
      </c>
      <c r="AA8" s="223"/>
      <c r="AB8" s="296" t="e">
        <v>#NUM!</v>
      </c>
      <c r="AC8" s="220" t="e">
        <f>_xll.qlSimpleQuoteSetValue(F8,AB8/100,Trigger)</f>
        <v>#NUM!</v>
      </c>
      <c r="AD8" s="189"/>
      <c r="AE8" s="19"/>
      <c r="AF8" s="176" t="s">
        <v>105</v>
      </c>
      <c r="AG8" s="78" t="s">
        <v>185</v>
      </c>
      <c r="AH8" s="77" t="s">
        <v>103</v>
      </c>
      <c r="AI8" s="19"/>
      <c r="AJ8" s="258" t="e">
        <f t="shared" si="1"/>
        <v>#VALUE!</v>
      </c>
    </row>
    <row r="9" spans="1:36" ht="13.5" thickBot="1" x14ac:dyDescent="0.25">
      <c r="A9" s="116"/>
      <c r="B9" s="163" t="s">
        <v>111</v>
      </c>
      <c r="C9" s="71" t="str">
        <v>AM</v>
      </c>
      <c r="D9" s="71" t="str">
        <v>3L</v>
      </c>
      <c r="E9" s="69" t="str">
        <f t="shared" si="2"/>
        <v>USDAM3L21M_Quote</v>
      </c>
      <c r="F9" s="69" t="str">
        <f>_xll.qlSimpleQuote(Currency&amp;$C9&amp;$D9&amp;$B9&amp;QuoteSuffix,,RateTickValue,Permanent,Trigger,ObjectOverwrite)</f>
        <v>USDAM3L21M_Quote#0000</v>
      </c>
      <c r="G9" s="160" t="str">
        <f>_xll.ohRangeRetrieveError(F9)</f>
        <v/>
      </c>
      <c r="H9" s="42"/>
      <c r="J9" s="176" t="s">
        <v>105</v>
      </c>
      <c r="K9" s="78" t="s">
        <v>185</v>
      </c>
      <c r="L9" s="77" t="s">
        <v>103</v>
      </c>
      <c r="N9" s="116"/>
      <c r="O9" s="227" t="s">
        <v>111</v>
      </c>
      <c r="P9" s="276" t="str">
        <v>AM</v>
      </c>
      <c r="Q9" s="276" t="str">
        <v>3L</v>
      </c>
      <c r="R9" s="274" t="str">
        <f t="shared" si="0"/>
        <v>USDAM3L21M</v>
      </c>
      <c r="S9" s="274" t="str">
        <v>USDAM3L21M=ICAP</v>
      </c>
      <c r="T9" s="221" t="s">
        <v>219</v>
      </c>
      <c r="U9" s="221" t="s">
        <v>219</v>
      </c>
      <c r="V9" s="221" t="s">
        <v>219</v>
      </c>
      <c r="W9" s="221" t="s">
        <v>219</v>
      </c>
      <c r="X9" s="225" t="e">
        <f>_xll.qlMidSafe($T9,$U9)</f>
        <v>#NUM!</v>
      </c>
      <c r="Y9" s="223"/>
      <c r="Z9" s="224" t="e">
        <v>#NUM!</v>
      </c>
      <c r="AA9" s="223"/>
      <c r="AB9" s="296" t="e">
        <v>#NUM!</v>
      </c>
      <c r="AC9" s="220" t="e">
        <f>_xll.qlSimpleQuoteSetValue(F9,AB9/100,Trigger)</f>
        <v>#NUM!</v>
      </c>
      <c r="AD9" s="189"/>
      <c r="AE9" s="19"/>
      <c r="AF9" s="175" t="s">
        <v>100</v>
      </c>
      <c r="AG9" s="75" t="s">
        <v>184</v>
      </c>
      <c r="AH9" s="74" t="s">
        <v>103</v>
      </c>
      <c r="AI9" s="19"/>
      <c r="AJ9" s="258" t="e">
        <f t="shared" si="1"/>
        <v>#VALUE!</v>
      </c>
    </row>
    <row r="10" spans="1:36" ht="13.5" thickBot="1" x14ac:dyDescent="0.25">
      <c r="A10" s="116"/>
      <c r="B10" s="163" t="s">
        <v>87</v>
      </c>
      <c r="C10" s="71" t="str">
        <v>AM</v>
      </c>
      <c r="D10" s="71" t="str">
        <v>3L</v>
      </c>
      <c r="E10" s="69" t="str">
        <f t="shared" si="2"/>
        <v>USDAM3L2Y_Quote</v>
      </c>
      <c r="F10" s="69" t="str">
        <f>_xll.qlSimpleQuote(Currency&amp;$C10&amp;$D10&amp;$B10&amp;QuoteSuffix,,RateTickValue,Permanent,Trigger,ObjectOverwrite)</f>
        <v>USDAM3L2Y_Quote#0000</v>
      </c>
      <c r="G10" s="160" t="str">
        <f>_xll.ohRangeRetrieveError(F10)</f>
        <v/>
      </c>
      <c r="H10" s="42"/>
      <c r="J10" s="175" t="s">
        <v>100</v>
      </c>
      <c r="K10" s="75" t="s">
        <v>184</v>
      </c>
      <c r="L10" s="74" t="s">
        <v>103</v>
      </c>
      <c r="N10" s="116"/>
      <c r="O10" s="227" t="s">
        <v>87</v>
      </c>
      <c r="P10" s="276" t="str">
        <v>AM</v>
      </c>
      <c r="Q10" s="276" t="str">
        <v>3L</v>
      </c>
      <c r="R10" s="274" t="str">
        <f t="shared" si="0"/>
        <v>USDAM3L2Y</v>
      </c>
      <c r="S10" s="274" t="str">
        <v>USDAM3L2Y=ICAP</v>
      </c>
      <c r="T10" s="221">
        <v>0.52900000000000003</v>
      </c>
      <c r="U10" s="221">
        <v>0.55900000000000005</v>
      </c>
      <c r="V10" s="221">
        <v>0</v>
      </c>
      <c r="W10" s="221">
        <v>0</v>
      </c>
      <c r="X10" s="225">
        <f>_xll.qlMidSafe($T10,$U10)</f>
        <v>0.54400000000000004</v>
      </c>
      <c r="Y10" s="223"/>
      <c r="Z10" s="224">
        <v>0.42799999999999999</v>
      </c>
      <c r="AA10" s="223"/>
      <c r="AB10" s="296">
        <v>0.54400000000000004</v>
      </c>
      <c r="AC10" s="220">
        <f>_xll.qlSimpleQuoteSetValue(F10,AB10/100,Trigger)</f>
        <v>0</v>
      </c>
      <c r="AD10" s="189"/>
      <c r="AE10" s="19"/>
      <c r="AF10" s="19"/>
      <c r="AG10" s="19"/>
      <c r="AH10" s="19"/>
      <c r="AI10" s="19"/>
      <c r="AJ10" s="258">
        <f t="shared" si="1"/>
        <v>3.0000000000000024E-4</v>
      </c>
    </row>
    <row r="11" spans="1:36" x14ac:dyDescent="0.2">
      <c r="A11" s="116"/>
      <c r="B11" s="163" t="s">
        <v>86</v>
      </c>
      <c r="C11" s="71" t="str">
        <v>AM</v>
      </c>
      <c r="D11" s="71" t="str">
        <v>3L</v>
      </c>
      <c r="E11" s="69" t="str">
        <f t="shared" si="2"/>
        <v>USDAM3L3Y_Quote</v>
      </c>
      <c r="F11" s="69" t="str">
        <f>_xll.qlSimpleQuote(Currency&amp;$C11&amp;$D11&amp;$B11&amp;QuoteSuffix,,RateTickValue,Permanent,Trigger,ObjectOverwrite)</f>
        <v>USDAM3L3Y_Quote#0000</v>
      </c>
      <c r="G11" s="160" t="str">
        <f>_xll.ohRangeRetrieveError(F11)</f>
        <v/>
      </c>
      <c r="H11" s="42"/>
      <c r="N11" s="116"/>
      <c r="O11" s="227" t="s">
        <v>86</v>
      </c>
      <c r="P11" s="78" t="str">
        <v>AM</v>
      </c>
      <c r="Q11" s="78" t="str">
        <v>3L</v>
      </c>
      <c r="R11" s="274" t="str">
        <f t="shared" si="0"/>
        <v>USDAM3L3Y</v>
      </c>
      <c r="S11" s="274" t="str">
        <v>USDAM3L3Y=ICAP</v>
      </c>
      <c r="T11" s="221">
        <v>0.99299999999999999</v>
      </c>
      <c r="U11" s="221">
        <v>1.0229999999999999</v>
      </c>
      <c r="V11" s="221">
        <v>0</v>
      </c>
      <c r="W11" s="221">
        <v>0</v>
      </c>
      <c r="X11" s="225">
        <f>_xll.qlMidSafe($T11,$U11)</f>
        <v>1.008</v>
      </c>
      <c r="Y11" s="223"/>
      <c r="Z11" s="224">
        <v>0.68399999999999994</v>
      </c>
      <c r="AA11" s="223"/>
      <c r="AB11" s="296">
        <v>1.008</v>
      </c>
      <c r="AC11" s="220">
        <f>_xll.qlSimpleQuoteSetValue(F11,AB11/100,Trigger)</f>
        <v>0</v>
      </c>
      <c r="AD11" s="189"/>
      <c r="AE11" s="19"/>
      <c r="AF11" s="19"/>
      <c r="AG11" s="19"/>
      <c r="AH11" s="19"/>
      <c r="AI11" s="19"/>
      <c r="AJ11" s="258">
        <f t="shared" si="1"/>
        <v>2.9999999999999802E-4</v>
      </c>
    </row>
    <row r="12" spans="1:36" x14ac:dyDescent="0.2">
      <c r="A12" s="116"/>
      <c r="B12" s="163" t="s">
        <v>85</v>
      </c>
      <c r="C12" s="71" t="str">
        <v>AM</v>
      </c>
      <c r="D12" s="71" t="str">
        <v>3L</v>
      </c>
      <c r="E12" s="69" t="str">
        <f t="shared" si="2"/>
        <v>USDAM3L4Y_Quote</v>
      </c>
      <c r="F12" s="69" t="str">
        <f>_xll.qlSimpleQuote(Currency&amp;$C12&amp;$D12&amp;$B12&amp;QuoteSuffix,,RateTickValue,Permanent,Trigger,ObjectOverwrite)</f>
        <v>USDAM3L4Y_Quote#0000</v>
      </c>
      <c r="G12" s="160" t="str">
        <f>_xll.ohRangeRetrieveError(F12)</f>
        <v/>
      </c>
      <c r="H12" s="42"/>
      <c r="N12" s="116"/>
      <c r="O12" s="227" t="s">
        <v>85</v>
      </c>
      <c r="P12" s="78" t="str">
        <v>AM</v>
      </c>
      <c r="Q12" s="78" t="str">
        <v>3L</v>
      </c>
      <c r="R12" s="274" t="str">
        <f t="shared" si="0"/>
        <v>USDAM3L4Y</v>
      </c>
      <c r="S12" s="274" t="str">
        <v>USDAM3L4Y=ICAP</v>
      </c>
      <c r="T12" s="221">
        <v>1.4350000000000001</v>
      </c>
      <c r="U12" s="221">
        <v>1.4650000000000001</v>
      </c>
      <c r="V12" s="221">
        <v>0</v>
      </c>
      <c r="W12" s="221">
        <v>0</v>
      </c>
      <c r="X12" s="225">
        <f>_xll.qlMidSafe($T12,$U12)</f>
        <v>1.4500000000000002</v>
      </c>
      <c r="Y12" s="223"/>
      <c r="Z12" s="224">
        <v>1.0379999999999998</v>
      </c>
      <c r="AA12" s="223"/>
      <c r="AB12" s="296">
        <v>1.4500000000000002</v>
      </c>
      <c r="AC12" s="220">
        <f>_xll.qlSimpleQuoteSetValue(F12,AB12/100,Trigger)</f>
        <v>-9.9999999999978578E-6</v>
      </c>
      <c r="AD12" s="189"/>
      <c r="AE12" s="19"/>
      <c r="AF12" s="19"/>
      <c r="AG12" s="19"/>
      <c r="AH12" s="19"/>
      <c r="AI12" s="19"/>
      <c r="AJ12" s="258">
        <f t="shared" si="1"/>
        <v>2.9999999999999802E-4</v>
      </c>
    </row>
    <row r="13" spans="1:36" x14ac:dyDescent="0.2">
      <c r="A13" s="116"/>
      <c r="B13" s="163" t="s">
        <v>84</v>
      </c>
      <c r="C13" s="71" t="str">
        <v>AM</v>
      </c>
      <c r="D13" s="71" t="str">
        <v>3L</v>
      </c>
      <c r="E13" s="69" t="str">
        <f t="shared" si="2"/>
        <v>USDAM3L5Y_Quote</v>
      </c>
      <c r="F13" s="69" t="str">
        <f>_xll.qlSimpleQuote(Currency&amp;$C13&amp;$D13&amp;$B13&amp;QuoteSuffix,,RateTickValue,Permanent,Trigger,ObjectOverwrite)</f>
        <v>USDAM3L5Y_Quote#0000</v>
      </c>
      <c r="G13" s="160" t="str">
        <f>_xll.ohRangeRetrieveError(F13)</f>
        <v/>
      </c>
      <c r="H13" s="42"/>
      <c r="N13" s="116"/>
      <c r="O13" s="227" t="s">
        <v>84</v>
      </c>
      <c r="P13" s="78" t="str">
        <v>AM</v>
      </c>
      <c r="Q13" s="78" t="str">
        <v>3L</v>
      </c>
      <c r="R13" s="274" t="str">
        <f t="shared" si="0"/>
        <v>USDAM3L5Y</v>
      </c>
      <c r="S13" s="274" t="str">
        <v>USDAM3L5Y=ICAP</v>
      </c>
      <c r="T13" s="221">
        <v>1.8</v>
      </c>
      <c r="U13" s="221">
        <v>1.83</v>
      </c>
      <c r="V13" s="221">
        <v>0</v>
      </c>
      <c r="W13" s="221">
        <v>0</v>
      </c>
      <c r="X13" s="225">
        <f>_xll.qlMidSafe($T13,$U13)</f>
        <v>1.8149999999999999</v>
      </c>
      <c r="Y13" s="223"/>
      <c r="Z13" s="224">
        <v>1.4</v>
      </c>
      <c r="AA13" s="223"/>
      <c r="AB13" s="296">
        <v>1.8149999999999999</v>
      </c>
      <c r="AC13" s="220">
        <f>_xll.qlSimpleQuoteSetValue(F13,AB13/100,Trigger)</f>
        <v>-2.0000000000002655E-5</v>
      </c>
      <c r="AD13" s="189"/>
      <c r="AE13" s="19"/>
      <c r="AF13" s="19"/>
      <c r="AG13" s="19"/>
      <c r="AH13" s="19"/>
      <c r="AI13" s="19"/>
      <c r="AJ13" s="258">
        <f t="shared" si="1"/>
        <v>3.0000000000000247E-4</v>
      </c>
    </row>
    <row r="14" spans="1:36" x14ac:dyDescent="0.2">
      <c r="A14" s="116"/>
      <c r="B14" s="163" t="s">
        <v>83</v>
      </c>
      <c r="C14" s="71" t="str">
        <v>AM</v>
      </c>
      <c r="D14" s="71" t="str">
        <v>3L</v>
      </c>
      <c r="E14" s="69" t="str">
        <f t="shared" si="2"/>
        <v>USDAM3L6Y_Quote</v>
      </c>
      <c r="F14" s="69" t="str">
        <f>_xll.qlSimpleQuote(Currency&amp;$C14&amp;$D14&amp;$B14&amp;QuoteSuffix,,RateTickValue,Permanent,Trigger,ObjectOverwrite)</f>
        <v>USDAM3L6Y_Quote#0000</v>
      </c>
      <c r="G14" s="160" t="str">
        <f>_xll.ohRangeRetrieveError(F14)</f>
        <v/>
      </c>
      <c r="H14" s="42"/>
      <c r="N14" s="116"/>
      <c r="O14" s="227" t="s">
        <v>83</v>
      </c>
      <c r="P14" s="78" t="str">
        <v>AM</v>
      </c>
      <c r="Q14" s="78" t="str">
        <v>3L</v>
      </c>
      <c r="R14" s="274" t="str">
        <f t="shared" si="0"/>
        <v>USDAM3L6Y</v>
      </c>
      <c r="S14" s="274" t="str">
        <v>USDAM3L6Y=ICAP</v>
      </c>
      <c r="T14" s="221">
        <v>2.0910000000000002</v>
      </c>
      <c r="U14" s="221">
        <v>2.121</v>
      </c>
      <c r="V14" s="221">
        <v>0</v>
      </c>
      <c r="W14" s="221">
        <v>0</v>
      </c>
      <c r="X14" s="225">
        <f>_xll.qlMidSafe($T14,$U14)</f>
        <v>2.1059999999999999</v>
      </c>
      <c r="Y14" s="223"/>
      <c r="Z14" s="224">
        <v>1.73</v>
      </c>
      <c r="AA14" s="223"/>
      <c r="AB14" s="296">
        <v>2.1059999999999999</v>
      </c>
      <c r="AC14" s="220">
        <f>_xll.qlSimpleQuoteSetValue(F14,AB14/100,Trigger)</f>
        <v>-2.0000000000002655E-5</v>
      </c>
      <c r="AD14" s="189"/>
      <c r="AE14" s="19"/>
      <c r="AF14" s="19"/>
      <c r="AG14" s="19"/>
      <c r="AH14" s="19"/>
      <c r="AI14" s="19"/>
      <c r="AJ14" s="258">
        <f t="shared" si="1"/>
        <v>3.0000000000000247E-4</v>
      </c>
    </row>
    <row r="15" spans="1:36" x14ac:dyDescent="0.2">
      <c r="A15" s="116"/>
      <c r="B15" s="163" t="s">
        <v>82</v>
      </c>
      <c r="C15" s="71" t="str">
        <v>AM</v>
      </c>
      <c r="D15" s="71" t="str">
        <v>3L</v>
      </c>
      <c r="E15" s="69" t="str">
        <f t="shared" si="2"/>
        <v>USDAM3L7Y_Quote</v>
      </c>
      <c r="F15" s="69" t="str">
        <f>_xll.qlSimpleQuote(Currency&amp;$C15&amp;$D15&amp;$B15&amp;QuoteSuffix,,RateTickValue,Permanent,Trigger,ObjectOverwrite)</f>
        <v>USDAM3L7Y_Quote#0000</v>
      </c>
      <c r="G15" s="160" t="str">
        <f>_xll.ohRangeRetrieveError(F15)</f>
        <v/>
      </c>
      <c r="H15" s="42"/>
      <c r="N15" s="116"/>
      <c r="O15" s="227" t="s">
        <v>82</v>
      </c>
      <c r="P15" s="78" t="str">
        <v>AM</v>
      </c>
      <c r="Q15" s="78" t="str">
        <v>3L</v>
      </c>
      <c r="R15" s="274" t="str">
        <f t="shared" si="0"/>
        <v>USDAM3L7Y</v>
      </c>
      <c r="S15" s="274" t="str">
        <v>USDAM3L7Y=ICAP</v>
      </c>
      <c r="T15" s="221">
        <v>2.3220000000000001</v>
      </c>
      <c r="U15" s="221">
        <v>2.3519999999999999</v>
      </c>
      <c r="V15" s="221">
        <v>0</v>
      </c>
      <c r="W15" s="221">
        <v>0</v>
      </c>
      <c r="X15" s="225">
        <f>_xll.qlMidSafe($T15,$U15)</f>
        <v>2.3369999999999997</v>
      </c>
      <c r="Y15" s="223"/>
      <c r="Z15" s="224">
        <v>2.008</v>
      </c>
      <c r="AA15" s="223"/>
      <c r="AB15" s="296">
        <v>2.3369999999999997</v>
      </c>
      <c r="AC15" s="220">
        <f>_xll.qlSimpleQuoteSetValue(F15,AB15/100,Trigger)</f>
        <v>-1.0000000000003062E-5</v>
      </c>
      <c r="AD15" s="189"/>
      <c r="AE15" s="19"/>
      <c r="AF15" s="19"/>
      <c r="AG15" s="19"/>
      <c r="AH15" s="19"/>
      <c r="AI15" s="19"/>
      <c r="AJ15" s="258">
        <f t="shared" si="1"/>
        <v>3.0000000000000247E-4</v>
      </c>
    </row>
    <row r="16" spans="1:36" x14ac:dyDescent="0.2">
      <c r="A16" s="116"/>
      <c r="B16" s="163" t="s">
        <v>81</v>
      </c>
      <c r="C16" s="71" t="str">
        <v>AM</v>
      </c>
      <c r="D16" s="71" t="str">
        <v>3L</v>
      </c>
      <c r="E16" s="69" t="str">
        <f t="shared" si="2"/>
        <v>USDAM3L8Y_Quote</v>
      </c>
      <c r="F16" s="69" t="str">
        <f>_xll.qlSimpleQuote(Currency&amp;$C16&amp;$D16&amp;$B16&amp;QuoteSuffix,,RateTickValue,Permanent,Trigger,ObjectOverwrite)</f>
        <v>USDAM3L8Y_Quote#0000</v>
      </c>
      <c r="G16" s="160" t="str">
        <f>_xll.ohRangeRetrieveError(F16)</f>
        <v/>
      </c>
      <c r="H16" s="42"/>
      <c r="N16" s="116"/>
      <c r="O16" s="227" t="s">
        <v>81</v>
      </c>
      <c r="P16" s="78" t="str">
        <v>AM</v>
      </c>
      <c r="Q16" s="78" t="str">
        <v>3L</v>
      </c>
      <c r="R16" s="274" t="str">
        <f t="shared" si="0"/>
        <v>USDAM3L8Y</v>
      </c>
      <c r="S16" s="274" t="str">
        <v>USDAM3L8Y=ICAP</v>
      </c>
      <c r="T16" s="221">
        <v>2.5059999999999998</v>
      </c>
      <c r="U16" s="221">
        <v>2.536</v>
      </c>
      <c r="V16" s="221">
        <v>0</v>
      </c>
      <c r="W16" s="221">
        <v>0</v>
      </c>
      <c r="X16" s="225">
        <f>_xll.qlMidSafe($T16,$U16)</f>
        <v>2.5209999999999999</v>
      </c>
      <c r="Y16" s="223"/>
      <c r="Z16" s="224">
        <v>2.2409999999999997</v>
      </c>
      <c r="AA16" s="223"/>
      <c r="AB16" s="296">
        <v>2.5209999999999999</v>
      </c>
      <c r="AC16" s="220">
        <f>_xll.qlSimpleQuoteSetValue(F16,AB16/100,Trigger)</f>
        <v>-1.0000000000003062E-5</v>
      </c>
      <c r="AD16" s="189"/>
      <c r="AE16" s="19"/>
      <c r="AF16" s="19"/>
      <c r="AG16" s="19"/>
      <c r="AH16" s="19"/>
      <c r="AI16" s="19"/>
      <c r="AJ16" s="258">
        <f t="shared" si="1"/>
        <v>3.0000000000000247E-4</v>
      </c>
    </row>
    <row r="17" spans="1:36" x14ac:dyDescent="0.2">
      <c r="A17" s="116"/>
      <c r="B17" s="163" t="s">
        <v>80</v>
      </c>
      <c r="C17" s="71" t="str">
        <v>AM</v>
      </c>
      <c r="D17" s="71" t="str">
        <v>3L</v>
      </c>
      <c r="E17" s="69" t="str">
        <f t="shared" si="2"/>
        <v>USDAM3L9Y_Quote</v>
      </c>
      <c r="F17" s="69" t="str">
        <f>_xll.qlSimpleQuote(Currency&amp;$C17&amp;$D17&amp;$B17&amp;QuoteSuffix,,RateTickValue,Permanent,Trigger,ObjectOverwrite)</f>
        <v>USDAM3L9Y_Quote#0000</v>
      </c>
      <c r="G17" s="160" t="str">
        <f>_xll.ohRangeRetrieveError(F17)</f>
        <v/>
      </c>
      <c r="H17" s="42"/>
      <c r="N17" s="116"/>
      <c r="O17" s="227" t="s">
        <v>80</v>
      </c>
      <c r="P17" s="78" t="str">
        <v>AM</v>
      </c>
      <c r="Q17" s="78" t="str">
        <v>3L</v>
      </c>
      <c r="R17" s="274" t="str">
        <f t="shared" si="0"/>
        <v>USDAM3L9Y</v>
      </c>
      <c r="S17" s="274" t="str">
        <v>USDAM3L9Y=ICAP</v>
      </c>
      <c r="T17" s="221">
        <v>2.6560000000000001</v>
      </c>
      <c r="U17" s="221">
        <v>2.6859999999999999</v>
      </c>
      <c r="V17" s="221">
        <v>0</v>
      </c>
      <c r="W17" s="221">
        <v>0</v>
      </c>
      <c r="X17" s="225">
        <f>_xll.qlMidSafe($T17,$U17)</f>
        <v>2.6710000000000003</v>
      </c>
      <c r="Y17" s="223"/>
      <c r="Z17" s="224">
        <v>2.4370000000000003</v>
      </c>
      <c r="AA17" s="223"/>
      <c r="AB17" s="296">
        <v>2.6710000000000003</v>
      </c>
      <c r="AC17" s="220">
        <f>_xll.qlSimpleQuoteSetValue(F17,AB17/100,Trigger)</f>
        <v>-9.9999999999961231E-6</v>
      </c>
      <c r="AD17" s="189"/>
      <c r="AE17" s="19"/>
      <c r="AF17" s="19"/>
      <c r="AG17" s="19"/>
      <c r="AH17" s="19"/>
      <c r="AI17" s="19"/>
      <c r="AJ17" s="258">
        <f t="shared" si="1"/>
        <v>2.9999999999999363E-4</v>
      </c>
    </row>
    <row r="18" spans="1:36" x14ac:dyDescent="0.2">
      <c r="A18" s="116"/>
      <c r="B18" s="163" t="s">
        <v>79</v>
      </c>
      <c r="C18" s="71" t="str">
        <v>AM</v>
      </c>
      <c r="D18" s="71" t="str">
        <v>3L</v>
      </c>
      <c r="E18" s="69" t="str">
        <f t="shared" si="2"/>
        <v>USDAM3L10Y_Quote</v>
      </c>
      <c r="F18" s="69" t="str">
        <f>_xll.qlSimpleQuote(Currency&amp;$C18&amp;$D18&amp;$B18&amp;QuoteSuffix,,RateTickValue,Permanent,Trigger,ObjectOverwrite)</f>
        <v>USDAM3L10Y_Quote#0000</v>
      </c>
      <c r="G18" s="160" t="str">
        <f>_xll.ohRangeRetrieveError(F18)</f>
        <v/>
      </c>
      <c r="H18" s="42"/>
      <c r="N18" s="116"/>
      <c r="O18" s="227" t="s">
        <v>79</v>
      </c>
      <c r="P18" s="78" t="str">
        <v>AM</v>
      </c>
      <c r="Q18" s="78" t="str">
        <v>3L</v>
      </c>
      <c r="R18" s="274" t="str">
        <f t="shared" si="0"/>
        <v>USDAM3L10Y</v>
      </c>
      <c r="S18" s="274" t="str">
        <v>USDAM3L10Y=ICAP</v>
      </c>
      <c r="T18" s="221">
        <v>2.782</v>
      </c>
      <c r="U18" s="221">
        <v>2.8119999999999998</v>
      </c>
      <c r="V18" s="221">
        <v>0</v>
      </c>
      <c r="W18" s="221">
        <v>0</v>
      </c>
      <c r="X18" s="225">
        <f>_xll.qlMidSafe($T18,$U18)</f>
        <v>2.7969999999999997</v>
      </c>
      <c r="Y18" s="223"/>
      <c r="Z18" s="224">
        <v>2.6020000000000003</v>
      </c>
      <c r="AA18" s="223"/>
      <c r="AB18" s="296">
        <v>2.7969999999999997</v>
      </c>
      <c r="AC18" s="220">
        <f>_xll.qlSimpleQuoteSetValue(F18,AB18/100,Trigger)</f>
        <v>-1.0000000000003062E-5</v>
      </c>
      <c r="AD18" s="189"/>
      <c r="AE18" s="19"/>
      <c r="AF18" s="19"/>
      <c r="AG18" s="19"/>
      <c r="AH18" s="19"/>
      <c r="AI18" s="19"/>
      <c r="AJ18" s="258">
        <f t="shared" si="1"/>
        <v>3.0000000000000247E-4</v>
      </c>
    </row>
    <row r="19" spans="1:36" x14ac:dyDescent="0.2">
      <c r="A19" s="116"/>
      <c r="B19" s="163" t="s">
        <v>78</v>
      </c>
      <c r="C19" s="71" t="str">
        <v>AM</v>
      </c>
      <c r="D19" s="71" t="str">
        <v>3L</v>
      </c>
      <c r="E19" s="69" t="str">
        <f t="shared" si="2"/>
        <v>USDAM3L11Y_Quote</v>
      </c>
      <c r="F19" s="69" t="str">
        <f>_xll.qlSimpleQuote(Currency&amp;$C19&amp;$D19&amp;$B19&amp;QuoteSuffix,,RateTickValue,Permanent,Trigger,ObjectOverwrite)</f>
        <v>USDAM3L11Y_Quote#0000</v>
      </c>
      <c r="G19" s="160" t="str">
        <f>_xll.ohRangeRetrieveError(F19)</f>
        <v/>
      </c>
      <c r="H19" s="42"/>
      <c r="N19" s="116"/>
      <c r="O19" s="227" t="s">
        <v>78</v>
      </c>
      <c r="P19" s="78" t="str">
        <v>AM</v>
      </c>
      <c r="Q19" s="78" t="str">
        <v>3L</v>
      </c>
      <c r="R19" s="274" t="str">
        <f t="shared" si="0"/>
        <v>USDAM3L11Y</v>
      </c>
      <c r="S19" s="274" t="str">
        <v>USDAM3L11Y=ICAP</v>
      </c>
      <c r="T19" s="221" t="s">
        <v>219</v>
      </c>
      <c r="U19" s="221" t="s">
        <v>219</v>
      </c>
      <c r="V19" s="221" t="s">
        <v>219</v>
      </c>
      <c r="W19" s="221" t="s">
        <v>219</v>
      </c>
      <c r="X19" s="225" t="e">
        <f>_xll.qlMidSafe($T19,$U19)</f>
        <v>#NUM!</v>
      </c>
      <c r="Y19" s="223"/>
      <c r="Z19" s="224" t="e">
        <v>#NUM!</v>
      </c>
      <c r="AA19" s="223"/>
      <c r="AB19" s="296" t="e">
        <v>#NUM!</v>
      </c>
      <c r="AC19" s="220" t="e">
        <f>_xll.qlSimpleQuoteSetValue(F19,AB19/100,Trigger)</f>
        <v>#NUM!</v>
      </c>
      <c r="AD19" s="189"/>
      <c r="AE19" s="19"/>
      <c r="AF19" s="19"/>
      <c r="AG19" s="19"/>
      <c r="AH19" s="19"/>
      <c r="AI19" s="19"/>
      <c r="AJ19" s="258" t="e">
        <f t="shared" si="1"/>
        <v>#VALUE!</v>
      </c>
    </row>
    <row r="20" spans="1:36" x14ac:dyDescent="0.2">
      <c r="A20" s="116"/>
      <c r="B20" s="163" t="s">
        <v>77</v>
      </c>
      <c r="C20" s="71" t="str">
        <v>AM</v>
      </c>
      <c r="D20" s="71" t="str">
        <v>3L</v>
      </c>
      <c r="E20" s="69" t="str">
        <f t="shared" si="2"/>
        <v>USDAM3L12Y_Quote</v>
      </c>
      <c r="F20" s="69" t="str">
        <f>_xll.qlSimpleQuote(Currency&amp;$C20&amp;$D20&amp;$B20&amp;QuoteSuffix,,RateTickValue,Permanent,Trigger,ObjectOverwrite)</f>
        <v>USDAM3L12Y_Quote#0000</v>
      </c>
      <c r="G20" s="160" t="str">
        <f>_xll.ohRangeRetrieveError(F20)</f>
        <v/>
      </c>
      <c r="H20" s="42"/>
      <c r="N20" s="116"/>
      <c r="O20" s="227" t="s">
        <v>77</v>
      </c>
      <c r="P20" s="78" t="str">
        <v>AM</v>
      </c>
      <c r="Q20" s="78" t="str">
        <v>3L</v>
      </c>
      <c r="R20" s="274" t="str">
        <f t="shared" si="0"/>
        <v>USDAM3L12Y</v>
      </c>
      <c r="S20" s="274" t="str">
        <v>USDAM3L12Y=ICAP</v>
      </c>
      <c r="T20" s="221">
        <v>2.98</v>
      </c>
      <c r="U20" s="221">
        <v>3.01</v>
      </c>
      <c r="V20" s="221">
        <v>0</v>
      </c>
      <c r="W20" s="221">
        <v>0</v>
      </c>
      <c r="X20" s="225">
        <f>_xll.qlMidSafe($T20,$U20)</f>
        <v>2.9950000000000001</v>
      </c>
      <c r="Y20" s="223"/>
      <c r="Z20" s="224">
        <v>2.867</v>
      </c>
      <c r="AA20" s="223"/>
      <c r="AB20" s="296">
        <v>2.9950000000000001</v>
      </c>
      <c r="AC20" s="220">
        <f>_xll.qlSimpleQuoteSetValue(F20,AB20/100,Trigger)</f>
        <v>-9.9999999999995925E-6</v>
      </c>
      <c r="AD20" s="189"/>
      <c r="AE20" s="19"/>
      <c r="AF20" s="19"/>
      <c r="AG20" s="19"/>
      <c r="AH20" s="19"/>
      <c r="AI20" s="19"/>
      <c r="AJ20" s="258">
        <f t="shared" si="1"/>
        <v>2.9999999999999363E-4</v>
      </c>
    </row>
    <row r="21" spans="1:36" x14ac:dyDescent="0.2">
      <c r="A21" s="116"/>
      <c r="B21" s="163" t="s">
        <v>76</v>
      </c>
      <c r="C21" s="71" t="str">
        <v>AM</v>
      </c>
      <c r="D21" s="71" t="str">
        <v>3L</v>
      </c>
      <c r="E21" s="69" t="str">
        <f t="shared" si="2"/>
        <v>USDAM3L13Y_Quote</v>
      </c>
      <c r="F21" s="69" t="str">
        <f>_xll.qlSimpleQuote(Currency&amp;$C21&amp;$D21&amp;$B21&amp;QuoteSuffix,,RateTickValue,Permanent,Trigger,ObjectOverwrite)</f>
        <v>USDAM3L13Y_Quote#0000</v>
      </c>
      <c r="G21" s="160" t="str">
        <f>_xll.ohRangeRetrieveError(F21)</f>
        <v/>
      </c>
      <c r="H21" s="42"/>
      <c r="N21" s="116"/>
      <c r="O21" s="227" t="s">
        <v>76</v>
      </c>
      <c r="P21" s="78" t="str">
        <v>AM</v>
      </c>
      <c r="Q21" s="78" t="str">
        <v>3L</v>
      </c>
      <c r="R21" s="274" t="str">
        <f t="shared" si="0"/>
        <v>USDAM3L13Y</v>
      </c>
      <c r="S21" s="274" t="str">
        <v>USDAM3L13Y=ICAP</v>
      </c>
      <c r="T21" s="221" t="s">
        <v>219</v>
      </c>
      <c r="U21" s="221" t="s">
        <v>219</v>
      </c>
      <c r="V21" s="221" t="s">
        <v>219</v>
      </c>
      <c r="W21" s="221" t="s">
        <v>219</v>
      </c>
      <c r="X21" s="225" t="e">
        <f>_xll.qlMidSafe($T21,$U21)</f>
        <v>#NUM!</v>
      </c>
      <c r="Y21" s="223"/>
      <c r="Z21" s="224" t="e">
        <v>#NUM!</v>
      </c>
      <c r="AA21" s="223"/>
      <c r="AB21" s="296" t="e">
        <v>#NUM!</v>
      </c>
      <c r="AC21" s="220" t="e">
        <f>_xll.qlSimpleQuoteSetValue(F21,AB21/100,Trigger)</f>
        <v>#NUM!</v>
      </c>
      <c r="AD21" s="189"/>
      <c r="AE21" s="19"/>
      <c r="AF21" s="19"/>
      <c r="AG21" s="19"/>
      <c r="AH21" s="19"/>
      <c r="AI21" s="19"/>
      <c r="AJ21" s="258" t="e">
        <f t="shared" si="1"/>
        <v>#VALUE!</v>
      </c>
    </row>
    <row r="22" spans="1:36" x14ac:dyDescent="0.2">
      <c r="A22" s="116"/>
      <c r="B22" s="163" t="s">
        <v>75</v>
      </c>
      <c r="C22" s="71" t="str">
        <v>AM</v>
      </c>
      <c r="D22" s="71" t="str">
        <v>3L</v>
      </c>
      <c r="E22" s="69" t="str">
        <f t="shared" si="2"/>
        <v>USDAM3L14Y_Quote</v>
      </c>
      <c r="F22" s="69" t="str">
        <f>_xll.qlSimpleQuote(Currency&amp;$C22&amp;$D22&amp;$B22&amp;QuoteSuffix,,RateTickValue,Permanent,Trigger,ObjectOverwrite)</f>
        <v>USDAM3L14Y_Quote#0000</v>
      </c>
      <c r="G22" s="160" t="str">
        <f>_xll.ohRangeRetrieveError(F22)</f>
        <v/>
      </c>
      <c r="H22" s="42"/>
      <c r="N22" s="116"/>
      <c r="O22" s="227" t="s">
        <v>75</v>
      </c>
      <c r="P22" s="78" t="str">
        <v>AM</v>
      </c>
      <c r="Q22" s="78" t="str">
        <v>3L</v>
      </c>
      <c r="R22" s="274" t="str">
        <f t="shared" si="0"/>
        <v>USDAM3L14Y</v>
      </c>
      <c r="S22" s="274" t="str">
        <v>USDAM3L14Y=ICAP</v>
      </c>
      <c r="T22" s="221" t="s">
        <v>219</v>
      </c>
      <c r="U22" s="221" t="s">
        <v>219</v>
      </c>
      <c r="V22" s="221" t="s">
        <v>219</v>
      </c>
      <c r="W22" s="221" t="s">
        <v>219</v>
      </c>
      <c r="X22" s="225" t="e">
        <f>_xll.qlMidSafe($T22,$U22)</f>
        <v>#NUM!</v>
      </c>
      <c r="Y22" s="223"/>
      <c r="Z22" s="224" t="e">
        <v>#NUM!</v>
      </c>
      <c r="AA22" s="223"/>
      <c r="AB22" s="296" t="e">
        <v>#NUM!</v>
      </c>
      <c r="AC22" s="220" t="e">
        <f>_xll.qlSimpleQuoteSetValue(F22,AB22/100,Trigger)</f>
        <v>#NUM!</v>
      </c>
      <c r="AD22" s="189"/>
      <c r="AE22" s="19"/>
      <c r="AF22" s="19"/>
      <c r="AG22" s="19"/>
      <c r="AH22" s="19"/>
      <c r="AI22" s="19"/>
      <c r="AJ22" s="258" t="e">
        <f t="shared" si="1"/>
        <v>#VALUE!</v>
      </c>
    </row>
    <row r="23" spans="1:36" x14ac:dyDescent="0.2">
      <c r="A23" s="116"/>
      <c r="B23" s="163" t="s">
        <v>74</v>
      </c>
      <c r="C23" s="71" t="str">
        <v>AM</v>
      </c>
      <c r="D23" s="71" t="str">
        <v>3L</v>
      </c>
      <c r="E23" s="69" t="str">
        <f t="shared" si="2"/>
        <v>USDAM3L15Y_Quote</v>
      </c>
      <c r="F23" s="69" t="str">
        <f>_xll.qlSimpleQuote(Currency&amp;$C23&amp;$D23&amp;$B23&amp;QuoteSuffix,,RateTickValue,Permanent,Trigger,ObjectOverwrite)</f>
        <v>USDAM3L15Y_Quote#0000</v>
      </c>
      <c r="G23" s="160" t="str">
        <f>_xll.ohRangeRetrieveError(F23)</f>
        <v/>
      </c>
      <c r="H23" s="42"/>
      <c r="N23" s="116"/>
      <c r="O23" s="227" t="s">
        <v>74</v>
      </c>
      <c r="P23" s="78" t="str">
        <v>AM</v>
      </c>
      <c r="Q23" s="78" t="str">
        <v>3L</v>
      </c>
      <c r="R23" s="274" t="str">
        <f t="shared" si="0"/>
        <v>USDAM3L15Y</v>
      </c>
      <c r="S23" s="274" t="str">
        <v>USDAM3L15Y=ICAP</v>
      </c>
      <c r="T23" s="221">
        <v>3.1739999999999999</v>
      </c>
      <c r="U23" s="221">
        <v>3.2040000000000002</v>
      </c>
      <c r="V23" s="221">
        <v>0</v>
      </c>
      <c r="W23" s="221">
        <v>0</v>
      </c>
      <c r="X23" s="225">
        <f>_xll.qlMidSafe($T23,$U23)</f>
        <v>3.1890000000000001</v>
      </c>
      <c r="Y23" s="223"/>
      <c r="Z23" s="224">
        <v>3.1260000000000003</v>
      </c>
      <c r="AA23" s="223"/>
      <c r="AB23" s="296">
        <v>3.1890000000000001</v>
      </c>
      <c r="AC23" s="220">
        <f>_xll.qlSimpleQuoteSetValue(F23,AB23/100,Trigger)</f>
        <v>-9.9999999999961231E-6</v>
      </c>
      <c r="AD23" s="189"/>
      <c r="AE23" s="19"/>
      <c r="AF23" s="19"/>
      <c r="AG23" s="19"/>
      <c r="AH23" s="19"/>
      <c r="AI23" s="19"/>
      <c r="AJ23" s="258">
        <f t="shared" si="1"/>
        <v>3.0000000000000247E-4</v>
      </c>
    </row>
    <row r="24" spans="1:36" x14ac:dyDescent="0.2">
      <c r="A24" s="116"/>
      <c r="B24" s="163" t="s">
        <v>73</v>
      </c>
      <c r="C24" s="71" t="str">
        <v>AM</v>
      </c>
      <c r="D24" s="71" t="str">
        <v>3L</v>
      </c>
      <c r="E24" s="69" t="str">
        <f t="shared" si="2"/>
        <v>USDAM3L16Y_Quote</v>
      </c>
      <c r="F24" s="69" t="str">
        <f>_xll.qlSimpleQuote(Currency&amp;$C24&amp;$D24&amp;$B24&amp;QuoteSuffix,,RateTickValue,Permanent,Trigger,ObjectOverwrite)</f>
        <v>USDAM3L16Y_Quote#0000</v>
      </c>
      <c r="G24" s="160" t="str">
        <f>_xll.ohRangeRetrieveError(F24)</f>
        <v/>
      </c>
      <c r="H24" s="42"/>
      <c r="N24" s="116"/>
      <c r="O24" s="227" t="s">
        <v>73</v>
      </c>
      <c r="P24" s="78" t="str">
        <v>AM</v>
      </c>
      <c r="Q24" s="78" t="str">
        <v>3L</v>
      </c>
      <c r="R24" s="274" t="str">
        <f t="shared" si="0"/>
        <v>USDAM3L16Y</v>
      </c>
      <c r="S24" s="274" t="str">
        <v>USDAM3L16Y=ICAP</v>
      </c>
      <c r="T24" s="221" t="s">
        <v>219</v>
      </c>
      <c r="U24" s="221" t="s">
        <v>219</v>
      </c>
      <c r="V24" s="221" t="s">
        <v>219</v>
      </c>
      <c r="W24" s="221" t="s">
        <v>219</v>
      </c>
      <c r="X24" s="225" t="e">
        <f>_xll.qlMidSafe($T24,$U24)</f>
        <v>#NUM!</v>
      </c>
      <c r="Y24" s="223"/>
      <c r="Z24" s="224" t="e">
        <v>#NUM!</v>
      </c>
      <c r="AA24" s="223"/>
      <c r="AB24" s="296" t="e">
        <v>#NUM!</v>
      </c>
      <c r="AC24" s="220" t="e">
        <f>_xll.qlSimpleQuoteSetValue(F24,AB24/100,Trigger)</f>
        <v>#NUM!</v>
      </c>
      <c r="AD24" s="189"/>
      <c r="AE24" s="19"/>
      <c r="AF24" s="19"/>
      <c r="AG24" s="19"/>
      <c r="AH24" s="19"/>
      <c r="AI24" s="19"/>
      <c r="AJ24" s="258" t="e">
        <f t="shared" si="1"/>
        <v>#VALUE!</v>
      </c>
    </row>
    <row r="25" spans="1:36" x14ac:dyDescent="0.2">
      <c r="A25" s="116"/>
      <c r="B25" s="163" t="s">
        <v>72</v>
      </c>
      <c r="C25" s="71" t="str">
        <v>AM</v>
      </c>
      <c r="D25" s="71" t="str">
        <v>3L</v>
      </c>
      <c r="E25" s="69" t="str">
        <f t="shared" si="2"/>
        <v>USDAM3L17Y_Quote</v>
      </c>
      <c r="F25" s="69" t="str">
        <f>_xll.qlSimpleQuote(Currency&amp;$C25&amp;$D25&amp;$B25&amp;QuoteSuffix,,RateTickValue,Permanent,Trigger,ObjectOverwrite)</f>
        <v>USDAM3L17Y_Quote#0000</v>
      </c>
      <c r="G25" s="160" t="str">
        <f>_xll.ohRangeRetrieveError(F25)</f>
        <v/>
      </c>
      <c r="H25" s="42"/>
      <c r="N25" s="116"/>
      <c r="O25" s="227" t="s">
        <v>72</v>
      </c>
      <c r="P25" s="78" t="str">
        <v>AM</v>
      </c>
      <c r="Q25" s="78" t="str">
        <v>3L</v>
      </c>
      <c r="R25" s="274" t="str">
        <f t="shared" si="0"/>
        <v>USDAM3L17Y</v>
      </c>
      <c r="S25" s="274" t="str">
        <v>USDAM3L17Y=ICAP</v>
      </c>
      <c r="T25" s="221" t="s">
        <v>219</v>
      </c>
      <c r="U25" s="221" t="s">
        <v>219</v>
      </c>
      <c r="V25" s="221" t="s">
        <v>219</v>
      </c>
      <c r="W25" s="221" t="s">
        <v>219</v>
      </c>
      <c r="X25" s="225" t="e">
        <f>_xll.qlMidSafe($T25,$U25)</f>
        <v>#NUM!</v>
      </c>
      <c r="Y25" s="223"/>
      <c r="Z25" s="224" t="e">
        <v>#NUM!</v>
      </c>
      <c r="AA25" s="223"/>
      <c r="AB25" s="296" t="e">
        <v>#NUM!</v>
      </c>
      <c r="AC25" s="220" t="e">
        <f>_xll.qlSimpleQuoteSetValue(F25,AB25/100,Trigger)</f>
        <v>#NUM!</v>
      </c>
      <c r="AD25" s="189"/>
      <c r="AE25" s="19"/>
      <c r="AF25" s="19"/>
      <c r="AG25" s="19"/>
      <c r="AH25" s="19"/>
      <c r="AI25" s="19"/>
      <c r="AJ25" s="258" t="e">
        <f t="shared" si="1"/>
        <v>#VALUE!</v>
      </c>
    </row>
    <row r="26" spans="1:36" x14ac:dyDescent="0.2">
      <c r="A26" s="116"/>
      <c r="B26" s="163" t="s">
        <v>71</v>
      </c>
      <c r="C26" s="71" t="str">
        <v>AM</v>
      </c>
      <c r="D26" s="71" t="str">
        <v>3L</v>
      </c>
      <c r="E26" s="69" t="str">
        <f t="shared" si="2"/>
        <v>USDAM3L18Y_Quote</v>
      </c>
      <c r="F26" s="69" t="str">
        <f>_xll.qlSimpleQuote(Currency&amp;$C26&amp;$D26&amp;$B26&amp;QuoteSuffix,,RateTickValue,Permanent,Trigger,ObjectOverwrite)</f>
        <v>USDAM3L18Y_Quote#0000</v>
      </c>
      <c r="G26" s="160" t="str">
        <f>_xll.ohRangeRetrieveError(F26)</f>
        <v/>
      </c>
      <c r="H26" s="42"/>
      <c r="N26" s="116"/>
      <c r="O26" s="227" t="s">
        <v>71</v>
      </c>
      <c r="P26" s="78" t="str">
        <v>AM</v>
      </c>
      <c r="Q26" s="78" t="str">
        <v>3L</v>
      </c>
      <c r="R26" s="274" t="str">
        <f t="shared" si="0"/>
        <v>USDAM3L18Y</v>
      </c>
      <c r="S26" s="274" t="str">
        <v>USDAM3L18Y=ICAP</v>
      </c>
      <c r="T26" s="221" t="s">
        <v>219</v>
      </c>
      <c r="U26" s="221" t="s">
        <v>219</v>
      </c>
      <c r="V26" s="221" t="s">
        <v>219</v>
      </c>
      <c r="W26" s="221" t="s">
        <v>219</v>
      </c>
      <c r="X26" s="225" t="e">
        <f>_xll.qlMidSafe($T26,$U26)</f>
        <v>#NUM!</v>
      </c>
      <c r="Y26" s="223"/>
      <c r="Z26" s="224" t="e">
        <v>#NUM!</v>
      </c>
      <c r="AA26" s="223"/>
      <c r="AB26" s="296" t="e">
        <v>#NUM!</v>
      </c>
      <c r="AC26" s="220" t="e">
        <f>_xll.qlSimpleQuoteSetValue(F26,AB26/100,Trigger)</f>
        <v>#NUM!</v>
      </c>
      <c r="AD26" s="189"/>
      <c r="AE26" s="19"/>
      <c r="AF26" s="19"/>
      <c r="AG26" s="19"/>
      <c r="AH26" s="19"/>
      <c r="AI26" s="19"/>
      <c r="AJ26" s="258" t="e">
        <f t="shared" si="1"/>
        <v>#VALUE!</v>
      </c>
    </row>
    <row r="27" spans="1:36" x14ac:dyDescent="0.2">
      <c r="A27" s="116"/>
      <c r="B27" s="163" t="s">
        <v>70</v>
      </c>
      <c r="C27" s="71" t="str">
        <v>AM</v>
      </c>
      <c r="D27" s="71" t="str">
        <v>3L</v>
      </c>
      <c r="E27" s="69" t="str">
        <f t="shared" si="2"/>
        <v>USDAM3L19Y_Quote</v>
      </c>
      <c r="F27" s="69" t="str">
        <f>_xll.qlSimpleQuote(Currency&amp;$C27&amp;$D27&amp;$B27&amp;QuoteSuffix,,RateTickValue,Permanent,Trigger,ObjectOverwrite)</f>
        <v>USDAM3L19Y_Quote#0000</v>
      </c>
      <c r="G27" s="160" t="str">
        <f>_xll.ohRangeRetrieveError(F27)</f>
        <v/>
      </c>
      <c r="H27" s="42"/>
      <c r="N27" s="116"/>
      <c r="O27" s="227" t="s">
        <v>70</v>
      </c>
      <c r="P27" s="78" t="str">
        <v>AM</v>
      </c>
      <c r="Q27" s="78" t="str">
        <v>3L</v>
      </c>
      <c r="R27" s="274" t="str">
        <f t="shared" si="0"/>
        <v>USDAM3L19Y</v>
      </c>
      <c r="S27" s="274" t="str">
        <v>USDAM3L19Y=ICAP</v>
      </c>
      <c r="T27" s="221" t="s">
        <v>219</v>
      </c>
      <c r="U27" s="221" t="s">
        <v>219</v>
      </c>
      <c r="V27" s="221" t="s">
        <v>219</v>
      </c>
      <c r="W27" s="221" t="s">
        <v>219</v>
      </c>
      <c r="X27" s="225" t="e">
        <f>_xll.qlMidSafe($T27,$U27)</f>
        <v>#NUM!</v>
      </c>
      <c r="Y27" s="223"/>
      <c r="Z27" s="224" t="e">
        <v>#NUM!</v>
      </c>
      <c r="AA27" s="223"/>
      <c r="AB27" s="296" t="e">
        <v>#NUM!</v>
      </c>
      <c r="AC27" s="220" t="e">
        <f>_xll.qlSimpleQuoteSetValue(F27,AB27/100,Trigger)</f>
        <v>#NUM!</v>
      </c>
      <c r="AD27" s="189"/>
      <c r="AE27" s="19"/>
      <c r="AF27" s="19"/>
      <c r="AG27" s="19"/>
      <c r="AH27" s="19"/>
      <c r="AI27" s="19"/>
      <c r="AJ27" s="258" t="e">
        <f t="shared" si="1"/>
        <v>#VALUE!</v>
      </c>
    </row>
    <row r="28" spans="1:36" x14ac:dyDescent="0.2">
      <c r="A28" s="116"/>
      <c r="B28" s="163" t="s">
        <v>69</v>
      </c>
      <c r="C28" s="71" t="str">
        <v>AM</v>
      </c>
      <c r="D28" s="71" t="str">
        <v>3L</v>
      </c>
      <c r="E28" s="69" t="str">
        <f t="shared" si="2"/>
        <v>USDAM3L20Y_Quote</v>
      </c>
      <c r="F28" s="69" t="str">
        <f>_xll.qlSimpleQuote(Currency&amp;$C28&amp;$D28&amp;$B28&amp;QuoteSuffix,,RateTickValue,Permanent,Trigger,ObjectOverwrite)</f>
        <v>USDAM3L20Y_Quote#0000</v>
      </c>
      <c r="G28" s="160" t="str">
        <f>_xll.ohRangeRetrieveError(F28)</f>
        <v/>
      </c>
      <c r="H28" s="42"/>
      <c r="N28" s="116"/>
      <c r="O28" s="227" t="s">
        <v>69</v>
      </c>
      <c r="P28" s="78" t="str">
        <v>AM</v>
      </c>
      <c r="Q28" s="78" t="str">
        <v>3L</v>
      </c>
      <c r="R28" s="274" t="str">
        <f t="shared" si="0"/>
        <v>USDAM3L20Y</v>
      </c>
      <c r="S28" s="274" t="str">
        <v>USDAM3L20Y=ICAP</v>
      </c>
      <c r="T28" s="221">
        <v>3.3410000000000002</v>
      </c>
      <c r="U28" s="221">
        <v>3.371</v>
      </c>
      <c r="V28" s="221">
        <v>0</v>
      </c>
      <c r="W28" s="221">
        <v>0</v>
      </c>
      <c r="X28" s="225">
        <f>_xll.qlMidSafe($T28,$U28)</f>
        <v>3.3559999999999999</v>
      </c>
      <c r="Y28" s="223"/>
      <c r="Z28" s="224">
        <v>3.35</v>
      </c>
      <c r="AA28" s="223"/>
      <c r="AB28" s="296">
        <v>3.3559999999999999</v>
      </c>
      <c r="AC28" s="220">
        <f>_xll.qlSimpleQuoteSetValue(F28,AB28/100,Trigger)</f>
        <v>-1.0000000000003062E-5</v>
      </c>
      <c r="AD28" s="189"/>
      <c r="AE28" s="19"/>
      <c r="AF28" s="19"/>
      <c r="AG28" s="19"/>
      <c r="AH28" s="19"/>
      <c r="AI28" s="19"/>
      <c r="AJ28" s="258">
        <f t="shared" si="1"/>
        <v>3.0000000000000247E-4</v>
      </c>
    </row>
    <row r="29" spans="1:36" x14ac:dyDescent="0.2">
      <c r="A29" s="116"/>
      <c r="B29" s="163" t="s">
        <v>68</v>
      </c>
      <c r="C29" s="71" t="str">
        <v>AM</v>
      </c>
      <c r="D29" s="71" t="str">
        <v>3L</v>
      </c>
      <c r="E29" s="69" t="str">
        <f t="shared" si="2"/>
        <v>USDAM3L21Y_Quote</v>
      </c>
      <c r="F29" s="69" t="str">
        <f>_xll.qlSimpleQuote(Currency&amp;$C29&amp;$D29&amp;$B29&amp;QuoteSuffix,,RateTickValue,Permanent,Trigger,ObjectOverwrite)</f>
        <v>USDAM3L21Y_Quote#0000</v>
      </c>
      <c r="G29" s="160" t="str">
        <f>_xll.ohRangeRetrieveError(F29)</f>
        <v/>
      </c>
      <c r="H29" s="42"/>
      <c r="N29" s="116"/>
      <c r="O29" s="227" t="s">
        <v>68</v>
      </c>
      <c r="P29" s="223" t="str">
        <v>AM</v>
      </c>
      <c r="Q29" s="223" t="str">
        <v>3L</v>
      </c>
      <c r="R29" s="274" t="str">
        <f t="shared" si="0"/>
        <v>USDAM3L21Y</v>
      </c>
      <c r="S29" s="274" t="str">
        <v>USDAM3L21Y=ICAP</v>
      </c>
      <c r="T29" s="221" t="s">
        <v>219</v>
      </c>
      <c r="U29" s="221" t="s">
        <v>219</v>
      </c>
      <c r="V29" s="221" t="s">
        <v>219</v>
      </c>
      <c r="W29" s="221" t="s">
        <v>219</v>
      </c>
      <c r="X29" s="225" t="e">
        <f>_xll.qlMidSafe($T29,$U29)</f>
        <v>#NUM!</v>
      </c>
      <c r="Y29" s="223"/>
      <c r="Z29" s="224" t="e">
        <v>#NUM!</v>
      </c>
      <c r="AA29" s="223"/>
      <c r="AB29" s="296" t="e">
        <v>#NUM!</v>
      </c>
      <c r="AC29" s="220" t="e">
        <f>_xll.qlSimpleQuoteSetValue(F29,AB29/100,Trigger)</f>
        <v>#NUM!</v>
      </c>
      <c r="AD29" s="189"/>
      <c r="AE29" s="19"/>
      <c r="AF29" s="19"/>
      <c r="AG29" s="19"/>
      <c r="AH29" s="19"/>
      <c r="AI29" s="19"/>
      <c r="AJ29" s="258" t="e">
        <f t="shared" si="1"/>
        <v>#VALUE!</v>
      </c>
    </row>
    <row r="30" spans="1:36" x14ac:dyDescent="0.2">
      <c r="A30" s="116"/>
      <c r="B30" s="163" t="s">
        <v>67</v>
      </c>
      <c r="C30" s="71" t="str">
        <v>AM</v>
      </c>
      <c r="D30" s="71" t="str">
        <v>3L</v>
      </c>
      <c r="E30" s="69" t="str">
        <f t="shared" si="2"/>
        <v>USDAM3L22Y_Quote</v>
      </c>
      <c r="F30" s="69" t="str">
        <f>_xll.qlSimpleQuote(Currency&amp;$C30&amp;$D30&amp;$B30&amp;QuoteSuffix,,RateTickValue,Permanent,Trigger,ObjectOverwrite)</f>
        <v>USDAM3L22Y_Quote#0000</v>
      </c>
      <c r="G30" s="160" t="str">
        <f>_xll.ohRangeRetrieveError(F30)</f>
        <v/>
      </c>
      <c r="H30" s="42"/>
      <c r="N30" s="116"/>
      <c r="O30" s="227" t="s">
        <v>67</v>
      </c>
      <c r="P30" s="78" t="str">
        <v>AM</v>
      </c>
      <c r="Q30" s="78" t="str">
        <v>3L</v>
      </c>
      <c r="R30" s="274" t="str">
        <f t="shared" si="0"/>
        <v>USDAM3L22Y</v>
      </c>
      <c r="S30" s="274" t="str">
        <v>USDAM3L22Y=ICAP</v>
      </c>
      <c r="T30" s="221" t="s">
        <v>219</v>
      </c>
      <c r="U30" s="221" t="s">
        <v>219</v>
      </c>
      <c r="V30" s="221" t="s">
        <v>219</v>
      </c>
      <c r="W30" s="221" t="s">
        <v>219</v>
      </c>
      <c r="X30" s="225" t="e">
        <f>_xll.qlMidSafe($T30,$U30)</f>
        <v>#NUM!</v>
      </c>
      <c r="Y30" s="223"/>
      <c r="Z30" s="224" t="e">
        <v>#NUM!</v>
      </c>
      <c r="AA30" s="223"/>
      <c r="AB30" s="296" t="e">
        <v>#NUM!</v>
      </c>
      <c r="AC30" s="220" t="e">
        <f>_xll.qlSimpleQuoteSetValue(F30,AB30/100,Trigger)</f>
        <v>#NUM!</v>
      </c>
      <c r="AD30" s="189"/>
      <c r="AE30" s="19"/>
      <c r="AF30" s="19"/>
      <c r="AG30" s="19"/>
      <c r="AH30" s="19"/>
      <c r="AI30" s="19"/>
      <c r="AJ30" s="258" t="e">
        <f t="shared" si="1"/>
        <v>#VALUE!</v>
      </c>
    </row>
    <row r="31" spans="1:36" x14ac:dyDescent="0.2">
      <c r="A31" s="116"/>
      <c r="B31" s="163" t="s">
        <v>66</v>
      </c>
      <c r="C31" s="71" t="str">
        <v>AM</v>
      </c>
      <c r="D31" s="71" t="str">
        <v>3L</v>
      </c>
      <c r="E31" s="69" t="str">
        <f t="shared" si="2"/>
        <v>USDAM3L23Y_Quote</v>
      </c>
      <c r="F31" s="69" t="str">
        <f>_xll.qlSimpleQuote(Currency&amp;$C31&amp;$D31&amp;$B31&amp;QuoteSuffix,,RateTickValue,Permanent,Trigger,ObjectOverwrite)</f>
        <v>USDAM3L23Y_Quote#0000</v>
      </c>
      <c r="G31" s="160" t="str">
        <f>_xll.ohRangeRetrieveError(F31)</f>
        <v/>
      </c>
      <c r="H31" s="42"/>
      <c r="N31" s="116"/>
      <c r="O31" s="227" t="s">
        <v>66</v>
      </c>
      <c r="P31" s="78" t="str">
        <v>AM</v>
      </c>
      <c r="Q31" s="78" t="str">
        <v>3L</v>
      </c>
      <c r="R31" s="274" t="str">
        <f t="shared" si="0"/>
        <v>USDAM3L23Y</v>
      </c>
      <c r="S31" s="274" t="str">
        <v>USDAM3L23Y=ICAP</v>
      </c>
      <c r="T31" s="221" t="s">
        <v>219</v>
      </c>
      <c r="U31" s="221" t="s">
        <v>219</v>
      </c>
      <c r="V31" s="221" t="s">
        <v>219</v>
      </c>
      <c r="W31" s="221" t="s">
        <v>219</v>
      </c>
      <c r="X31" s="225" t="e">
        <f>_xll.qlMidSafe($T31,$U31)</f>
        <v>#NUM!</v>
      </c>
      <c r="Y31" s="223"/>
      <c r="Z31" s="224" t="e">
        <v>#NUM!</v>
      </c>
      <c r="AA31" s="223"/>
      <c r="AB31" s="296" t="e">
        <v>#NUM!</v>
      </c>
      <c r="AC31" s="220" t="e">
        <f>_xll.qlSimpleQuoteSetValue(F31,AB31/100,Trigger)</f>
        <v>#NUM!</v>
      </c>
      <c r="AD31" s="189"/>
      <c r="AE31" s="19"/>
      <c r="AF31" s="19"/>
      <c r="AG31" s="19"/>
      <c r="AH31" s="19"/>
      <c r="AI31" s="19"/>
      <c r="AJ31" s="258" t="e">
        <f t="shared" si="1"/>
        <v>#VALUE!</v>
      </c>
    </row>
    <row r="32" spans="1:36" x14ac:dyDescent="0.2">
      <c r="A32" s="116"/>
      <c r="B32" s="163" t="s">
        <v>65</v>
      </c>
      <c r="C32" s="71" t="str">
        <v>AM</v>
      </c>
      <c r="D32" s="71" t="str">
        <v>3L</v>
      </c>
      <c r="E32" s="69" t="str">
        <f t="shared" si="2"/>
        <v>USDAM3L24Y_Quote</v>
      </c>
      <c r="F32" s="69" t="str">
        <f>_xll.qlSimpleQuote(Currency&amp;$C32&amp;$D32&amp;$B32&amp;QuoteSuffix,,RateTickValue,Permanent,Trigger,ObjectOverwrite)</f>
        <v>USDAM3L24Y_Quote#0000</v>
      </c>
      <c r="G32" s="160" t="str">
        <f>_xll.ohRangeRetrieveError(F32)</f>
        <v/>
      </c>
      <c r="H32" s="42"/>
      <c r="N32" s="116"/>
      <c r="O32" s="227" t="s">
        <v>65</v>
      </c>
      <c r="P32" s="78" t="str">
        <v>AM</v>
      </c>
      <c r="Q32" s="78" t="str">
        <v>3L</v>
      </c>
      <c r="R32" s="274" t="str">
        <f t="shared" si="0"/>
        <v>USDAM3L24Y</v>
      </c>
      <c r="S32" s="274" t="str">
        <v>USDAM3L24Y=ICAP</v>
      </c>
      <c r="T32" s="221" t="s">
        <v>219</v>
      </c>
      <c r="U32" s="221" t="s">
        <v>219</v>
      </c>
      <c r="V32" s="221" t="s">
        <v>219</v>
      </c>
      <c r="W32" s="221" t="s">
        <v>219</v>
      </c>
      <c r="X32" s="225" t="e">
        <f>_xll.qlMidSafe($T32,$U32)</f>
        <v>#NUM!</v>
      </c>
      <c r="Y32" s="223"/>
      <c r="Z32" s="224" t="e">
        <v>#NUM!</v>
      </c>
      <c r="AA32" s="223"/>
      <c r="AB32" s="296" t="e">
        <v>#NUM!</v>
      </c>
      <c r="AC32" s="220" t="e">
        <f>_xll.qlSimpleQuoteSetValue(F32,AB32/100,Trigger)</f>
        <v>#NUM!</v>
      </c>
      <c r="AD32" s="189"/>
      <c r="AE32" s="19"/>
      <c r="AF32" s="19"/>
      <c r="AG32" s="19"/>
      <c r="AH32" s="19"/>
      <c r="AI32" s="19"/>
      <c r="AJ32" s="258" t="e">
        <f t="shared" si="1"/>
        <v>#VALUE!</v>
      </c>
    </row>
    <row r="33" spans="1:36" x14ac:dyDescent="0.2">
      <c r="A33" s="116"/>
      <c r="B33" s="163" t="s">
        <v>64</v>
      </c>
      <c r="C33" s="71" t="str">
        <v>AM</v>
      </c>
      <c r="D33" s="71" t="str">
        <v>3L</v>
      </c>
      <c r="E33" s="69" t="str">
        <f t="shared" si="2"/>
        <v>USDAM3L25Y_Quote</v>
      </c>
      <c r="F33" s="69" t="str">
        <f>_xll.qlSimpleQuote(Currency&amp;$C33&amp;$D33&amp;$B33&amp;QuoteSuffix,,RateTickValue,Permanent,Trigger,ObjectOverwrite)</f>
        <v>USDAM3L25Y_Quote#0000</v>
      </c>
      <c r="G33" s="160" t="str">
        <f>_xll.ohRangeRetrieveError(F33)</f>
        <v/>
      </c>
      <c r="H33" s="42"/>
      <c r="N33" s="116"/>
      <c r="O33" s="227" t="s">
        <v>64</v>
      </c>
      <c r="P33" s="78" t="str">
        <v>AM</v>
      </c>
      <c r="Q33" s="78" t="str">
        <v>3L</v>
      </c>
      <c r="R33" s="274" t="str">
        <f t="shared" si="0"/>
        <v>USDAM3L25Y</v>
      </c>
      <c r="S33" s="274" t="str">
        <v>USDAM3L25Y=ICAP</v>
      </c>
      <c r="T33" s="221">
        <v>3.4140000000000001</v>
      </c>
      <c r="U33" s="221">
        <v>3.444</v>
      </c>
      <c r="V33" s="221">
        <v>0</v>
      </c>
      <c r="W33" s="221">
        <v>0</v>
      </c>
      <c r="X33" s="225">
        <f>_xll.qlMidSafe($T33,$U33)</f>
        <v>3.4290000000000003</v>
      </c>
      <c r="Y33" s="223"/>
      <c r="Z33" s="224">
        <v>3.4619999999999997</v>
      </c>
      <c r="AA33" s="223"/>
      <c r="AB33" s="296">
        <v>3.4290000000000003</v>
      </c>
      <c r="AC33" s="220">
        <f>_xll.qlSimpleQuoteSetValue(F33,AB33/100,Trigger)</f>
        <v>-9.9999999999961231E-6</v>
      </c>
      <c r="AD33" s="189"/>
      <c r="AE33" s="19"/>
      <c r="AF33" s="19"/>
      <c r="AG33" s="19"/>
      <c r="AH33" s="19"/>
      <c r="AI33" s="19"/>
      <c r="AJ33" s="258">
        <f t="shared" si="1"/>
        <v>2.9999999999999363E-4</v>
      </c>
    </row>
    <row r="34" spans="1:36" x14ac:dyDescent="0.2">
      <c r="A34" s="116"/>
      <c r="B34" s="163" t="s">
        <v>63</v>
      </c>
      <c r="C34" s="71" t="str">
        <v>AM</v>
      </c>
      <c r="D34" s="71" t="str">
        <v>3L</v>
      </c>
      <c r="E34" s="69" t="str">
        <f t="shared" si="2"/>
        <v>USDAM3L26Y_Quote</v>
      </c>
      <c r="F34" s="69" t="str">
        <f>_xll.qlSimpleQuote(Currency&amp;$C34&amp;$D34&amp;$B34&amp;QuoteSuffix,,RateTickValue,Permanent,Trigger,ObjectOverwrite)</f>
        <v>USDAM3L26Y_Quote#0000</v>
      </c>
      <c r="G34" s="160" t="str">
        <f>_xll.ohRangeRetrieveError(F34)</f>
        <v/>
      </c>
      <c r="H34" s="42"/>
      <c r="N34" s="116"/>
      <c r="O34" s="227" t="s">
        <v>63</v>
      </c>
      <c r="P34" s="78" t="str">
        <v>AM</v>
      </c>
      <c r="Q34" s="78" t="str">
        <v>3L</v>
      </c>
      <c r="R34" s="274" t="str">
        <f t="shared" si="0"/>
        <v>USDAM3L26Y</v>
      </c>
      <c r="S34" s="274" t="str">
        <v>USDAM3L26Y=ICAP</v>
      </c>
      <c r="T34" s="221" t="s">
        <v>219</v>
      </c>
      <c r="U34" s="221" t="s">
        <v>219</v>
      </c>
      <c r="V34" s="221" t="s">
        <v>219</v>
      </c>
      <c r="W34" s="221" t="s">
        <v>219</v>
      </c>
      <c r="X34" s="225" t="e">
        <f>_xll.qlMidSafe($T34,$U34)</f>
        <v>#NUM!</v>
      </c>
      <c r="Y34" s="223"/>
      <c r="Z34" s="224" t="e">
        <v>#NUM!</v>
      </c>
      <c r="AA34" s="223"/>
      <c r="AB34" s="296" t="e">
        <v>#NUM!</v>
      </c>
      <c r="AC34" s="220" t="e">
        <f>_xll.qlSimpleQuoteSetValue(F34,AB34/100,Trigger)</f>
        <v>#NUM!</v>
      </c>
      <c r="AD34" s="189"/>
      <c r="AE34" s="19"/>
      <c r="AF34" s="19"/>
      <c r="AG34" s="19"/>
      <c r="AH34" s="19"/>
      <c r="AI34" s="19"/>
      <c r="AJ34" s="258" t="e">
        <f t="shared" si="1"/>
        <v>#VALUE!</v>
      </c>
    </row>
    <row r="35" spans="1:36" x14ac:dyDescent="0.2">
      <c r="A35" s="116"/>
      <c r="B35" s="163" t="s">
        <v>62</v>
      </c>
      <c r="C35" s="71" t="str">
        <v>AM</v>
      </c>
      <c r="D35" s="71" t="str">
        <v>3L</v>
      </c>
      <c r="E35" s="69" t="str">
        <f t="shared" si="2"/>
        <v>USDAM3L27Y_Quote</v>
      </c>
      <c r="F35" s="69" t="str">
        <f>_xll.qlSimpleQuote(Currency&amp;$C35&amp;$D35&amp;$B35&amp;QuoteSuffix,,RateTickValue,Permanent,Trigger,ObjectOverwrite)</f>
        <v>USDAM3L27Y_Quote#0000</v>
      </c>
      <c r="G35" s="160" t="str">
        <f>_xll.ohRangeRetrieveError(F35)</f>
        <v/>
      </c>
      <c r="H35" s="42"/>
      <c r="N35" s="116"/>
      <c r="O35" s="227" t="s">
        <v>62</v>
      </c>
      <c r="P35" s="78" t="str">
        <v>AM</v>
      </c>
      <c r="Q35" s="78" t="str">
        <v>3L</v>
      </c>
      <c r="R35" s="274" t="str">
        <f t="shared" si="0"/>
        <v>USDAM3L27Y</v>
      </c>
      <c r="S35" s="274" t="str">
        <v>USDAM3L27Y=ICAP</v>
      </c>
      <c r="T35" s="221" t="s">
        <v>219</v>
      </c>
      <c r="U35" s="221" t="s">
        <v>219</v>
      </c>
      <c r="V35" s="221" t="s">
        <v>219</v>
      </c>
      <c r="W35" s="221" t="s">
        <v>219</v>
      </c>
      <c r="X35" s="225" t="e">
        <f>_xll.qlMidSafe($T35,$U35)</f>
        <v>#NUM!</v>
      </c>
      <c r="Y35" s="223"/>
      <c r="Z35" s="224" t="e">
        <v>#NUM!</v>
      </c>
      <c r="AA35" s="223"/>
      <c r="AB35" s="296" t="e">
        <v>#NUM!</v>
      </c>
      <c r="AC35" s="220" t="e">
        <f>_xll.qlSimpleQuoteSetValue(F35,AB35/100,Trigger)</f>
        <v>#NUM!</v>
      </c>
      <c r="AD35" s="189"/>
      <c r="AE35" s="19"/>
      <c r="AF35" s="19"/>
      <c r="AG35" s="19"/>
      <c r="AH35" s="19"/>
      <c r="AI35" s="19"/>
      <c r="AJ35" s="258" t="e">
        <f t="shared" si="1"/>
        <v>#VALUE!</v>
      </c>
    </row>
    <row r="36" spans="1:36" x14ac:dyDescent="0.2">
      <c r="A36" s="116"/>
      <c r="B36" s="163" t="s">
        <v>61</v>
      </c>
      <c r="C36" s="71" t="str">
        <v>AM</v>
      </c>
      <c r="D36" s="71" t="str">
        <v>3L</v>
      </c>
      <c r="E36" s="69" t="str">
        <f t="shared" si="2"/>
        <v>USDAM3L28Y_Quote</v>
      </c>
      <c r="F36" s="69" t="str">
        <f>_xll.qlSimpleQuote(Currency&amp;$C36&amp;$D36&amp;$B36&amp;QuoteSuffix,,RateTickValue,Permanent,Trigger,ObjectOverwrite)</f>
        <v>USDAM3L28Y_Quote#0000</v>
      </c>
      <c r="G36" s="160" t="str">
        <f>_xll.ohRangeRetrieveError(F36)</f>
        <v/>
      </c>
      <c r="H36" s="42"/>
      <c r="N36" s="116"/>
      <c r="O36" s="227" t="s">
        <v>61</v>
      </c>
      <c r="P36" s="78" t="str">
        <v>AM</v>
      </c>
      <c r="Q36" s="78" t="str">
        <v>3L</v>
      </c>
      <c r="R36" s="274" t="str">
        <f t="shared" si="0"/>
        <v>USDAM3L28Y</v>
      </c>
      <c r="S36" s="274" t="str">
        <v>USDAM3L28Y=ICAP</v>
      </c>
      <c r="T36" s="221" t="s">
        <v>219</v>
      </c>
      <c r="U36" s="221" t="s">
        <v>219</v>
      </c>
      <c r="V36" s="221" t="s">
        <v>219</v>
      </c>
      <c r="W36" s="221" t="s">
        <v>219</v>
      </c>
      <c r="X36" s="225" t="e">
        <f>_xll.qlMidSafe($T36,$U36)</f>
        <v>#NUM!</v>
      </c>
      <c r="Y36" s="223"/>
      <c r="Z36" s="224" t="e">
        <v>#NUM!</v>
      </c>
      <c r="AA36" s="223"/>
      <c r="AB36" s="296" t="e">
        <v>#NUM!</v>
      </c>
      <c r="AC36" s="220" t="e">
        <f>_xll.qlSimpleQuoteSetValue(F36,AB36/100,Trigger)</f>
        <v>#NUM!</v>
      </c>
      <c r="AD36" s="189"/>
      <c r="AE36" s="19"/>
      <c r="AF36" s="19"/>
      <c r="AG36" s="19"/>
      <c r="AH36" s="19"/>
      <c r="AI36" s="19"/>
      <c r="AJ36" s="258" t="e">
        <f t="shared" si="1"/>
        <v>#VALUE!</v>
      </c>
    </row>
    <row r="37" spans="1:36" x14ac:dyDescent="0.2">
      <c r="A37" s="116"/>
      <c r="B37" s="163" t="s">
        <v>60</v>
      </c>
      <c r="C37" s="71" t="str">
        <v>AM</v>
      </c>
      <c r="D37" s="71" t="str">
        <v>3L</v>
      </c>
      <c r="E37" s="69" t="str">
        <f t="shared" si="2"/>
        <v>USDAM3L29Y_Quote</v>
      </c>
      <c r="F37" s="69" t="str">
        <f>_xll.qlSimpleQuote(Currency&amp;$C37&amp;$D37&amp;$B37&amp;QuoteSuffix,,RateTickValue,Permanent,Trigger,ObjectOverwrite)</f>
        <v>USDAM3L29Y_Quote#0000</v>
      </c>
      <c r="G37" s="160" t="str">
        <f>_xll.ohRangeRetrieveError(F37)</f>
        <v/>
      </c>
      <c r="H37" s="42"/>
      <c r="N37" s="116"/>
      <c r="O37" s="227" t="s">
        <v>60</v>
      </c>
      <c r="P37" s="78" t="str">
        <v>AM</v>
      </c>
      <c r="Q37" s="78" t="str">
        <v>3L</v>
      </c>
      <c r="R37" s="274" t="str">
        <f t="shared" si="0"/>
        <v>USDAM3L29Y</v>
      </c>
      <c r="S37" s="274" t="str">
        <v>USDAM3L29Y=ICAP</v>
      </c>
      <c r="T37" s="221" t="s">
        <v>219</v>
      </c>
      <c r="U37" s="221" t="s">
        <v>219</v>
      </c>
      <c r="V37" s="221" t="s">
        <v>219</v>
      </c>
      <c r="W37" s="221" t="s">
        <v>219</v>
      </c>
      <c r="X37" s="225" t="e">
        <f>_xll.qlMidSafe($T37,$U37)</f>
        <v>#NUM!</v>
      </c>
      <c r="Y37" s="223"/>
      <c r="Z37" s="224" t="e">
        <v>#NUM!</v>
      </c>
      <c r="AA37" s="223"/>
      <c r="AB37" s="296" t="e">
        <v>#NUM!</v>
      </c>
      <c r="AC37" s="220" t="e">
        <f>_xll.qlSimpleQuoteSetValue(F37,AB37/100,Trigger)</f>
        <v>#NUM!</v>
      </c>
      <c r="AD37" s="189"/>
      <c r="AE37" s="19"/>
      <c r="AF37" s="19"/>
      <c r="AG37" s="19"/>
      <c r="AH37" s="19"/>
      <c r="AI37" s="19"/>
      <c r="AJ37" s="258" t="e">
        <f t="shared" si="1"/>
        <v>#VALUE!</v>
      </c>
    </row>
    <row r="38" spans="1:36" x14ac:dyDescent="0.2">
      <c r="A38" s="116"/>
      <c r="B38" s="163" t="s">
        <v>59</v>
      </c>
      <c r="C38" s="71" t="str">
        <v>AM</v>
      </c>
      <c r="D38" s="71" t="str">
        <v>3L</v>
      </c>
      <c r="E38" s="69" t="str">
        <f t="shared" si="2"/>
        <v>USDAM3L30Y_Quote</v>
      </c>
      <c r="F38" s="69" t="str">
        <f>_xll.qlSimpleQuote(Currency&amp;$C38&amp;$D38&amp;$B38&amp;QuoteSuffix,,RateTickValue,Permanent,Trigger,ObjectOverwrite)</f>
        <v>USDAM3L30Y_Quote#0000</v>
      </c>
      <c r="G38" s="160" t="str">
        <f>_xll.ohRangeRetrieveError(F38)</f>
        <v/>
      </c>
      <c r="H38" s="42"/>
      <c r="N38" s="116"/>
      <c r="O38" s="227" t="s">
        <v>59</v>
      </c>
      <c r="P38" s="78" t="str">
        <v>AM</v>
      </c>
      <c r="Q38" s="78" t="str">
        <v>3L</v>
      </c>
      <c r="R38" s="274" t="str">
        <f t="shared" si="0"/>
        <v>USDAM3L30Y</v>
      </c>
      <c r="S38" s="274" t="str">
        <v>USDAM3L30Y=ICAP</v>
      </c>
      <c r="T38" s="221">
        <v>3.4449999999999998</v>
      </c>
      <c r="U38" s="221">
        <v>3.4750000000000001</v>
      </c>
      <c r="V38" s="221">
        <v>0</v>
      </c>
      <c r="W38" s="221">
        <v>0</v>
      </c>
      <c r="X38" s="225">
        <f>_xll.qlMidSafe($T38,$U38)</f>
        <v>3.46</v>
      </c>
      <c r="Y38" s="223"/>
      <c r="Z38" s="224">
        <v>3.5220000000000002</v>
      </c>
      <c r="AA38" s="223"/>
      <c r="AB38" s="296">
        <v>3.46</v>
      </c>
      <c r="AC38" s="220">
        <f>_xll.qlSimpleQuoteSetValue(F38,AB38/100,Trigger)</f>
        <v>0</v>
      </c>
      <c r="AD38" s="189"/>
      <c r="AE38" s="19"/>
      <c r="AF38" s="19"/>
      <c r="AG38" s="19"/>
      <c r="AH38" s="19"/>
      <c r="AI38" s="19"/>
      <c r="AJ38" s="258">
        <f t="shared" si="1"/>
        <v>3.0000000000000247E-4</v>
      </c>
    </row>
    <row r="39" spans="1:36" x14ac:dyDescent="0.2">
      <c r="A39" s="116"/>
      <c r="B39" s="163" t="s">
        <v>54</v>
      </c>
      <c r="C39" s="71" t="str">
        <v>AM</v>
      </c>
      <c r="D39" s="71" t="str">
        <v>3L</v>
      </c>
      <c r="E39" s="69" t="str">
        <f t="shared" si="2"/>
        <v>USDAM3L35Y_Quote</v>
      </c>
      <c r="F39" s="69" t="str">
        <f>_xll.qlSimpleQuote(Currency&amp;$C39&amp;$D39&amp;$B39&amp;QuoteSuffix,,RateTickValue,Permanent,Trigger,ObjectOverwrite)</f>
        <v>USDAM3L35Y_Quote#0000</v>
      </c>
      <c r="G39" s="160" t="str">
        <f>_xll.ohRangeRetrieveError(F39)</f>
        <v/>
      </c>
      <c r="H39" s="42"/>
      <c r="N39" s="116"/>
      <c r="O39" s="227" t="s">
        <v>54</v>
      </c>
      <c r="P39" s="78" t="str">
        <v>AM</v>
      </c>
      <c r="Q39" s="78" t="str">
        <v>3L</v>
      </c>
      <c r="R39" s="274" t="str">
        <f t="shared" si="0"/>
        <v>USDAM3L35Y</v>
      </c>
      <c r="S39" s="274" t="str">
        <v>USDAM3L35Y=ICAP</v>
      </c>
      <c r="T39" s="221" t="s">
        <v>219</v>
      </c>
      <c r="U39" s="221" t="s">
        <v>219</v>
      </c>
      <c r="V39" s="221" t="s">
        <v>219</v>
      </c>
      <c r="W39" s="221" t="s">
        <v>219</v>
      </c>
      <c r="X39" s="225" t="e">
        <f>_xll.qlMidSafe($T39,$U39)</f>
        <v>#NUM!</v>
      </c>
      <c r="Y39" s="223"/>
      <c r="Z39" s="224" t="e">
        <v>#NUM!</v>
      </c>
      <c r="AA39" s="223"/>
      <c r="AB39" s="296" t="e">
        <v>#NUM!</v>
      </c>
      <c r="AC39" s="220" t="e">
        <f>_xll.qlSimpleQuoteSetValue(F39,AB39/100,Trigger)</f>
        <v>#NUM!</v>
      </c>
      <c r="AD39" s="189"/>
      <c r="AE39" s="19"/>
      <c r="AF39" s="19"/>
      <c r="AG39" s="19"/>
      <c r="AH39" s="19"/>
      <c r="AI39" s="19"/>
      <c r="AJ39" s="258" t="e">
        <f t="shared" si="1"/>
        <v>#VALUE!</v>
      </c>
    </row>
    <row r="40" spans="1:36" x14ac:dyDescent="0.2">
      <c r="A40" s="116"/>
      <c r="B40" s="163" t="s">
        <v>49</v>
      </c>
      <c r="C40" s="71" t="str">
        <v>AM</v>
      </c>
      <c r="D40" s="71" t="str">
        <v>3L</v>
      </c>
      <c r="E40" s="69" t="str">
        <f t="shared" si="2"/>
        <v>USDAM3L40Y_Quote</v>
      </c>
      <c r="F40" s="69" t="str">
        <f>_xll.qlSimpleQuote(Currency&amp;$C40&amp;$D40&amp;$B40&amp;QuoteSuffix,,RateTickValue,Permanent,Trigger,ObjectOverwrite)</f>
        <v>USDAM3L40Y_Quote#0000</v>
      </c>
      <c r="G40" s="160" t="str">
        <f>_xll.ohRangeRetrieveError(F40)</f>
        <v/>
      </c>
      <c r="H40" s="42"/>
      <c r="N40" s="116"/>
      <c r="O40" s="227" t="s">
        <v>49</v>
      </c>
      <c r="P40" s="78" t="str">
        <v>AM</v>
      </c>
      <c r="Q40" s="78" t="str">
        <v>3L</v>
      </c>
      <c r="R40" s="274" t="str">
        <f t="shared" si="0"/>
        <v>USDAM3L40Y</v>
      </c>
      <c r="S40" s="274" t="str">
        <v>USDAM3L40Y=ICAP</v>
      </c>
      <c r="T40" s="221">
        <v>3.4630000000000001</v>
      </c>
      <c r="U40" s="221">
        <v>3.4929999999999999</v>
      </c>
      <c r="V40" s="221">
        <v>0</v>
      </c>
      <c r="W40" s="221">
        <v>0</v>
      </c>
      <c r="X40" s="225">
        <f>_xll.qlMidSafe($T40,$U40)</f>
        <v>3.4779999999999998</v>
      </c>
      <c r="Y40" s="223"/>
      <c r="Z40" s="224">
        <v>3.5369999999999999</v>
      </c>
      <c r="AA40" s="223"/>
      <c r="AB40" s="296">
        <v>3.4779999999999998</v>
      </c>
      <c r="AC40" s="220">
        <f>_xll.qlSimpleQuoteSetValue(F40,AB40/100,Trigger)</f>
        <v>0</v>
      </c>
      <c r="AD40" s="189"/>
      <c r="AE40" s="19"/>
      <c r="AF40" s="19"/>
      <c r="AG40" s="19"/>
      <c r="AH40" s="19"/>
      <c r="AI40" s="19"/>
      <c r="AJ40" s="258">
        <f t="shared" si="1"/>
        <v>3.0000000000000247E-4</v>
      </c>
    </row>
    <row r="41" spans="1:36" x14ac:dyDescent="0.2">
      <c r="A41" s="116"/>
      <c r="B41" s="163" t="s">
        <v>39</v>
      </c>
      <c r="C41" s="71" t="str">
        <v>AM</v>
      </c>
      <c r="D41" s="71" t="str">
        <v>3L</v>
      </c>
      <c r="E41" s="69" t="str">
        <f t="shared" si="2"/>
        <v>USDAM3L50Y_Quote</v>
      </c>
      <c r="F41" s="69" t="str">
        <f>_xll.qlSimpleQuote(Currency&amp;$C41&amp;$D41&amp;$B41&amp;QuoteSuffix,,RateTickValue,Permanent,Trigger,ObjectOverwrite)</f>
        <v>USDAM3L50Y_Quote#0000</v>
      </c>
      <c r="G41" s="160" t="str">
        <f>_xll.ohRangeRetrieveError(F41)</f>
        <v/>
      </c>
      <c r="H41" s="42"/>
      <c r="N41" s="116"/>
      <c r="O41" s="227" t="s">
        <v>39</v>
      </c>
      <c r="P41" s="78" t="str">
        <v>AM</v>
      </c>
      <c r="Q41" s="78" t="str">
        <v>3L</v>
      </c>
      <c r="R41" s="274" t="str">
        <f t="shared" si="0"/>
        <v>USDAM3L50Y</v>
      </c>
      <c r="S41" s="274" t="str">
        <v>USDAM3L50Y=ICAP</v>
      </c>
      <c r="T41" s="221">
        <v>3.4449999999999998</v>
      </c>
      <c r="U41" s="221">
        <v>3.4750000000000001</v>
      </c>
      <c r="V41" s="221">
        <v>0</v>
      </c>
      <c r="W41" s="221">
        <v>0</v>
      </c>
      <c r="X41" s="225">
        <f>_xll.qlMidSafe($T41,$U41)</f>
        <v>3.46</v>
      </c>
      <c r="Y41" s="223"/>
      <c r="Z41" s="224">
        <v>3.524</v>
      </c>
      <c r="AA41" s="223"/>
      <c r="AB41" s="296">
        <v>3.46</v>
      </c>
      <c r="AC41" s="220">
        <f>_xll.qlSimpleQuoteSetValue(F41,AB41/100,Trigger)</f>
        <v>0</v>
      </c>
      <c r="AD41" s="189"/>
      <c r="AE41" s="19"/>
      <c r="AF41" s="19"/>
      <c r="AG41" s="19"/>
      <c r="AH41" s="19"/>
      <c r="AI41" s="19"/>
      <c r="AJ41" s="258">
        <f t="shared" si="1"/>
        <v>3.0000000000000247E-4</v>
      </c>
    </row>
    <row r="42" spans="1:36" x14ac:dyDescent="0.2">
      <c r="A42" s="116"/>
      <c r="B42" s="163" t="s">
        <v>29</v>
      </c>
      <c r="C42" s="71" t="str">
        <v>AM</v>
      </c>
      <c r="D42" s="71" t="str">
        <v>3L</v>
      </c>
      <c r="E42" s="69" t="str">
        <f t="shared" si="2"/>
        <v>USDAM3L60Y_Quote</v>
      </c>
      <c r="F42" s="69" t="str">
        <f>_xll.qlSimpleQuote(Currency&amp;$C42&amp;$D42&amp;$B42&amp;QuoteSuffix,,RateTickValue,Permanent,Trigger,ObjectOverwrite)</f>
        <v>USDAM3L60Y_Quote#0000</v>
      </c>
      <c r="G42" s="160" t="str">
        <f>_xll.ohRangeRetrieveError(F42)</f>
        <v/>
      </c>
      <c r="H42" s="42"/>
      <c r="N42" s="116"/>
      <c r="O42" s="239" t="s">
        <v>29</v>
      </c>
      <c r="P42" s="229" t="str">
        <v>AM</v>
      </c>
      <c r="Q42" s="229" t="str">
        <v>3L</v>
      </c>
      <c r="R42" s="269" t="str">
        <f t="shared" si="0"/>
        <v>USDAM3L60Y</v>
      </c>
      <c r="S42" s="269" t="str">
        <v>USDAM3L60Y=ICAP</v>
      </c>
      <c r="T42" s="234" t="s">
        <v>219</v>
      </c>
      <c r="U42" s="234" t="s">
        <v>219</v>
      </c>
      <c r="V42" s="234" t="s">
        <v>219</v>
      </c>
      <c r="W42" s="234" t="s">
        <v>219</v>
      </c>
      <c r="X42" s="237" t="e">
        <f>_xll.qlMidSafe($T42,$U42)</f>
        <v>#NUM!</v>
      </c>
      <c r="Y42" s="223"/>
      <c r="Z42" s="236" t="e">
        <v>#NUM!</v>
      </c>
      <c r="AA42" s="223"/>
      <c r="AB42" s="289" t="e">
        <v>#NUM!</v>
      </c>
      <c r="AC42" s="233" t="e">
        <f>_xll.qlSimpleQuoteSetValue(F42,AB42/100,Trigger)</f>
        <v>#NUM!</v>
      </c>
      <c r="AD42" s="189"/>
      <c r="AE42" s="19"/>
      <c r="AF42" s="19"/>
      <c r="AG42" s="19"/>
      <c r="AH42" s="19"/>
      <c r="AI42" s="19"/>
      <c r="AJ42" s="258" t="e">
        <f t="shared" si="1"/>
        <v>#VALUE!</v>
      </c>
    </row>
    <row r="43" spans="1:36" ht="13.5" thickBot="1" x14ac:dyDescent="0.25">
      <c r="A43" s="41"/>
      <c r="B43" s="40"/>
      <c r="C43" s="40"/>
      <c r="D43" s="40"/>
      <c r="E43" s="40"/>
      <c r="F43" s="110"/>
      <c r="G43" s="110"/>
      <c r="H43" s="39"/>
      <c r="N43" s="182"/>
      <c r="O43" s="181"/>
      <c r="P43" s="181"/>
      <c r="Q43" s="181"/>
      <c r="R43" s="40"/>
      <c r="S43" s="40"/>
      <c r="T43" s="40"/>
      <c r="U43" s="40"/>
      <c r="V43" s="40"/>
      <c r="W43" s="40"/>
      <c r="X43" s="40"/>
      <c r="Y43" s="181"/>
      <c r="Z43" s="181"/>
      <c r="AA43" s="181"/>
      <c r="AB43" s="181"/>
      <c r="AC43" s="181"/>
      <c r="AD43" s="259"/>
      <c r="AE43" s="19"/>
      <c r="AF43" s="19"/>
      <c r="AG43" s="19"/>
      <c r="AH43" s="19"/>
      <c r="AI43" s="19"/>
      <c r="AJ43" s="19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97" customWidth="1"/>
    <col min="2" max="2" width="6.5703125" style="19" bestFit="1" customWidth="1"/>
    <col min="3" max="3" width="3.140625" style="97" bestFit="1" customWidth="1"/>
    <col min="4" max="4" width="2.7109375" style="97" bestFit="1" customWidth="1"/>
    <col min="5" max="5" width="18" style="97" bestFit="1" customWidth="1"/>
    <col min="6" max="6" width="20.140625" style="180" bestFit="1" customWidth="1"/>
    <col min="7" max="7" width="38.28515625" style="97" customWidth="1"/>
    <col min="8" max="9" width="2.7109375" style="97" customWidth="1"/>
    <col min="10" max="10" width="8.5703125" style="97" bestFit="1" customWidth="1"/>
    <col min="11" max="11" width="3.28515625" style="97" bestFit="1" customWidth="1"/>
    <col min="12" max="12" width="9.5703125" style="97" bestFit="1" customWidth="1"/>
    <col min="13" max="14" width="2.7109375" style="97" customWidth="1"/>
    <col min="15" max="17" width="9.140625" style="97"/>
    <col min="18" max="18" width="10.85546875" style="97" bestFit="1" customWidth="1"/>
    <col min="19" max="19" width="15.140625" style="97" bestFit="1" customWidth="1"/>
    <col min="20" max="22" width="9.140625" style="97"/>
    <col min="23" max="23" width="10.140625" style="97" customWidth="1"/>
    <col min="24" max="24" width="9.140625" style="97"/>
    <col min="25" max="25" width="2.7109375" style="97" customWidth="1"/>
    <col min="26" max="26" width="9.140625" style="97"/>
    <col min="27" max="27" width="2.7109375" style="97" customWidth="1"/>
    <col min="28" max="29" width="9.140625" style="97"/>
    <col min="30" max="31" width="2.7109375" style="97" customWidth="1"/>
    <col min="32" max="16384" width="9.140625" style="97"/>
  </cols>
  <sheetData>
    <row r="1" spans="1:36" ht="12" thickBot="1" x14ac:dyDescent="0.25">
      <c r="N1" s="287" t="s">
        <v>286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67"/>
      <c r="AE1" s="19"/>
      <c r="AF1" s="19"/>
      <c r="AG1" s="19"/>
      <c r="AH1" s="19"/>
      <c r="AI1" s="19"/>
      <c r="AJ1" s="19"/>
    </row>
    <row r="2" spans="1:36" x14ac:dyDescent="0.2">
      <c r="J2" s="179" t="s">
        <v>190</v>
      </c>
      <c r="K2" s="178" t="s">
        <v>188</v>
      </c>
      <c r="L2" s="177" t="s">
        <v>187</v>
      </c>
      <c r="N2" s="256"/>
      <c r="O2" s="131"/>
      <c r="P2" s="255"/>
      <c r="Q2" s="255"/>
      <c r="R2" s="255"/>
      <c r="S2" s="138" t="s">
        <v>220</v>
      </c>
      <c r="T2" s="223"/>
      <c r="U2" s="223"/>
      <c r="V2" s="223"/>
      <c r="W2" s="223"/>
      <c r="X2" s="131"/>
      <c r="Y2" s="223"/>
      <c r="Z2" s="223"/>
      <c r="AA2" s="223"/>
      <c r="AB2" s="223"/>
      <c r="AC2" s="131"/>
      <c r="AD2" s="42"/>
      <c r="AE2" s="19"/>
      <c r="AF2" s="19"/>
      <c r="AG2" s="19"/>
      <c r="AH2" s="19"/>
      <c r="AI2" s="19"/>
      <c r="AJ2" s="19"/>
    </row>
    <row r="3" spans="1:36" ht="12" thickBot="1" x14ac:dyDescent="0.25">
      <c r="J3" s="176" t="s">
        <v>110</v>
      </c>
      <c r="K3" s="185" t="s">
        <v>186</v>
      </c>
      <c r="L3" s="184" t="s">
        <v>104</v>
      </c>
      <c r="N3" s="116"/>
      <c r="O3" s="223"/>
      <c r="P3" s="131"/>
      <c r="Q3" s="131"/>
      <c r="R3" s="131"/>
      <c r="S3" s="131"/>
      <c r="T3" s="131"/>
      <c r="U3" s="131"/>
      <c r="V3" s="131"/>
      <c r="W3" s="131"/>
      <c r="X3" s="131"/>
      <c r="Y3" s="223"/>
      <c r="Z3" s="223"/>
      <c r="AA3" s="223"/>
      <c r="AB3" s="131"/>
      <c r="AC3" s="253">
        <f>_xll.ohTrigger(AC5:AC42)</f>
        <v>1</v>
      </c>
      <c r="AD3" s="189"/>
      <c r="AE3" s="19"/>
      <c r="AF3" s="19"/>
      <c r="AG3" s="19"/>
      <c r="AH3" s="19"/>
      <c r="AI3" s="19"/>
      <c r="AJ3" s="19"/>
    </row>
    <row r="4" spans="1:36" ht="12" thickBot="1" x14ac:dyDescent="0.25">
      <c r="A4" s="188" t="s">
        <v>191</v>
      </c>
      <c r="B4" s="170"/>
      <c r="C4" s="170"/>
      <c r="D4" s="170"/>
      <c r="E4" s="149"/>
      <c r="F4" s="187"/>
      <c r="G4" s="149"/>
      <c r="H4" s="167"/>
      <c r="J4" s="176" t="s">
        <v>109</v>
      </c>
      <c r="K4" s="78" t="s">
        <v>186</v>
      </c>
      <c r="L4" s="77" t="s">
        <v>107</v>
      </c>
      <c r="N4" s="116"/>
      <c r="O4" s="339"/>
      <c r="P4" s="165"/>
      <c r="Q4" s="165"/>
      <c r="R4" s="165"/>
      <c r="S4" s="218" t="str">
        <f>_xll.RData(S5:S42,T4:W4,"RTFEED:IDN",ReutersRtMode,,T5)</f>
        <v>Paused at 15:28:02</v>
      </c>
      <c r="T4" s="284" t="s">
        <v>207</v>
      </c>
      <c r="U4" s="284" t="s">
        <v>206</v>
      </c>
      <c r="V4" s="284" t="s">
        <v>224</v>
      </c>
      <c r="W4" s="284" t="s">
        <v>242</v>
      </c>
      <c r="X4" s="249" t="s">
        <v>241</v>
      </c>
      <c r="Y4" s="223"/>
      <c r="Z4" s="251" t="s">
        <v>237</v>
      </c>
      <c r="AA4" s="223"/>
      <c r="AB4" s="454" t="s">
        <v>235</v>
      </c>
      <c r="AC4" s="87" t="s">
        <v>234</v>
      </c>
      <c r="AD4" s="189"/>
      <c r="AE4" s="19"/>
      <c r="AF4" s="19"/>
      <c r="AG4" s="19"/>
      <c r="AH4" s="19"/>
      <c r="AI4" s="19"/>
      <c r="AJ4" s="282" t="s">
        <v>240</v>
      </c>
    </row>
    <row r="5" spans="1:36" x14ac:dyDescent="0.2">
      <c r="A5" s="116"/>
      <c r="B5" s="86" t="s">
        <v>114</v>
      </c>
      <c r="C5" s="86"/>
      <c r="D5" s="86"/>
      <c r="E5" s="85" t="str">
        <f>Currency&amp;"_010_Sw"&amp;$C$6&amp;$D$6&amp;".xml"</f>
        <v>USD_010_SwAM6L.xml</v>
      </c>
      <c r="F5" s="84" t="str">
        <f>IF(Serialize,_xll.ohObjectSave(F6:F42,SerializationPath&amp;E5,FileOverwrite,Serialize),"---")</f>
        <v>---</v>
      </c>
      <c r="G5" s="68" t="str">
        <f>_xll.ohRangeRetrieveError(F5)</f>
        <v/>
      </c>
      <c r="H5" s="42"/>
      <c r="J5" s="176" t="s">
        <v>106</v>
      </c>
      <c r="K5" s="78" t="s">
        <v>185</v>
      </c>
      <c r="L5" s="77" t="s">
        <v>104</v>
      </c>
      <c r="N5" s="116"/>
      <c r="O5" s="227" t="s">
        <v>15</v>
      </c>
      <c r="P5" s="276" t="str">
        <f t="array" ref="P5:P42">VLOOKUP(Currency,Conventions,2)</f>
        <v>AM</v>
      </c>
      <c r="Q5" s="276" t="str">
        <f t="array" ref="Q5:Q42">VLOOKUP(Currency,Conventions,3)</f>
        <v>6L</v>
      </c>
      <c r="R5" s="226" t="str">
        <f t="shared" ref="R5:R42" si="0">Currency&amp;$P5&amp;$Q5&amp;$O5</f>
        <v>USDAM6L6M</v>
      </c>
      <c r="S5" s="226" t="str">
        <f t="array" ref="S5:S42">Instruments&amp;"="&amp;VLOOKUP(Contributor,ContributorTable,2,FALSE)</f>
        <v>USDAM6L6M=ICAP</v>
      </c>
      <c r="T5" s="221" t="s">
        <v>219</v>
      </c>
      <c r="U5" s="221" t="s">
        <v>219</v>
      </c>
      <c r="V5" s="221" t="s">
        <v>219</v>
      </c>
      <c r="W5" s="221" t="s">
        <v>219</v>
      </c>
      <c r="X5" s="225" t="e">
        <f>_xll.qlMidSafe($T5,$U5)</f>
        <v>#NUM!</v>
      </c>
      <c r="Y5" s="223"/>
      <c r="Z5" s="224">
        <v>0</v>
      </c>
      <c r="AA5" s="223"/>
      <c r="AB5" s="296" t="e">
        <f t="array" ref="AB5:AB42">QuoteLive</f>
        <v>#NUM!</v>
      </c>
      <c r="AC5" s="220" t="e">
        <f>_xll.qlSimpleQuoteSetValue(F5,AB5/100,Trigger)</f>
        <v>#NUM!</v>
      </c>
      <c r="AD5" s="189"/>
      <c r="AE5" s="19"/>
      <c r="AF5" s="337" t="s">
        <v>110</v>
      </c>
      <c r="AG5" s="81" t="s">
        <v>186</v>
      </c>
      <c r="AH5" s="80" t="s">
        <v>104</v>
      </c>
      <c r="AI5" s="19"/>
      <c r="AJ5" s="258" t="e">
        <f t="shared" ref="AJ5:AJ42" si="1">(U5-X5)/50</f>
        <v>#VALUE!</v>
      </c>
    </row>
    <row r="6" spans="1:36" x14ac:dyDescent="0.2">
      <c r="A6" s="116"/>
      <c r="B6" s="183" t="s">
        <v>9</v>
      </c>
      <c r="C6" s="71" t="str">
        <f t="array" ref="C6:C42">VLOOKUP(Currency,SwapSecondarySetConventions,2)</f>
        <v>AM</v>
      </c>
      <c r="D6" s="71" t="str">
        <f t="array" ref="D6:D42">VLOOKUP(Currency,SwapSecondarySetConventions,3)</f>
        <v>6L</v>
      </c>
      <c r="E6" s="69" t="str">
        <f t="shared" ref="E6:E42" si="2">Currency&amp;$C6&amp;$D6&amp;$B6&amp;QuoteSuffix</f>
        <v>USDAM6L1Y_Quote</v>
      </c>
      <c r="F6" s="69" t="str">
        <f>_xll.qlSimpleQuote(Currency&amp;$C6&amp;$D6&amp;$B6&amp;QuoteSuffix,,RateTickValue,Permanent,Trigger,ObjectOverwrite)</f>
        <v>USDAM6L1Y_Quote#0000</v>
      </c>
      <c r="G6" s="68" t="str">
        <f>_xll.ohRangeRetrieveError(F6)</f>
        <v/>
      </c>
      <c r="H6" s="42"/>
      <c r="J6" s="176" t="s">
        <v>105</v>
      </c>
      <c r="K6" s="185" t="s">
        <v>185</v>
      </c>
      <c r="L6" s="184" t="s">
        <v>104</v>
      </c>
      <c r="N6" s="116"/>
      <c r="O6" s="227" t="s">
        <v>9</v>
      </c>
      <c r="P6" s="276" t="str">
        <v>AM</v>
      </c>
      <c r="Q6" s="276" t="str">
        <v>6L</v>
      </c>
      <c r="R6" s="226" t="str">
        <f t="shared" si="0"/>
        <v>USDAM6L1Y</v>
      </c>
      <c r="S6" s="226" t="str">
        <v>USDAM6L1Y=ICAP</v>
      </c>
      <c r="T6" s="221" t="s">
        <v>219</v>
      </c>
      <c r="U6" s="221" t="s">
        <v>219</v>
      </c>
      <c r="V6" s="221" t="s">
        <v>219</v>
      </c>
      <c r="W6" s="221" t="s">
        <v>219</v>
      </c>
      <c r="X6" s="225" t="e">
        <f>_xll.qlMidSafe($T6,$U6)</f>
        <v>#NUM!</v>
      </c>
      <c r="Y6" s="223"/>
      <c r="Z6" s="224">
        <v>0</v>
      </c>
      <c r="AA6" s="223"/>
      <c r="AB6" s="296" t="e">
        <v>#NUM!</v>
      </c>
      <c r="AC6" s="220" t="e">
        <f>_xll.qlSimpleQuoteSetValue(F6,AB6/100,Trigger)</f>
        <v>#NUM!</v>
      </c>
      <c r="AD6" s="189"/>
      <c r="AE6" s="19"/>
      <c r="AF6" s="176" t="s">
        <v>109</v>
      </c>
      <c r="AG6" s="78" t="s">
        <v>186</v>
      </c>
      <c r="AH6" s="77" t="s">
        <v>107</v>
      </c>
      <c r="AI6" s="19"/>
      <c r="AJ6" s="258" t="e">
        <f t="shared" si="1"/>
        <v>#VALUE!</v>
      </c>
    </row>
    <row r="7" spans="1:36" ht="12" thickBot="1" x14ac:dyDescent="0.25">
      <c r="A7" s="116"/>
      <c r="B7" s="186" t="s">
        <v>113</v>
      </c>
      <c r="C7" s="71" t="str">
        <v>AM</v>
      </c>
      <c r="D7" s="71" t="str">
        <v>6L</v>
      </c>
      <c r="E7" s="69" t="str">
        <f t="shared" si="2"/>
        <v>USDAM6L15M_Quote</v>
      </c>
      <c r="F7" s="69" t="str">
        <f>_xll.qlSimpleQuote(Currency&amp;$C7&amp;$D7&amp;$B7&amp;QuoteSuffix,,RateTickValue,Permanent,Trigger,ObjectOverwrite)</f>
        <v>USDAM6L15M_Quote#0000</v>
      </c>
      <c r="G7" s="68" t="str">
        <f>_xll.ohRangeRetrieveError(F7)</f>
        <v/>
      </c>
      <c r="H7" s="42"/>
      <c r="J7" s="175" t="s">
        <v>100</v>
      </c>
      <c r="K7" s="75" t="s">
        <v>184</v>
      </c>
      <c r="L7" s="74" t="s">
        <v>104</v>
      </c>
      <c r="N7" s="116"/>
      <c r="O7" s="227" t="s">
        <v>113</v>
      </c>
      <c r="P7" s="276" t="str">
        <v>AM</v>
      </c>
      <c r="Q7" s="276" t="str">
        <v>6L</v>
      </c>
      <c r="R7" s="226" t="str">
        <f t="shared" si="0"/>
        <v>USDAM6L15M</v>
      </c>
      <c r="S7" s="226" t="str">
        <v>USDAM6L15M=ICAP</v>
      </c>
      <c r="T7" s="221" t="s">
        <v>219</v>
      </c>
      <c r="U7" s="221" t="s">
        <v>219</v>
      </c>
      <c r="V7" s="221" t="s">
        <v>219</v>
      </c>
      <c r="W7" s="221" t="s">
        <v>219</v>
      </c>
      <c r="X7" s="225" t="e">
        <f>_xll.qlMidEquivalent($T7,$U7,$V7,$W7)</f>
        <v>#NUM!</v>
      </c>
      <c r="Y7" s="223"/>
      <c r="Z7" s="224">
        <v>0</v>
      </c>
      <c r="AA7" s="223"/>
      <c r="AB7" s="296" t="e">
        <v>#NUM!</v>
      </c>
      <c r="AC7" s="220" t="e">
        <f>_xll.qlSimpleQuoteSetValue(F7,AB7/100,Trigger)</f>
        <v>#NUM!</v>
      </c>
      <c r="AD7" s="189"/>
      <c r="AE7" s="19"/>
      <c r="AF7" s="176" t="s">
        <v>106</v>
      </c>
      <c r="AG7" s="78" t="s">
        <v>185</v>
      </c>
      <c r="AH7" s="77" t="s">
        <v>104</v>
      </c>
      <c r="AI7" s="338"/>
      <c r="AJ7" s="258" t="e">
        <f t="shared" si="1"/>
        <v>#VALUE!</v>
      </c>
    </row>
    <row r="8" spans="1:36" x14ac:dyDescent="0.2">
      <c r="A8" s="116"/>
      <c r="B8" s="186" t="s">
        <v>112</v>
      </c>
      <c r="C8" s="71" t="str">
        <v>AM</v>
      </c>
      <c r="D8" s="71" t="str">
        <v>6L</v>
      </c>
      <c r="E8" s="69" t="str">
        <f t="shared" si="2"/>
        <v>USDAM6L18M_Quote</v>
      </c>
      <c r="F8" s="69" t="str">
        <f>_xll.qlSimpleQuote(Currency&amp;$C8&amp;$D8&amp;$B8&amp;QuoteSuffix,,RateTickValue,Permanent,Trigger,ObjectOverwrite)</f>
        <v>USDAM6L18M_Quote#0000</v>
      </c>
      <c r="G8" s="68" t="str">
        <f>_xll.ohRangeRetrieveError(F8)</f>
        <v/>
      </c>
      <c r="H8" s="42"/>
      <c r="N8" s="116"/>
      <c r="O8" s="227" t="s">
        <v>112</v>
      </c>
      <c r="P8" s="276" t="str">
        <v>AM</v>
      </c>
      <c r="Q8" s="276" t="str">
        <v>6L</v>
      </c>
      <c r="R8" s="226" t="str">
        <f t="shared" si="0"/>
        <v>USDAM6L18M</v>
      </c>
      <c r="S8" s="226" t="str">
        <v>USDAM6L18M=ICAP</v>
      </c>
      <c r="T8" s="221" t="s">
        <v>219</v>
      </c>
      <c r="U8" s="221" t="s">
        <v>219</v>
      </c>
      <c r="V8" s="221" t="s">
        <v>219</v>
      </c>
      <c r="W8" s="221" t="s">
        <v>219</v>
      </c>
      <c r="X8" s="225" t="e">
        <f>_xll.qlMidEquivalent($T8,$U8,$V8,$W8)</f>
        <v>#NUM!</v>
      </c>
      <c r="Y8" s="223"/>
      <c r="Z8" s="224">
        <v>0</v>
      </c>
      <c r="AA8" s="223"/>
      <c r="AB8" s="296" t="e">
        <v>#NUM!</v>
      </c>
      <c r="AC8" s="220" t="e">
        <f>_xll.qlSimpleQuoteSetValue(F8,AB8/100,Trigger)</f>
        <v>#NUM!</v>
      </c>
      <c r="AD8" s="189"/>
      <c r="AE8" s="19"/>
      <c r="AF8" s="176" t="s">
        <v>105</v>
      </c>
      <c r="AG8" s="78" t="s">
        <v>185</v>
      </c>
      <c r="AH8" s="77" t="s">
        <v>104</v>
      </c>
      <c r="AI8" s="338"/>
      <c r="AJ8" s="258" t="e">
        <f t="shared" si="1"/>
        <v>#VALUE!</v>
      </c>
    </row>
    <row r="9" spans="1:36" ht="12" thickBot="1" x14ac:dyDescent="0.25">
      <c r="A9" s="116"/>
      <c r="B9" s="186" t="s">
        <v>111</v>
      </c>
      <c r="C9" s="71" t="str">
        <v>AM</v>
      </c>
      <c r="D9" s="71" t="str">
        <v>6L</v>
      </c>
      <c r="E9" s="69" t="str">
        <f t="shared" si="2"/>
        <v>USDAM6L21M_Quote</v>
      </c>
      <c r="F9" s="69" t="str">
        <f>_xll.qlSimpleQuote(Currency&amp;$C9&amp;$D9&amp;$B9&amp;QuoteSuffix,,RateTickValue,Permanent,Trigger,ObjectOverwrite)</f>
        <v>USDAM6L21M_Quote#0000</v>
      </c>
      <c r="G9" s="68" t="str">
        <f>_xll.ohRangeRetrieveError(F9)</f>
        <v/>
      </c>
      <c r="H9" s="42"/>
      <c r="N9" s="116"/>
      <c r="O9" s="227" t="s">
        <v>111</v>
      </c>
      <c r="P9" s="276" t="str">
        <v>AM</v>
      </c>
      <c r="Q9" s="276" t="str">
        <v>6L</v>
      </c>
      <c r="R9" s="226" t="str">
        <f t="shared" si="0"/>
        <v>USDAM6L21M</v>
      </c>
      <c r="S9" s="226" t="str">
        <v>USDAM6L21M=ICAP</v>
      </c>
      <c r="T9" s="221" t="s">
        <v>219</v>
      </c>
      <c r="U9" s="221" t="s">
        <v>219</v>
      </c>
      <c r="V9" s="221" t="s">
        <v>219</v>
      </c>
      <c r="W9" s="221" t="s">
        <v>219</v>
      </c>
      <c r="X9" s="225" t="e">
        <f>_xll.qlMidEquivalent($T9,$U9,$V9,$W9)</f>
        <v>#NUM!</v>
      </c>
      <c r="Y9" s="223"/>
      <c r="Z9" s="224">
        <v>0</v>
      </c>
      <c r="AA9" s="223"/>
      <c r="AB9" s="296" t="e">
        <v>#NUM!</v>
      </c>
      <c r="AC9" s="220" t="e">
        <f>_xll.qlSimpleQuoteSetValue(F9,AB9/100,Trigger)</f>
        <v>#NUM!</v>
      </c>
      <c r="AD9" s="189"/>
      <c r="AE9" s="19"/>
      <c r="AF9" s="175" t="s">
        <v>100</v>
      </c>
      <c r="AG9" s="75" t="s">
        <v>184</v>
      </c>
      <c r="AH9" s="74" t="s">
        <v>104</v>
      </c>
      <c r="AI9" s="19"/>
      <c r="AJ9" s="258" t="e">
        <f t="shared" si="1"/>
        <v>#VALUE!</v>
      </c>
    </row>
    <row r="10" spans="1:36" x14ac:dyDescent="0.2">
      <c r="A10" s="116"/>
      <c r="B10" s="183" t="s">
        <v>87</v>
      </c>
      <c r="C10" s="71" t="str">
        <v>AM</v>
      </c>
      <c r="D10" s="71" t="str">
        <v>6L</v>
      </c>
      <c r="E10" s="69" t="str">
        <f t="shared" si="2"/>
        <v>USDAM6L2Y_Quote</v>
      </c>
      <c r="F10" s="69" t="str">
        <f>_xll.qlSimpleQuote(Currency&amp;$C10&amp;$D10&amp;$B10&amp;QuoteSuffix,,RateTickValue,Permanent,Trigger,ObjectOverwrite)</f>
        <v>USDAM6L2Y_Quote#0000</v>
      </c>
      <c r="G10" s="68" t="str">
        <f>_xll.ohRangeRetrieveError(F10)</f>
        <v/>
      </c>
      <c r="H10" s="42"/>
      <c r="N10" s="116"/>
      <c r="O10" s="227" t="s">
        <v>87</v>
      </c>
      <c r="P10" s="276" t="str">
        <v>AM</v>
      </c>
      <c r="Q10" s="276" t="str">
        <v>6L</v>
      </c>
      <c r="R10" s="226" t="str">
        <f t="shared" si="0"/>
        <v>USDAM6L2Y</v>
      </c>
      <c r="S10" s="226" t="str">
        <v>USDAM6L2Y=ICAP</v>
      </c>
      <c r="T10" s="221" t="s">
        <v>219</v>
      </c>
      <c r="U10" s="221" t="s">
        <v>219</v>
      </c>
      <c r="V10" s="221" t="s">
        <v>219</v>
      </c>
      <c r="W10" s="221" t="s">
        <v>219</v>
      </c>
      <c r="X10" s="225" t="e">
        <f>_xll.qlMidEquivalent($T10,$U10,$V10,$W10)</f>
        <v>#NUM!</v>
      </c>
      <c r="Y10" s="223"/>
      <c r="Z10" s="224">
        <v>0</v>
      </c>
      <c r="AA10" s="223"/>
      <c r="AB10" s="296" t="e">
        <v>#NUM!</v>
      </c>
      <c r="AC10" s="220" t="e">
        <f>_xll.qlSimpleQuoteSetValue(F10,AB10/100,Trigger)</f>
        <v>#NUM!</v>
      </c>
      <c r="AD10" s="189"/>
      <c r="AE10" s="19"/>
      <c r="AF10" s="19"/>
      <c r="AG10" s="19"/>
      <c r="AH10" s="19"/>
      <c r="AI10" s="19"/>
      <c r="AJ10" s="258" t="e">
        <f t="shared" si="1"/>
        <v>#VALUE!</v>
      </c>
    </row>
    <row r="11" spans="1:36" x14ac:dyDescent="0.2">
      <c r="A11" s="116"/>
      <c r="B11" s="183" t="s">
        <v>86</v>
      </c>
      <c r="C11" s="71" t="str">
        <v>AM</v>
      </c>
      <c r="D11" s="71" t="str">
        <v>6L</v>
      </c>
      <c r="E11" s="69" t="str">
        <f t="shared" si="2"/>
        <v>USDAM6L3Y_Quote</v>
      </c>
      <c r="F11" s="69" t="str">
        <f>_xll.qlSimpleQuote(Currency&amp;$C11&amp;$D11&amp;$B11&amp;QuoteSuffix,,RateTickValue,Permanent,Trigger,ObjectOverwrite)</f>
        <v>USDAM6L3Y_Quote#0000</v>
      </c>
      <c r="G11" s="68" t="str">
        <f>_xll.ohRangeRetrieveError(F11)</f>
        <v/>
      </c>
      <c r="H11" s="42"/>
      <c r="N11" s="116"/>
      <c r="O11" s="227" t="s">
        <v>86</v>
      </c>
      <c r="P11" s="276" t="str">
        <v>AM</v>
      </c>
      <c r="Q11" s="276" t="str">
        <v>6L</v>
      </c>
      <c r="R11" s="226" t="str">
        <f t="shared" si="0"/>
        <v>USDAM6L3Y</v>
      </c>
      <c r="S11" s="226" t="str">
        <v>USDAM6L3Y=ICAP</v>
      </c>
      <c r="T11" s="221" t="s">
        <v>219</v>
      </c>
      <c r="U11" s="221" t="s">
        <v>219</v>
      </c>
      <c r="V11" s="221" t="s">
        <v>219</v>
      </c>
      <c r="W11" s="221" t="s">
        <v>219</v>
      </c>
      <c r="X11" s="225" t="e">
        <f>_xll.qlMidEquivalent($T11,$U11,$V11,$W11)</f>
        <v>#NUM!</v>
      </c>
      <c r="Y11" s="223"/>
      <c r="Z11" s="224">
        <v>0</v>
      </c>
      <c r="AA11" s="223"/>
      <c r="AB11" s="296" t="e">
        <v>#NUM!</v>
      </c>
      <c r="AC11" s="220" t="e">
        <f>_xll.qlSimpleQuoteSetValue(F11,AB11/100,Trigger)</f>
        <v>#NUM!</v>
      </c>
      <c r="AD11" s="189"/>
      <c r="AE11" s="19"/>
      <c r="AF11" s="19"/>
      <c r="AG11" s="19"/>
      <c r="AH11" s="19"/>
      <c r="AI11" s="19"/>
      <c r="AJ11" s="258" t="e">
        <f t="shared" si="1"/>
        <v>#VALUE!</v>
      </c>
    </row>
    <row r="12" spans="1:36" x14ac:dyDescent="0.2">
      <c r="A12" s="116"/>
      <c r="B12" s="183" t="s">
        <v>85</v>
      </c>
      <c r="C12" s="71" t="str">
        <v>AM</v>
      </c>
      <c r="D12" s="71" t="str">
        <v>6L</v>
      </c>
      <c r="E12" s="69" t="str">
        <f t="shared" si="2"/>
        <v>USDAM6L4Y_Quote</v>
      </c>
      <c r="F12" s="69" t="str">
        <f>_xll.qlSimpleQuote(Currency&amp;$C12&amp;$D12&amp;$B12&amp;QuoteSuffix,,RateTickValue,Permanent,Trigger,ObjectOverwrite)</f>
        <v>USDAM6L4Y_Quote#0000</v>
      </c>
      <c r="G12" s="68" t="str">
        <f>_xll.ohRangeRetrieveError(F12)</f>
        <v/>
      </c>
      <c r="H12" s="42"/>
      <c r="N12" s="116"/>
      <c r="O12" s="227" t="s">
        <v>85</v>
      </c>
      <c r="P12" s="276" t="str">
        <v>AM</v>
      </c>
      <c r="Q12" s="276" t="str">
        <v>6L</v>
      </c>
      <c r="R12" s="226" t="str">
        <f t="shared" si="0"/>
        <v>USDAM6L4Y</v>
      </c>
      <c r="S12" s="226" t="str">
        <v>USDAM6L4Y=ICAP</v>
      </c>
      <c r="T12" s="221" t="s">
        <v>219</v>
      </c>
      <c r="U12" s="221" t="s">
        <v>219</v>
      </c>
      <c r="V12" s="221" t="s">
        <v>219</v>
      </c>
      <c r="W12" s="221" t="s">
        <v>219</v>
      </c>
      <c r="X12" s="225" t="e">
        <f>_xll.qlMidEquivalent($T12,$U12,$V12,$W12)</f>
        <v>#NUM!</v>
      </c>
      <c r="Y12" s="223"/>
      <c r="Z12" s="224">
        <v>0</v>
      </c>
      <c r="AA12" s="223"/>
      <c r="AB12" s="296" t="e">
        <v>#NUM!</v>
      </c>
      <c r="AC12" s="220" t="e">
        <f>_xll.qlSimpleQuoteSetValue(F12,AB12/100,Trigger)</f>
        <v>#NUM!</v>
      </c>
      <c r="AD12" s="189"/>
      <c r="AE12" s="19"/>
      <c r="AF12" s="19"/>
      <c r="AG12" s="19"/>
      <c r="AH12" s="19"/>
      <c r="AI12" s="19"/>
      <c r="AJ12" s="258" t="e">
        <f t="shared" si="1"/>
        <v>#VALUE!</v>
      </c>
    </row>
    <row r="13" spans="1:36" x14ac:dyDescent="0.2">
      <c r="A13" s="116"/>
      <c r="B13" s="183" t="s">
        <v>84</v>
      </c>
      <c r="C13" s="71" t="str">
        <v>AM</v>
      </c>
      <c r="D13" s="71" t="str">
        <v>6L</v>
      </c>
      <c r="E13" s="69" t="str">
        <f t="shared" si="2"/>
        <v>USDAM6L5Y_Quote</v>
      </c>
      <c r="F13" s="69" t="str">
        <f>_xll.qlSimpleQuote(Currency&amp;$C13&amp;$D13&amp;$B13&amp;QuoteSuffix,,RateTickValue,Permanent,Trigger,ObjectOverwrite)</f>
        <v>USDAM6L5Y_Quote#0000</v>
      </c>
      <c r="G13" s="68" t="str">
        <f>_xll.ohRangeRetrieveError(F13)</f>
        <v/>
      </c>
      <c r="H13" s="42"/>
      <c r="N13" s="116"/>
      <c r="O13" s="227" t="s">
        <v>84</v>
      </c>
      <c r="P13" s="276" t="str">
        <v>AM</v>
      </c>
      <c r="Q13" s="276" t="str">
        <v>6L</v>
      </c>
      <c r="R13" s="226" t="str">
        <f t="shared" si="0"/>
        <v>USDAM6L5Y</v>
      </c>
      <c r="S13" s="226" t="str">
        <v>USDAM6L5Y=ICAP</v>
      </c>
      <c r="T13" s="221" t="s">
        <v>219</v>
      </c>
      <c r="U13" s="221" t="s">
        <v>219</v>
      </c>
      <c r="V13" s="221" t="s">
        <v>219</v>
      </c>
      <c r="W13" s="221" t="s">
        <v>219</v>
      </c>
      <c r="X13" s="225" t="e">
        <f>_xll.qlMidEquivalent($T13,$U13,$V13,$W13)</f>
        <v>#NUM!</v>
      </c>
      <c r="Y13" s="223"/>
      <c r="Z13" s="224">
        <v>0</v>
      </c>
      <c r="AA13" s="223"/>
      <c r="AB13" s="296" t="e">
        <v>#NUM!</v>
      </c>
      <c r="AC13" s="220" t="e">
        <f>_xll.qlSimpleQuoteSetValue(F13,AB13/100,Trigger)</f>
        <v>#NUM!</v>
      </c>
      <c r="AD13" s="189"/>
      <c r="AE13" s="19"/>
      <c r="AF13" s="19"/>
      <c r="AG13" s="19"/>
      <c r="AH13" s="19"/>
      <c r="AI13" s="19"/>
      <c r="AJ13" s="258" t="e">
        <f t="shared" si="1"/>
        <v>#VALUE!</v>
      </c>
    </row>
    <row r="14" spans="1:36" x14ac:dyDescent="0.2">
      <c r="A14" s="116"/>
      <c r="B14" s="183" t="s">
        <v>83</v>
      </c>
      <c r="C14" s="71" t="str">
        <v>AM</v>
      </c>
      <c r="D14" s="71" t="str">
        <v>6L</v>
      </c>
      <c r="E14" s="69" t="str">
        <f t="shared" si="2"/>
        <v>USDAM6L6Y_Quote</v>
      </c>
      <c r="F14" s="69" t="str">
        <f>_xll.qlSimpleQuote(Currency&amp;$C14&amp;$D14&amp;$B14&amp;QuoteSuffix,,RateTickValue,Permanent,Trigger,ObjectOverwrite)</f>
        <v>USDAM6L6Y_Quote#0000</v>
      </c>
      <c r="G14" s="68" t="str">
        <f>_xll.ohRangeRetrieveError(F14)</f>
        <v/>
      </c>
      <c r="H14" s="42"/>
      <c r="N14" s="116"/>
      <c r="O14" s="227" t="s">
        <v>83</v>
      </c>
      <c r="P14" s="276" t="str">
        <v>AM</v>
      </c>
      <c r="Q14" s="276" t="str">
        <v>6L</v>
      </c>
      <c r="R14" s="226" t="str">
        <f t="shared" si="0"/>
        <v>USDAM6L6Y</v>
      </c>
      <c r="S14" s="226" t="str">
        <v>USDAM6L6Y=ICAP</v>
      </c>
      <c r="T14" s="221" t="s">
        <v>219</v>
      </c>
      <c r="U14" s="221" t="s">
        <v>219</v>
      </c>
      <c r="V14" s="221" t="s">
        <v>219</v>
      </c>
      <c r="W14" s="221" t="s">
        <v>219</v>
      </c>
      <c r="X14" s="225" t="e">
        <f>_xll.qlMidEquivalent($T14,$U14,$V14,$W14)</f>
        <v>#NUM!</v>
      </c>
      <c r="Y14" s="223"/>
      <c r="Z14" s="224">
        <v>0</v>
      </c>
      <c r="AA14" s="223"/>
      <c r="AB14" s="296" t="e">
        <v>#NUM!</v>
      </c>
      <c r="AC14" s="220" t="e">
        <f>_xll.qlSimpleQuoteSetValue(F14,AB14/100,Trigger)</f>
        <v>#NUM!</v>
      </c>
      <c r="AD14" s="189"/>
      <c r="AE14" s="19"/>
      <c r="AF14" s="19"/>
      <c r="AG14" s="19"/>
      <c r="AH14" s="19"/>
      <c r="AI14" s="19"/>
      <c r="AJ14" s="258" t="e">
        <f t="shared" si="1"/>
        <v>#VALUE!</v>
      </c>
    </row>
    <row r="15" spans="1:36" x14ac:dyDescent="0.2">
      <c r="A15" s="116"/>
      <c r="B15" s="183" t="s">
        <v>82</v>
      </c>
      <c r="C15" s="71" t="str">
        <v>AM</v>
      </c>
      <c r="D15" s="71" t="str">
        <v>6L</v>
      </c>
      <c r="E15" s="69" t="str">
        <f t="shared" si="2"/>
        <v>USDAM6L7Y_Quote</v>
      </c>
      <c r="F15" s="69" t="str">
        <f>_xll.qlSimpleQuote(Currency&amp;$C15&amp;$D15&amp;$B15&amp;QuoteSuffix,,RateTickValue,Permanent,Trigger,ObjectOverwrite)</f>
        <v>USDAM6L7Y_Quote#0000</v>
      </c>
      <c r="G15" s="68" t="str">
        <f>_xll.ohRangeRetrieveError(F15)</f>
        <v/>
      </c>
      <c r="H15" s="42"/>
      <c r="N15" s="116"/>
      <c r="O15" s="227" t="s">
        <v>82</v>
      </c>
      <c r="P15" s="276" t="str">
        <v>AM</v>
      </c>
      <c r="Q15" s="276" t="str">
        <v>6L</v>
      </c>
      <c r="R15" s="226" t="str">
        <f t="shared" si="0"/>
        <v>USDAM6L7Y</v>
      </c>
      <c r="S15" s="226" t="str">
        <v>USDAM6L7Y=ICAP</v>
      </c>
      <c r="T15" s="221" t="s">
        <v>219</v>
      </c>
      <c r="U15" s="221" t="s">
        <v>219</v>
      </c>
      <c r="V15" s="221" t="s">
        <v>219</v>
      </c>
      <c r="W15" s="221" t="s">
        <v>219</v>
      </c>
      <c r="X15" s="225" t="e">
        <f>_xll.qlMidEquivalent($T15,$U15,$V15,$W15)</f>
        <v>#NUM!</v>
      </c>
      <c r="Y15" s="223"/>
      <c r="Z15" s="224">
        <v>0</v>
      </c>
      <c r="AA15" s="223"/>
      <c r="AB15" s="296" t="e">
        <v>#NUM!</v>
      </c>
      <c r="AC15" s="220" t="e">
        <f>_xll.qlSimpleQuoteSetValue(F15,AB15/100,Trigger)</f>
        <v>#NUM!</v>
      </c>
      <c r="AD15" s="189"/>
      <c r="AE15" s="19"/>
      <c r="AF15" s="19"/>
      <c r="AG15" s="19"/>
      <c r="AH15" s="19"/>
      <c r="AI15" s="19"/>
      <c r="AJ15" s="258" t="e">
        <f t="shared" si="1"/>
        <v>#VALUE!</v>
      </c>
    </row>
    <row r="16" spans="1:36" x14ac:dyDescent="0.2">
      <c r="A16" s="116"/>
      <c r="B16" s="183" t="s">
        <v>81</v>
      </c>
      <c r="C16" s="71" t="str">
        <v>AM</v>
      </c>
      <c r="D16" s="71" t="str">
        <v>6L</v>
      </c>
      <c r="E16" s="69" t="str">
        <f t="shared" si="2"/>
        <v>USDAM6L8Y_Quote</v>
      </c>
      <c r="F16" s="69" t="str">
        <f>_xll.qlSimpleQuote(Currency&amp;$C16&amp;$D16&amp;$B16&amp;QuoteSuffix,,RateTickValue,Permanent,Trigger,ObjectOverwrite)</f>
        <v>USDAM6L8Y_Quote#0000</v>
      </c>
      <c r="G16" s="68" t="str">
        <f>_xll.ohRangeRetrieveError(F16)</f>
        <v/>
      </c>
      <c r="H16" s="42"/>
      <c r="N16" s="116"/>
      <c r="O16" s="227" t="s">
        <v>81</v>
      </c>
      <c r="P16" s="276" t="str">
        <v>AM</v>
      </c>
      <c r="Q16" s="276" t="str">
        <v>6L</v>
      </c>
      <c r="R16" s="226" t="str">
        <f t="shared" si="0"/>
        <v>USDAM6L8Y</v>
      </c>
      <c r="S16" s="226" t="str">
        <v>USDAM6L8Y=ICAP</v>
      </c>
      <c r="T16" s="221" t="s">
        <v>219</v>
      </c>
      <c r="U16" s="221" t="s">
        <v>219</v>
      </c>
      <c r="V16" s="221" t="s">
        <v>219</v>
      </c>
      <c r="W16" s="221" t="s">
        <v>219</v>
      </c>
      <c r="X16" s="225" t="e">
        <f>_xll.qlMidEquivalent($T16,$U16,$V16,$W16)</f>
        <v>#NUM!</v>
      </c>
      <c r="Y16" s="223"/>
      <c r="Z16" s="224">
        <v>0</v>
      </c>
      <c r="AA16" s="223"/>
      <c r="AB16" s="296" t="e">
        <v>#NUM!</v>
      </c>
      <c r="AC16" s="220" t="e">
        <f>_xll.qlSimpleQuoteSetValue(F16,AB16/100,Trigger)</f>
        <v>#NUM!</v>
      </c>
      <c r="AD16" s="189"/>
      <c r="AE16" s="19"/>
      <c r="AF16" s="19"/>
      <c r="AG16" s="19"/>
      <c r="AH16" s="19"/>
      <c r="AI16" s="19"/>
      <c r="AJ16" s="258" t="e">
        <f t="shared" si="1"/>
        <v>#VALUE!</v>
      </c>
    </row>
    <row r="17" spans="1:36" x14ac:dyDescent="0.2">
      <c r="A17" s="116"/>
      <c r="B17" s="183" t="s">
        <v>80</v>
      </c>
      <c r="C17" s="71" t="str">
        <v>AM</v>
      </c>
      <c r="D17" s="71" t="str">
        <v>6L</v>
      </c>
      <c r="E17" s="69" t="str">
        <f t="shared" si="2"/>
        <v>USDAM6L9Y_Quote</v>
      </c>
      <c r="F17" s="69" t="str">
        <f>_xll.qlSimpleQuote(Currency&amp;$C17&amp;$D17&amp;$B17&amp;QuoteSuffix,,RateTickValue,Permanent,Trigger,ObjectOverwrite)</f>
        <v>USDAM6L9Y_Quote#0000</v>
      </c>
      <c r="G17" s="68" t="str">
        <f>_xll.ohRangeRetrieveError(F17)</f>
        <v/>
      </c>
      <c r="H17" s="42"/>
      <c r="N17" s="116"/>
      <c r="O17" s="227" t="s">
        <v>80</v>
      </c>
      <c r="P17" s="276" t="str">
        <v>AM</v>
      </c>
      <c r="Q17" s="276" t="str">
        <v>6L</v>
      </c>
      <c r="R17" s="226" t="str">
        <f t="shared" si="0"/>
        <v>USDAM6L9Y</v>
      </c>
      <c r="S17" s="226" t="str">
        <v>USDAM6L9Y=ICAP</v>
      </c>
      <c r="T17" s="221" t="s">
        <v>219</v>
      </c>
      <c r="U17" s="221" t="s">
        <v>219</v>
      </c>
      <c r="V17" s="221" t="s">
        <v>219</v>
      </c>
      <c r="W17" s="221" t="s">
        <v>219</v>
      </c>
      <c r="X17" s="225" t="e">
        <f>_xll.qlMidEquivalent($T17,$U17,$V17,$W17)</f>
        <v>#NUM!</v>
      </c>
      <c r="Y17" s="223"/>
      <c r="Z17" s="224">
        <v>0</v>
      </c>
      <c r="AA17" s="223"/>
      <c r="AB17" s="296" t="e">
        <v>#NUM!</v>
      </c>
      <c r="AC17" s="220" t="e">
        <f>_xll.qlSimpleQuoteSetValue(F17,AB17/100,Trigger)</f>
        <v>#NUM!</v>
      </c>
      <c r="AD17" s="189"/>
      <c r="AE17" s="19"/>
      <c r="AF17" s="19"/>
      <c r="AG17" s="19"/>
      <c r="AH17" s="19"/>
      <c r="AI17" s="19"/>
      <c r="AJ17" s="258" t="e">
        <f t="shared" si="1"/>
        <v>#VALUE!</v>
      </c>
    </row>
    <row r="18" spans="1:36" x14ac:dyDescent="0.2">
      <c r="A18" s="116"/>
      <c r="B18" s="183" t="s">
        <v>79</v>
      </c>
      <c r="C18" s="71" t="str">
        <v>AM</v>
      </c>
      <c r="D18" s="71" t="str">
        <v>6L</v>
      </c>
      <c r="E18" s="69" t="str">
        <f t="shared" si="2"/>
        <v>USDAM6L10Y_Quote</v>
      </c>
      <c r="F18" s="69" t="str">
        <f>_xll.qlSimpleQuote(Currency&amp;$C18&amp;$D18&amp;$B18&amp;QuoteSuffix,,RateTickValue,Permanent,Trigger,ObjectOverwrite)</f>
        <v>USDAM6L10Y_Quote#0000</v>
      </c>
      <c r="G18" s="68" t="str">
        <f>_xll.ohRangeRetrieveError(F18)</f>
        <v/>
      </c>
      <c r="H18" s="42"/>
      <c r="N18" s="116"/>
      <c r="O18" s="227" t="s">
        <v>79</v>
      </c>
      <c r="P18" s="276" t="str">
        <v>AM</v>
      </c>
      <c r="Q18" s="276" t="str">
        <v>6L</v>
      </c>
      <c r="R18" s="226" t="str">
        <f t="shared" si="0"/>
        <v>USDAM6L10Y</v>
      </c>
      <c r="S18" s="226" t="str">
        <v>USDAM6L10Y=ICAP</v>
      </c>
      <c r="T18" s="221" t="s">
        <v>219</v>
      </c>
      <c r="U18" s="221" t="s">
        <v>219</v>
      </c>
      <c r="V18" s="221" t="s">
        <v>219</v>
      </c>
      <c r="W18" s="221" t="s">
        <v>219</v>
      </c>
      <c r="X18" s="225" t="e">
        <f>_xll.qlMidEquivalent($T18,$U18,$V18,$W18)</f>
        <v>#NUM!</v>
      </c>
      <c r="Y18" s="223"/>
      <c r="Z18" s="224">
        <v>0</v>
      </c>
      <c r="AA18" s="223"/>
      <c r="AB18" s="296" t="e">
        <v>#NUM!</v>
      </c>
      <c r="AC18" s="220" t="e">
        <f>_xll.qlSimpleQuoteSetValue(F18,AB18/100,Trigger)</f>
        <v>#NUM!</v>
      </c>
      <c r="AD18" s="189"/>
      <c r="AE18" s="19"/>
      <c r="AF18" s="19"/>
      <c r="AG18" s="19"/>
      <c r="AH18" s="19"/>
      <c r="AI18" s="19"/>
      <c r="AJ18" s="258" t="e">
        <f t="shared" si="1"/>
        <v>#VALUE!</v>
      </c>
    </row>
    <row r="19" spans="1:36" x14ac:dyDescent="0.2">
      <c r="A19" s="116"/>
      <c r="B19" s="183" t="s">
        <v>78</v>
      </c>
      <c r="C19" s="71" t="str">
        <v>AM</v>
      </c>
      <c r="D19" s="71" t="str">
        <v>6L</v>
      </c>
      <c r="E19" s="69" t="str">
        <f t="shared" si="2"/>
        <v>USDAM6L11Y_Quote</v>
      </c>
      <c r="F19" s="69" t="str">
        <f>_xll.qlSimpleQuote(Currency&amp;$C19&amp;$D19&amp;$B19&amp;QuoteSuffix,,RateTickValue,Permanent,Trigger,ObjectOverwrite)</f>
        <v>USDAM6L11Y_Quote#0000</v>
      </c>
      <c r="G19" s="68" t="str">
        <f>_xll.ohRangeRetrieveError(F19)</f>
        <v/>
      </c>
      <c r="H19" s="42"/>
      <c r="N19" s="116"/>
      <c r="O19" s="227" t="s">
        <v>78</v>
      </c>
      <c r="P19" s="276" t="str">
        <v>AM</v>
      </c>
      <c r="Q19" s="276" t="str">
        <v>6L</v>
      </c>
      <c r="R19" s="226" t="str">
        <f t="shared" si="0"/>
        <v>USDAM6L11Y</v>
      </c>
      <c r="S19" s="226" t="str">
        <v>USDAM6L11Y=ICAP</v>
      </c>
      <c r="T19" s="221" t="s">
        <v>219</v>
      </c>
      <c r="U19" s="221" t="s">
        <v>219</v>
      </c>
      <c r="V19" s="221" t="s">
        <v>219</v>
      </c>
      <c r="W19" s="221" t="s">
        <v>219</v>
      </c>
      <c r="X19" s="225" t="e">
        <f>_xll.qlMidEquivalent($T19,$U19,$V19,$W19)</f>
        <v>#NUM!</v>
      </c>
      <c r="Y19" s="223"/>
      <c r="Z19" s="224">
        <v>0</v>
      </c>
      <c r="AA19" s="223"/>
      <c r="AB19" s="296" t="e">
        <v>#NUM!</v>
      </c>
      <c r="AC19" s="220" t="e">
        <f>_xll.qlSimpleQuoteSetValue(F19,AB19/100,Trigger)</f>
        <v>#NUM!</v>
      </c>
      <c r="AD19" s="189"/>
      <c r="AE19" s="19"/>
      <c r="AF19" s="19"/>
      <c r="AG19" s="19"/>
      <c r="AH19" s="19"/>
      <c r="AI19" s="19"/>
      <c r="AJ19" s="258" t="e">
        <f t="shared" si="1"/>
        <v>#VALUE!</v>
      </c>
    </row>
    <row r="20" spans="1:36" x14ac:dyDescent="0.2">
      <c r="A20" s="116"/>
      <c r="B20" s="183" t="s">
        <v>77</v>
      </c>
      <c r="C20" s="71" t="str">
        <v>AM</v>
      </c>
      <c r="D20" s="71" t="str">
        <v>6L</v>
      </c>
      <c r="E20" s="69" t="str">
        <f t="shared" si="2"/>
        <v>USDAM6L12Y_Quote</v>
      </c>
      <c r="F20" s="69" t="str">
        <f>_xll.qlSimpleQuote(Currency&amp;$C20&amp;$D20&amp;$B20&amp;QuoteSuffix,,RateTickValue,Permanent,Trigger,ObjectOverwrite)</f>
        <v>USDAM6L12Y_Quote#0000</v>
      </c>
      <c r="G20" s="68" t="str">
        <f>_xll.ohRangeRetrieveError(F20)</f>
        <v/>
      </c>
      <c r="H20" s="42"/>
      <c r="N20" s="116"/>
      <c r="O20" s="227" t="s">
        <v>77</v>
      </c>
      <c r="P20" s="276" t="str">
        <v>AM</v>
      </c>
      <c r="Q20" s="276" t="str">
        <v>6L</v>
      </c>
      <c r="R20" s="226" t="str">
        <f t="shared" si="0"/>
        <v>USDAM6L12Y</v>
      </c>
      <c r="S20" s="226" t="str">
        <v>USDAM6L12Y=ICAP</v>
      </c>
      <c r="T20" s="221" t="s">
        <v>219</v>
      </c>
      <c r="U20" s="221" t="s">
        <v>219</v>
      </c>
      <c r="V20" s="221" t="s">
        <v>219</v>
      </c>
      <c r="W20" s="221" t="s">
        <v>219</v>
      </c>
      <c r="X20" s="225" t="e">
        <f>_xll.qlMidEquivalent($T20,$U20,$V20,$W20)</f>
        <v>#NUM!</v>
      </c>
      <c r="Y20" s="223"/>
      <c r="Z20" s="224">
        <v>0</v>
      </c>
      <c r="AA20" s="223"/>
      <c r="AB20" s="296" t="e">
        <v>#NUM!</v>
      </c>
      <c r="AC20" s="220" t="e">
        <f>_xll.qlSimpleQuoteSetValue(F20,AB20/100,Trigger)</f>
        <v>#NUM!</v>
      </c>
      <c r="AD20" s="189"/>
      <c r="AE20" s="19"/>
      <c r="AF20" s="19"/>
      <c r="AG20" s="19"/>
      <c r="AH20" s="19"/>
      <c r="AI20" s="19"/>
      <c r="AJ20" s="258" t="e">
        <f t="shared" si="1"/>
        <v>#VALUE!</v>
      </c>
    </row>
    <row r="21" spans="1:36" x14ac:dyDescent="0.2">
      <c r="A21" s="116"/>
      <c r="B21" s="183" t="s">
        <v>76</v>
      </c>
      <c r="C21" s="71" t="str">
        <v>AM</v>
      </c>
      <c r="D21" s="71" t="str">
        <v>6L</v>
      </c>
      <c r="E21" s="69" t="str">
        <f t="shared" si="2"/>
        <v>USDAM6L13Y_Quote</v>
      </c>
      <c r="F21" s="69" t="str">
        <f>_xll.qlSimpleQuote(Currency&amp;$C21&amp;$D21&amp;$B21&amp;QuoteSuffix,,RateTickValue,Permanent,Trigger,ObjectOverwrite)</f>
        <v>USDAM6L13Y_Quote#0000</v>
      </c>
      <c r="G21" s="68" t="str">
        <f>_xll.ohRangeRetrieveError(F21)</f>
        <v/>
      </c>
      <c r="H21" s="42"/>
      <c r="N21" s="116"/>
      <c r="O21" s="227" t="s">
        <v>76</v>
      </c>
      <c r="P21" s="276" t="str">
        <v>AM</v>
      </c>
      <c r="Q21" s="276" t="str">
        <v>6L</v>
      </c>
      <c r="R21" s="226" t="str">
        <f t="shared" si="0"/>
        <v>USDAM6L13Y</v>
      </c>
      <c r="S21" s="226" t="str">
        <v>USDAM6L13Y=ICAP</v>
      </c>
      <c r="T21" s="221" t="s">
        <v>219</v>
      </c>
      <c r="U21" s="221" t="s">
        <v>219</v>
      </c>
      <c r="V21" s="221" t="s">
        <v>219</v>
      </c>
      <c r="W21" s="221" t="s">
        <v>219</v>
      </c>
      <c r="X21" s="225" t="e">
        <f>_xll.qlMidEquivalent($T21,$U21,$V21,$W21)</f>
        <v>#NUM!</v>
      </c>
      <c r="Y21" s="223"/>
      <c r="Z21" s="224">
        <v>0</v>
      </c>
      <c r="AA21" s="223"/>
      <c r="AB21" s="296" t="e">
        <v>#NUM!</v>
      </c>
      <c r="AC21" s="220" t="e">
        <f>_xll.qlSimpleQuoteSetValue(F21,AB21/100,Trigger)</f>
        <v>#NUM!</v>
      </c>
      <c r="AD21" s="189"/>
      <c r="AE21" s="19"/>
      <c r="AF21" s="19"/>
      <c r="AG21" s="19"/>
      <c r="AH21" s="19"/>
      <c r="AI21" s="19"/>
      <c r="AJ21" s="258" t="e">
        <f t="shared" si="1"/>
        <v>#VALUE!</v>
      </c>
    </row>
    <row r="22" spans="1:36" x14ac:dyDescent="0.2">
      <c r="A22" s="116"/>
      <c r="B22" s="183" t="s">
        <v>75</v>
      </c>
      <c r="C22" s="71" t="str">
        <v>AM</v>
      </c>
      <c r="D22" s="71" t="str">
        <v>6L</v>
      </c>
      <c r="E22" s="69" t="str">
        <f t="shared" si="2"/>
        <v>USDAM6L14Y_Quote</v>
      </c>
      <c r="F22" s="69" t="str">
        <f>_xll.qlSimpleQuote(Currency&amp;$C22&amp;$D22&amp;$B22&amp;QuoteSuffix,,RateTickValue,Permanent,Trigger,ObjectOverwrite)</f>
        <v>USDAM6L14Y_Quote#0000</v>
      </c>
      <c r="G22" s="68" t="str">
        <f>_xll.ohRangeRetrieveError(F22)</f>
        <v/>
      </c>
      <c r="H22" s="42"/>
      <c r="N22" s="116"/>
      <c r="O22" s="227" t="s">
        <v>75</v>
      </c>
      <c r="P22" s="276" t="str">
        <v>AM</v>
      </c>
      <c r="Q22" s="276" t="str">
        <v>6L</v>
      </c>
      <c r="R22" s="226" t="str">
        <f t="shared" si="0"/>
        <v>USDAM6L14Y</v>
      </c>
      <c r="S22" s="226" t="str">
        <v>USDAM6L14Y=ICAP</v>
      </c>
      <c r="T22" s="221" t="s">
        <v>219</v>
      </c>
      <c r="U22" s="221" t="s">
        <v>219</v>
      </c>
      <c r="V22" s="221" t="s">
        <v>219</v>
      </c>
      <c r="W22" s="221" t="s">
        <v>219</v>
      </c>
      <c r="X22" s="225" t="e">
        <f>_xll.qlMidEquivalent($T22,$U22,$V22,$W22)</f>
        <v>#NUM!</v>
      </c>
      <c r="Y22" s="223"/>
      <c r="Z22" s="224">
        <v>0</v>
      </c>
      <c r="AA22" s="223"/>
      <c r="AB22" s="296" t="e">
        <v>#NUM!</v>
      </c>
      <c r="AC22" s="220" t="e">
        <f>_xll.qlSimpleQuoteSetValue(F22,AB22/100,Trigger)</f>
        <v>#NUM!</v>
      </c>
      <c r="AD22" s="189"/>
      <c r="AE22" s="19"/>
      <c r="AF22" s="19"/>
      <c r="AG22" s="19"/>
      <c r="AH22" s="19"/>
      <c r="AI22" s="19"/>
      <c r="AJ22" s="258" t="e">
        <f t="shared" si="1"/>
        <v>#VALUE!</v>
      </c>
    </row>
    <row r="23" spans="1:36" x14ac:dyDescent="0.2">
      <c r="A23" s="116"/>
      <c r="B23" s="183" t="s">
        <v>74</v>
      </c>
      <c r="C23" s="71" t="str">
        <v>AM</v>
      </c>
      <c r="D23" s="71" t="str">
        <v>6L</v>
      </c>
      <c r="E23" s="69" t="str">
        <f t="shared" si="2"/>
        <v>USDAM6L15Y_Quote</v>
      </c>
      <c r="F23" s="69" t="str">
        <f>_xll.qlSimpleQuote(Currency&amp;$C23&amp;$D23&amp;$B23&amp;QuoteSuffix,,RateTickValue,Permanent,Trigger,ObjectOverwrite)</f>
        <v>USDAM6L15Y_Quote#0000</v>
      </c>
      <c r="G23" s="68" t="str">
        <f>_xll.ohRangeRetrieveError(F23)</f>
        <v/>
      </c>
      <c r="H23" s="42"/>
      <c r="N23" s="116"/>
      <c r="O23" s="227" t="s">
        <v>74</v>
      </c>
      <c r="P23" s="276" t="str">
        <v>AM</v>
      </c>
      <c r="Q23" s="276" t="str">
        <v>6L</v>
      </c>
      <c r="R23" s="226" t="str">
        <f t="shared" si="0"/>
        <v>USDAM6L15Y</v>
      </c>
      <c r="S23" s="226" t="str">
        <v>USDAM6L15Y=ICAP</v>
      </c>
      <c r="T23" s="221" t="s">
        <v>219</v>
      </c>
      <c r="U23" s="221" t="s">
        <v>219</v>
      </c>
      <c r="V23" s="221" t="s">
        <v>219</v>
      </c>
      <c r="W23" s="221" t="s">
        <v>219</v>
      </c>
      <c r="X23" s="225" t="e">
        <f>_xll.qlMidEquivalent($T23,$U23,$V23,$W23)</f>
        <v>#NUM!</v>
      </c>
      <c r="Y23" s="223"/>
      <c r="Z23" s="224">
        <v>0</v>
      </c>
      <c r="AA23" s="223"/>
      <c r="AB23" s="296" t="e">
        <v>#NUM!</v>
      </c>
      <c r="AC23" s="220" t="e">
        <f>_xll.qlSimpleQuoteSetValue(F23,AB23/100,Trigger)</f>
        <v>#NUM!</v>
      </c>
      <c r="AD23" s="189"/>
      <c r="AE23" s="19"/>
      <c r="AF23" s="19"/>
      <c r="AG23" s="19"/>
      <c r="AH23" s="19"/>
      <c r="AI23" s="19"/>
      <c r="AJ23" s="258" t="e">
        <f t="shared" si="1"/>
        <v>#VALUE!</v>
      </c>
    </row>
    <row r="24" spans="1:36" x14ac:dyDescent="0.2">
      <c r="A24" s="116"/>
      <c r="B24" s="183" t="s">
        <v>73</v>
      </c>
      <c r="C24" s="71" t="str">
        <v>AM</v>
      </c>
      <c r="D24" s="71" t="str">
        <v>6L</v>
      </c>
      <c r="E24" s="69" t="str">
        <f t="shared" si="2"/>
        <v>USDAM6L16Y_Quote</v>
      </c>
      <c r="F24" s="69" t="str">
        <f>_xll.qlSimpleQuote(Currency&amp;$C24&amp;$D24&amp;$B24&amp;QuoteSuffix,,RateTickValue,Permanent,Trigger,ObjectOverwrite)</f>
        <v>USDAM6L16Y_Quote#0000</v>
      </c>
      <c r="G24" s="68" t="str">
        <f>_xll.ohRangeRetrieveError(F24)</f>
        <v/>
      </c>
      <c r="H24" s="42"/>
      <c r="N24" s="116"/>
      <c r="O24" s="227" t="s">
        <v>73</v>
      </c>
      <c r="P24" s="276" t="str">
        <v>AM</v>
      </c>
      <c r="Q24" s="276" t="str">
        <v>6L</v>
      </c>
      <c r="R24" s="226" t="str">
        <f t="shared" si="0"/>
        <v>USDAM6L16Y</v>
      </c>
      <c r="S24" s="226" t="str">
        <v>USDAM6L16Y=ICAP</v>
      </c>
      <c r="T24" s="221" t="s">
        <v>219</v>
      </c>
      <c r="U24" s="221" t="s">
        <v>219</v>
      </c>
      <c r="V24" s="221" t="s">
        <v>219</v>
      </c>
      <c r="W24" s="221" t="s">
        <v>219</v>
      </c>
      <c r="X24" s="225" t="e">
        <f>_xll.qlMidEquivalent($T24,$U24,$V24,$W24)</f>
        <v>#NUM!</v>
      </c>
      <c r="Y24" s="223"/>
      <c r="Z24" s="224">
        <v>0</v>
      </c>
      <c r="AA24" s="223"/>
      <c r="AB24" s="296" t="e">
        <v>#NUM!</v>
      </c>
      <c r="AC24" s="220" t="e">
        <f>_xll.qlSimpleQuoteSetValue(F24,AB24/100,Trigger)</f>
        <v>#NUM!</v>
      </c>
      <c r="AD24" s="189"/>
      <c r="AE24" s="19"/>
      <c r="AF24" s="19"/>
      <c r="AG24" s="19"/>
      <c r="AH24" s="19"/>
      <c r="AI24" s="19"/>
      <c r="AJ24" s="258" t="e">
        <f t="shared" si="1"/>
        <v>#VALUE!</v>
      </c>
    </row>
    <row r="25" spans="1:36" x14ac:dyDescent="0.2">
      <c r="A25" s="116"/>
      <c r="B25" s="183" t="s">
        <v>72</v>
      </c>
      <c r="C25" s="71" t="str">
        <v>AM</v>
      </c>
      <c r="D25" s="71" t="str">
        <v>6L</v>
      </c>
      <c r="E25" s="69" t="str">
        <f t="shared" si="2"/>
        <v>USDAM6L17Y_Quote</v>
      </c>
      <c r="F25" s="69" t="str">
        <f>_xll.qlSimpleQuote(Currency&amp;$C25&amp;$D25&amp;$B25&amp;QuoteSuffix,,RateTickValue,Permanent,Trigger,ObjectOverwrite)</f>
        <v>USDAM6L17Y_Quote#0000</v>
      </c>
      <c r="G25" s="68" t="str">
        <f>_xll.ohRangeRetrieveError(F25)</f>
        <v/>
      </c>
      <c r="H25" s="42"/>
      <c r="N25" s="116"/>
      <c r="O25" s="227" t="s">
        <v>72</v>
      </c>
      <c r="P25" s="276" t="str">
        <v>AM</v>
      </c>
      <c r="Q25" s="276" t="str">
        <v>6L</v>
      </c>
      <c r="R25" s="226" t="str">
        <f t="shared" si="0"/>
        <v>USDAM6L17Y</v>
      </c>
      <c r="S25" s="226" t="str">
        <v>USDAM6L17Y=ICAP</v>
      </c>
      <c r="T25" s="221" t="s">
        <v>219</v>
      </c>
      <c r="U25" s="221" t="s">
        <v>219</v>
      </c>
      <c r="V25" s="221" t="s">
        <v>219</v>
      </c>
      <c r="W25" s="221" t="s">
        <v>219</v>
      </c>
      <c r="X25" s="225" t="e">
        <f>_xll.qlMidEquivalent($T25,$U25,$V25,$W25)</f>
        <v>#NUM!</v>
      </c>
      <c r="Y25" s="223"/>
      <c r="Z25" s="224">
        <v>0</v>
      </c>
      <c r="AA25" s="223"/>
      <c r="AB25" s="296" t="e">
        <v>#NUM!</v>
      </c>
      <c r="AC25" s="220" t="e">
        <f>_xll.qlSimpleQuoteSetValue(F25,AB25/100,Trigger)</f>
        <v>#NUM!</v>
      </c>
      <c r="AD25" s="189"/>
      <c r="AE25" s="19"/>
      <c r="AF25" s="19"/>
      <c r="AG25" s="19"/>
      <c r="AH25" s="19"/>
      <c r="AI25" s="19"/>
      <c r="AJ25" s="258" t="e">
        <f t="shared" si="1"/>
        <v>#VALUE!</v>
      </c>
    </row>
    <row r="26" spans="1:36" x14ac:dyDescent="0.2">
      <c r="A26" s="116"/>
      <c r="B26" s="183" t="s">
        <v>71</v>
      </c>
      <c r="C26" s="71" t="str">
        <v>AM</v>
      </c>
      <c r="D26" s="71" t="str">
        <v>6L</v>
      </c>
      <c r="E26" s="69" t="str">
        <f t="shared" si="2"/>
        <v>USDAM6L18Y_Quote</v>
      </c>
      <c r="F26" s="69" t="str">
        <f>_xll.qlSimpleQuote(Currency&amp;$C26&amp;$D26&amp;$B26&amp;QuoteSuffix,,RateTickValue,Permanent,Trigger,ObjectOverwrite)</f>
        <v>USDAM6L18Y_Quote#0000</v>
      </c>
      <c r="G26" s="68" t="str">
        <f>_xll.ohRangeRetrieveError(F26)</f>
        <v/>
      </c>
      <c r="H26" s="42"/>
      <c r="N26" s="116"/>
      <c r="O26" s="227" t="s">
        <v>71</v>
      </c>
      <c r="P26" s="276" t="str">
        <v>AM</v>
      </c>
      <c r="Q26" s="276" t="str">
        <v>6L</v>
      </c>
      <c r="R26" s="226" t="str">
        <f t="shared" si="0"/>
        <v>USDAM6L18Y</v>
      </c>
      <c r="S26" s="226" t="str">
        <v>USDAM6L18Y=ICAP</v>
      </c>
      <c r="T26" s="221" t="s">
        <v>219</v>
      </c>
      <c r="U26" s="221" t="s">
        <v>219</v>
      </c>
      <c r="V26" s="221" t="s">
        <v>219</v>
      </c>
      <c r="W26" s="221" t="s">
        <v>219</v>
      </c>
      <c r="X26" s="225" t="e">
        <f>_xll.qlMidEquivalent($T26,$U26,$V26,$W26)</f>
        <v>#NUM!</v>
      </c>
      <c r="Y26" s="223"/>
      <c r="Z26" s="224">
        <v>0</v>
      </c>
      <c r="AA26" s="223"/>
      <c r="AB26" s="296" t="e">
        <v>#NUM!</v>
      </c>
      <c r="AC26" s="220" t="e">
        <f>_xll.qlSimpleQuoteSetValue(F26,AB26/100,Trigger)</f>
        <v>#NUM!</v>
      </c>
      <c r="AD26" s="189"/>
      <c r="AE26" s="19"/>
      <c r="AF26" s="19"/>
      <c r="AG26" s="19"/>
      <c r="AH26" s="19"/>
      <c r="AI26" s="19"/>
      <c r="AJ26" s="258" t="e">
        <f t="shared" si="1"/>
        <v>#VALUE!</v>
      </c>
    </row>
    <row r="27" spans="1:36" x14ac:dyDescent="0.2">
      <c r="A27" s="116"/>
      <c r="B27" s="183" t="s">
        <v>70</v>
      </c>
      <c r="C27" s="71" t="str">
        <v>AM</v>
      </c>
      <c r="D27" s="71" t="str">
        <v>6L</v>
      </c>
      <c r="E27" s="69" t="str">
        <f t="shared" si="2"/>
        <v>USDAM6L19Y_Quote</v>
      </c>
      <c r="F27" s="69" t="str">
        <f>_xll.qlSimpleQuote(Currency&amp;$C27&amp;$D27&amp;$B27&amp;QuoteSuffix,,RateTickValue,Permanent,Trigger,ObjectOverwrite)</f>
        <v>USDAM6L19Y_Quote#0000</v>
      </c>
      <c r="G27" s="68" t="str">
        <f>_xll.ohRangeRetrieveError(F27)</f>
        <v/>
      </c>
      <c r="H27" s="42"/>
      <c r="N27" s="116"/>
      <c r="O27" s="227" t="s">
        <v>70</v>
      </c>
      <c r="P27" s="276" t="str">
        <v>AM</v>
      </c>
      <c r="Q27" s="276" t="str">
        <v>6L</v>
      </c>
      <c r="R27" s="226" t="str">
        <f t="shared" si="0"/>
        <v>USDAM6L19Y</v>
      </c>
      <c r="S27" s="226" t="str">
        <v>USDAM6L19Y=ICAP</v>
      </c>
      <c r="T27" s="221" t="s">
        <v>219</v>
      </c>
      <c r="U27" s="221" t="s">
        <v>219</v>
      </c>
      <c r="V27" s="221" t="s">
        <v>219</v>
      </c>
      <c r="W27" s="221" t="s">
        <v>219</v>
      </c>
      <c r="X27" s="225" t="e">
        <f>_xll.qlMidEquivalent($T27,$U27,$V27,$W27)</f>
        <v>#NUM!</v>
      </c>
      <c r="Y27" s="223"/>
      <c r="Z27" s="224">
        <v>0</v>
      </c>
      <c r="AA27" s="223"/>
      <c r="AB27" s="296" t="e">
        <v>#NUM!</v>
      </c>
      <c r="AC27" s="220" t="e">
        <f>_xll.qlSimpleQuoteSetValue(F27,AB27/100,Trigger)</f>
        <v>#NUM!</v>
      </c>
      <c r="AD27" s="189"/>
      <c r="AE27" s="19"/>
      <c r="AF27" s="19"/>
      <c r="AG27" s="19"/>
      <c r="AH27" s="19"/>
      <c r="AI27" s="19"/>
      <c r="AJ27" s="258" t="e">
        <f t="shared" si="1"/>
        <v>#VALUE!</v>
      </c>
    </row>
    <row r="28" spans="1:36" x14ac:dyDescent="0.2">
      <c r="A28" s="116"/>
      <c r="B28" s="183" t="s">
        <v>69</v>
      </c>
      <c r="C28" s="71" t="str">
        <v>AM</v>
      </c>
      <c r="D28" s="71" t="str">
        <v>6L</v>
      </c>
      <c r="E28" s="69" t="str">
        <f t="shared" si="2"/>
        <v>USDAM6L20Y_Quote</v>
      </c>
      <c r="F28" s="69" t="str">
        <f>_xll.qlSimpleQuote(Currency&amp;$C28&amp;$D28&amp;$B28&amp;QuoteSuffix,,RateTickValue,Permanent,Trigger,ObjectOverwrite)</f>
        <v>USDAM6L20Y_Quote#0000</v>
      </c>
      <c r="G28" s="68" t="str">
        <f>_xll.ohRangeRetrieveError(F28)</f>
        <v/>
      </c>
      <c r="H28" s="42"/>
      <c r="N28" s="116"/>
      <c r="O28" s="227" t="s">
        <v>69</v>
      </c>
      <c r="P28" s="276" t="str">
        <v>AM</v>
      </c>
      <c r="Q28" s="276" t="str">
        <v>6L</v>
      </c>
      <c r="R28" s="226" t="str">
        <f t="shared" si="0"/>
        <v>USDAM6L20Y</v>
      </c>
      <c r="S28" s="226" t="str">
        <v>USDAM6L20Y=ICAP</v>
      </c>
      <c r="T28" s="221" t="s">
        <v>219</v>
      </c>
      <c r="U28" s="221" t="s">
        <v>219</v>
      </c>
      <c r="V28" s="221" t="s">
        <v>219</v>
      </c>
      <c r="W28" s="221" t="s">
        <v>219</v>
      </c>
      <c r="X28" s="225" t="e">
        <f>_xll.qlMidEquivalent($T28,$U28,$V28,$W28)</f>
        <v>#NUM!</v>
      </c>
      <c r="Y28" s="223"/>
      <c r="Z28" s="224">
        <v>0</v>
      </c>
      <c r="AA28" s="223"/>
      <c r="AB28" s="296" t="e">
        <v>#NUM!</v>
      </c>
      <c r="AC28" s="220" t="e">
        <f>_xll.qlSimpleQuoteSetValue(F28,AB28/100,Trigger)</f>
        <v>#NUM!</v>
      </c>
      <c r="AD28" s="189"/>
      <c r="AE28" s="19"/>
      <c r="AF28" s="19"/>
      <c r="AG28" s="19"/>
      <c r="AH28" s="19"/>
      <c r="AI28" s="19"/>
      <c r="AJ28" s="258" t="e">
        <f t="shared" si="1"/>
        <v>#VALUE!</v>
      </c>
    </row>
    <row r="29" spans="1:36" x14ac:dyDescent="0.2">
      <c r="A29" s="116"/>
      <c r="B29" s="183" t="s">
        <v>68</v>
      </c>
      <c r="C29" s="71" t="str">
        <v>AM</v>
      </c>
      <c r="D29" s="71" t="str">
        <v>6L</v>
      </c>
      <c r="E29" s="69" t="str">
        <f t="shared" si="2"/>
        <v>USDAM6L21Y_Quote</v>
      </c>
      <c r="F29" s="69" t="str">
        <f>_xll.qlSimpleQuote(Currency&amp;$C29&amp;$D29&amp;$B29&amp;QuoteSuffix,,RateTickValue,Permanent,Trigger,ObjectOverwrite)</f>
        <v>USDAM6L21Y_Quote#0000</v>
      </c>
      <c r="G29" s="68" t="str">
        <f>_xll.ohRangeRetrieveError(F29)</f>
        <v/>
      </c>
      <c r="H29" s="42"/>
      <c r="N29" s="116"/>
      <c r="O29" s="227" t="s">
        <v>68</v>
      </c>
      <c r="P29" s="276" t="str">
        <v>AM</v>
      </c>
      <c r="Q29" s="276" t="str">
        <v>6L</v>
      </c>
      <c r="R29" s="226" t="str">
        <f t="shared" si="0"/>
        <v>USDAM6L21Y</v>
      </c>
      <c r="S29" s="226" t="str">
        <v>USDAM6L21Y=ICAP</v>
      </c>
      <c r="T29" s="221" t="s">
        <v>219</v>
      </c>
      <c r="U29" s="221" t="s">
        <v>219</v>
      </c>
      <c r="V29" s="221" t="s">
        <v>219</v>
      </c>
      <c r="W29" s="221" t="s">
        <v>219</v>
      </c>
      <c r="X29" s="225" t="e">
        <f>_xll.qlMidEquivalent($T29,$U29,$V29,$W29)</f>
        <v>#NUM!</v>
      </c>
      <c r="Y29" s="223"/>
      <c r="Z29" s="224">
        <v>0</v>
      </c>
      <c r="AA29" s="223"/>
      <c r="AB29" s="296" t="e">
        <v>#NUM!</v>
      </c>
      <c r="AC29" s="220" t="e">
        <f>_xll.qlSimpleQuoteSetValue(F29,AB29/100,Trigger)</f>
        <v>#NUM!</v>
      </c>
      <c r="AD29" s="189"/>
      <c r="AE29" s="19"/>
      <c r="AF29" s="19"/>
      <c r="AG29" s="19"/>
      <c r="AH29" s="19"/>
      <c r="AI29" s="19"/>
      <c r="AJ29" s="258" t="e">
        <f t="shared" si="1"/>
        <v>#VALUE!</v>
      </c>
    </row>
    <row r="30" spans="1:36" x14ac:dyDescent="0.2">
      <c r="A30" s="116"/>
      <c r="B30" s="183" t="s">
        <v>67</v>
      </c>
      <c r="C30" s="71" t="str">
        <v>AM</v>
      </c>
      <c r="D30" s="71" t="str">
        <v>6L</v>
      </c>
      <c r="E30" s="69" t="str">
        <f t="shared" si="2"/>
        <v>USDAM6L22Y_Quote</v>
      </c>
      <c r="F30" s="69" t="str">
        <f>_xll.qlSimpleQuote(Currency&amp;$C30&amp;$D30&amp;$B30&amp;QuoteSuffix,,RateTickValue,Permanent,Trigger,ObjectOverwrite)</f>
        <v>USDAM6L22Y_Quote#0000</v>
      </c>
      <c r="G30" s="68" t="str">
        <f>_xll.ohRangeRetrieveError(F30)</f>
        <v/>
      </c>
      <c r="H30" s="42"/>
      <c r="N30" s="116"/>
      <c r="O30" s="227" t="s">
        <v>67</v>
      </c>
      <c r="P30" s="276" t="str">
        <v>AM</v>
      </c>
      <c r="Q30" s="276" t="str">
        <v>6L</v>
      </c>
      <c r="R30" s="226" t="str">
        <f t="shared" si="0"/>
        <v>USDAM6L22Y</v>
      </c>
      <c r="S30" s="226" t="str">
        <v>USDAM6L22Y=ICAP</v>
      </c>
      <c r="T30" s="221" t="s">
        <v>219</v>
      </c>
      <c r="U30" s="221" t="s">
        <v>219</v>
      </c>
      <c r="V30" s="221" t="s">
        <v>219</v>
      </c>
      <c r="W30" s="221" t="s">
        <v>219</v>
      </c>
      <c r="X30" s="225" t="e">
        <f>_xll.qlMidEquivalent($T30,$U30,$V30,$W30)</f>
        <v>#NUM!</v>
      </c>
      <c r="Y30" s="223"/>
      <c r="Z30" s="224">
        <v>0</v>
      </c>
      <c r="AA30" s="223"/>
      <c r="AB30" s="296" t="e">
        <v>#NUM!</v>
      </c>
      <c r="AC30" s="220" t="e">
        <f>_xll.qlSimpleQuoteSetValue(F30,AB30/100,Trigger)</f>
        <v>#NUM!</v>
      </c>
      <c r="AD30" s="189"/>
      <c r="AE30" s="19"/>
      <c r="AF30" s="19"/>
      <c r="AG30" s="19"/>
      <c r="AH30" s="19"/>
      <c r="AI30" s="19"/>
      <c r="AJ30" s="258" t="e">
        <f t="shared" si="1"/>
        <v>#VALUE!</v>
      </c>
    </row>
    <row r="31" spans="1:36" x14ac:dyDescent="0.2">
      <c r="A31" s="116"/>
      <c r="B31" s="183" t="s">
        <v>66</v>
      </c>
      <c r="C31" s="71" t="str">
        <v>AM</v>
      </c>
      <c r="D31" s="71" t="str">
        <v>6L</v>
      </c>
      <c r="E31" s="69" t="str">
        <f t="shared" si="2"/>
        <v>USDAM6L23Y_Quote</v>
      </c>
      <c r="F31" s="69" t="str">
        <f>_xll.qlSimpleQuote(Currency&amp;$C31&amp;$D31&amp;$B31&amp;QuoteSuffix,,RateTickValue,Permanent,Trigger,ObjectOverwrite)</f>
        <v>USDAM6L23Y_Quote#0000</v>
      </c>
      <c r="G31" s="68" t="str">
        <f>_xll.ohRangeRetrieveError(F31)</f>
        <v/>
      </c>
      <c r="H31" s="42"/>
      <c r="N31" s="116"/>
      <c r="O31" s="227" t="s">
        <v>66</v>
      </c>
      <c r="P31" s="276" t="str">
        <v>AM</v>
      </c>
      <c r="Q31" s="276" t="str">
        <v>6L</v>
      </c>
      <c r="R31" s="226" t="str">
        <f t="shared" si="0"/>
        <v>USDAM6L23Y</v>
      </c>
      <c r="S31" s="226" t="str">
        <v>USDAM6L23Y=ICAP</v>
      </c>
      <c r="T31" s="221" t="s">
        <v>219</v>
      </c>
      <c r="U31" s="221" t="s">
        <v>219</v>
      </c>
      <c r="V31" s="221" t="s">
        <v>219</v>
      </c>
      <c r="W31" s="221" t="s">
        <v>219</v>
      </c>
      <c r="X31" s="225" t="e">
        <f>_xll.qlMidEquivalent($T31,$U31,$V31,$W31)</f>
        <v>#NUM!</v>
      </c>
      <c r="Y31" s="223"/>
      <c r="Z31" s="224">
        <v>0</v>
      </c>
      <c r="AA31" s="223"/>
      <c r="AB31" s="296" t="e">
        <v>#NUM!</v>
      </c>
      <c r="AC31" s="220" t="e">
        <f>_xll.qlSimpleQuoteSetValue(F31,AB31/100,Trigger)</f>
        <v>#NUM!</v>
      </c>
      <c r="AD31" s="189"/>
      <c r="AE31" s="19"/>
      <c r="AF31" s="19"/>
      <c r="AG31" s="19"/>
      <c r="AH31" s="19"/>
      <c r="AI31" s="19"/>
      <c r="AJ31" s="258" t="e">
        <f t="shared" si="1"/>
        <v>#VALUE!</v>
      </c>
    </row>
    <row r="32" spans="1:36" x14ac:dyDescent="0.2">
      <c r="A32" s="116"/>
      <c r="B32" s="183" t="s">
        <v>65</v>
      </c>
      <c r="C32" s="71" t="str">
        <v>AM</v>
      </c>
      <c r="D32" s="71" t="str">
        <v>6L</v>
      </c>
      <c r="E32" s="69" t="str">
        <f t="shared" si="2"/>
        <v>USDAM6L24Y_Quote</v>
      </c>
      <c r="F32" s="69" t="str">
        <f>_xll.qlSimpleQuote(Currency&amp;$C32&amp;$D32&amp;$B32&amp;QuoteSuffix,,RateTickValue,Permanent,Trigger,ObjectOverwrite)</f>
        <v>USDAM6L24Y_Quote#0000</v>
      </c>
      <c r="G32" s="68" t="str">
        <f>_xll.ohRangeRetrieveError(F32)</f>
        <v/>
      </c>
      <c r="H32" s="42"/>
      <c r="N32" s="116"/>
      <c r="O32" s="227" t="s">
        <v>65</v>
      </c>
      <c r="P32" s="276" t="str">
        <v>AM</v>
      </c>
      <c r="Q32" s="276" t="str">
        <v>6L</v>
      </c>
      <c r="R32" s="226" t="str">
        <f t="shared" si="0"/>
        <v>USDAM6L24Y</v>
      </c>
      <c r="S32" s="226" t="str">
        <v>USDAM6L24Y=ICAP</v>
      </c>
      <c r="T32" s="221" t="s">
        <v>219</v>
      </c>
      <c r="U32" s="221" t="s">
        <v>219</v>
      </c>
      <c r="V32" s="221" t="s">
        <v>219</v>
      </c>
      <c r="W32" s="221" t="s">
        <v>219</v>
      </c>
      <c r="X32" s="225" t="e">
        <f>_xll.qlMidEquivalent($T32,$U32,$V32,$W32)</f>
        <v>#NUM!</v>
      </c>
      <c r="Y32" s="223"/>
      <c r="Z32" s="224">
        <v>0</v>
      </c>
      <c r="AA32" s="223"/>
      <c r="AB32" s="296" t="e">
        <v>#NUM!</v>
      </c>
      <c r="AC32" s="220" t="e">
        <f>_xll.qlSimpleQuoteSetValue(F32,AB32/100,Trigger)</f>
        <v>#NUM!</v>
      </c>
      <c r="AD32" s="189"/>
      <c r="AE32" s="19"/>
      <c r="AF32" s="19"/>
      <c r="AG32" s="19"/>
      <c r="AH32" s="19"/>
      <c r="AI32" s="19"/>
      <c r="AJ32" s="258" t="e">
        <f t="shared" si="1"/>
        <v>#VALUE!</v>
      </c>
    </row>
    <row r="33" spans="1:36" x14ac:dyDescent="0.2">
      <c r="A33" s="116"/>
      <c r="B33" s="183" t="s">
        <v>64</v>
      </c>
      <c r="C33" s="71" t="str">
        <v>AM</v>
      </c>
      <c r="D33" s="71" t="str">
        <v>6L</v>
      </c>
      <c r="E33" s="69" t="str">
        <f t="shared" si="2"/>
        <v>USDAM6L25Y_Quote</v>
      </c>
      <c r="F33" s="69" t="str">
        <f>_xll.qlSimpleQuote(Currency&amp;$C33&amp;$D33&amp;$B33&amp;QuoteSuffix,,RateTickValue,Permanent,Trigger,ObjectOverwrite)</f>
        <v>USDAM6L25Y_Quote#0000</v>
      </c>
      <c r="G33" s="68" t="str">
        <f>_xll.ohRangeRetrieveError(F33)</f>
        <v/>
      </c>
      <c r="H33" s="42"/>
      <c r="N33" s="116"/>
      <c r="O33" s="227" t="s">
        <v>64</v>
      </c>
      <c r="P33" s="276" t="str">
        <v>AM</v>
      </c>
      <c r="Q33" s="276" t="str">
        <v>6L</v>
      </c>
      <c r="R33" s="226" t="str">
        <f t="shared" si="0"/>
        <v>USDAM6L25Y</v>
      </c>
      <c r="S33" s="226" t="str">
        <v>USDAM6L25Y=ICAP</v>
      </c>
      <c r="T33" s="221" t="s">
        <v>219</v>
      </c>
      <c r="U33" s="221" t="s">
        <v>219</v>
      </c>
      <c r="V33" s="221" t="s">
        <v>219</v>
      </c>
      <c r="W33" s="221" t="s">
        <v>219</v>
      </c>
      <c r="X33" s="225" t="e">
        <f>_xll.qlMidEquivalent($T33,$U33,$V33,$W33)</f>
        <v>#NUM!</v>
      </c>
      <c r="Y33" s="223"/>
      <c r="Z33" s="224">
        <v>0</v>
      </c>
      <c r="AA33" s="223"/>
      <c r="AB33" s="296" t="e">
        <v>#NUM!</v>
      </c>
      <c r="AC33" s="220" t="e">
        <f>_xll.qlSimpleQuoteSetValue(F33,AB33/100,Trigger)</f>
        <v>#NUM!</v>
      </c>
      <c r="AD33" s="189"/>
      <c r="AE33" s="19"/>
      <c r="AF33" s="19"/>
      <c r="AG33" s="19"/>
      <c r="AH33" s="19"/>
      <c r="AI33" s="19"/>
      <c r="AJ33" s="258" t="e">
        <f t="shared" si="1"/>
        <v>#VALUE!</v>
      </c>
    </row>
    <row r="34" spans="1:36" x14ac:dyDescent="0.2">
      <c r="A34" s="116"/>
      <c r="B34" s="183" t="s">
        <v>63</v>
      </c>
      <c r="C34" s="71" t="str">
        <v>AM</v>
      </c>
      <c r="D34" s="71" t="str">
        <v>6L</v>
      </c>
      <c r="E34" s="69" t="str">
        <f t="shared" si="2"/>
        <v>USDAM6L26Y_Quote</v>
      </c>
      <c r="F34" s="69" t="str">
        <f>_xll.qlSimpleQuote(Currency&amp;$C34&amp;$D34&amp;$B34&amp;QuoteSuffix,,RateTickValue,Permanent,Trigger,ObjectOverwrite)</f>
        <v>USDAM6L26Y_Quote#0000</v>
      </c>
      <c r="G34" s="68" t="str">
        <f>_xll.ohRangeRetrieveError(F34)</f>
        <v/>
      </c>
      <c r="H34" s="42"/>
      <c r="N34" s="116"/>
      <c r="O34" s="227" t="s">
        <v>63</v>
      </c>
      <c r="P34" s="276" t="str">
        <v>AM</v>
      </c>
      <c r="Q34" s="276" t="str">
        <v>6L</v>
      </c>
      <c r="R34" s="226" t="str">
        <f t="shared" si="0"/>
        <v>USDAM6L26Y</v>
      </c>
      <c r="S34" s="226" t="str">
        <v>USDAM6L26Y=ICAP</v>
      </c>
      <c r="T34" s="221" t="s">
        <v>219</v>
      </c>
      <c r="U34" s="221" t="s">
        <v>219</v>
      </c>
      <c r="V34" s="221" t="s">
        <v>219</v>
      </c>
      <c r="W34" s="221" t="s">
        <v>219</v>
      </c>
      <c r="X34" s="225" t="e">
        <f>_xll.qlMidEquivalent($T34,$U34,$V34,$W34)</f>
        <v>#NUM!</v>
      </c>
      <c r="Y34" s="223"/>
      <c r="Z34" s="224">
        <v>0</v>
      </c>
      <c r="AA34" s="223"/>
      <c r="AB34" s="296" t="e">
        <v>#NUM!</v>
      </c>
      <c r="AC34" s="220" t="e">
        <f>_xll.qlSimpleQuoteSetValue(F34,AB34/100,Trigger)</f>
        <v>#NUM!</v>
      </c>
      <c r="AD34" s="189"/>
      <c r="AE34" s="19"/>
      <c r="AF34" s="19"/>
      <c r="AG34" s="19"/>
      <c r="AH34" s="19"/>
      <c r="AI34" s="19"/>
      <c r="AJ34" s="258" t="e">
        <f t="shared" si="1"/>
        <v>#VALUE!</v>
      </c>
    </row>
    <row r="35" spans="1:36" x14ac:dyDescent="0.2">
      <c r="A35" s="116"/>
      <c r="B35" s="183" t="s">
        <v>62</v>
      </c>
      <c r="C35" s="71" t="str">
        <v>AM</v>
      </c>
      <c r="D35" s="71" t="str">
        <v>6L</v>
      </c>
      <c r="E35" s="69" t="str">
        <f t="shared" si="2"/>
        <v>USDAM6L27Y_Quote</v>
      </c>
      <c r="F35" s="69" t="str">
        <f>_xll.qlSimpleQuote(Currency&amp;$C35&amp;$D35&amp;$B35&amp;QuoteSuffix,,RateTickValue,Permanent,Trigger,ObjectOverwrite)</f>
        <v>USDAM6L27Y_Quote#0000</v>
      </c>
      <c r="G35" s="68" t="str">
        <f>_xll.ohRangeRetrieveError(F35)</f>
        <v/>
      </c>
      <c r="H35" s="42"/>
      <c r="N35" s="116"/>
      <c r="O35" s="227" t="s">
        <v>62</v>
      </c>
      <c r="P35" s="276" t="str">
        <v>AM</v>
      </c>
      <c r="Q35" s="276" t="str">
        <v>6L</v>
      </c>
      <c r="R35" s="226" t="str">
        <f t="shared" si="0"/>
        <v>USDAM6L27Y</v>
      </c>
      <c r="S35" s="226" t="str">
        <v>USDAM6L27Y=ICAP</v>
      </c>
      <c r="T35" s="221" t="s">
        <v>219</v>
      </c>
      <c r="U35" s="221" t="s">
        <v>219</v>
      </c>
      <c r="V35" s="221" t="s">
        <v>219</v>
      </c>
      <c r="W35" s="221" t="s">
        <v>219</v>
      </c>
      <c r="X35" s="225" t="e">
        <f>_xll.qlMidEquivalent($T35,$U35,$V35,$W35)</f>
        <v>#NUM!</v>
      </c>
      <c r="Y35" s="223"/>
      <c r="Z35" s="224">
        <v>0</v>
      </c>
      <c r="AA35" s="223"/>
      <c r="AB35" s="296" t="e">
        <v>#NUM!</v>
      </c>
      <c r="AC35" s="220" t="e">
        <f>_xll.qlSimpleQuoteSetValue(F35,AB35/100,Trigger)</f>
        <v>#NUM!</v>
      </c>
      <c r="AD35" s="189"/>
      <c r="AE35" s="19"/>
      <c r="AF35" s="19"/>
      <c r="AG35" s="19"/>
      <c r="AH35" s="19"/>
      <c r="AI35" s="19"/>
      <c r="AJ35" s="258" t="e">
        <f t="shared" si="1"/>
        <v>#VALUE!</v>
      </c>
    </row>
    <row r="36" spans="1:36" x14ac:dyDescent="0.2">
      <c r="A36" s="116"/>
      <c r="B36" s="183" t="s">
        <v>61</v>
      </c>
      <c r="C36" s="71" t="str">
        <v>AM</v>
      </c>
      <c r="D36" s="71" t="str">
        <v>6L</v>
      </c>
      <c r="E36" s="69" t="str">
        <f t="shared" si="2"/>
        <v>USDAM6L28Y_Quote</v>
      </c>
      <c r="F36" s="69" t="str">
        <f>_xll.qlSimpleQuote(Currency&amp;$C36&amp;$D36&amp;$B36&amp;QuoteSuffix,,RateTickValue,Permanent,Trigger,ObjectOverwrite)</f>
        <v>USDAM6L28Y_Quote#0000</v>
      </c>
      <c r="G36" s="68" t="str">
        <f>_xll.ohRangeRetrieveError(F36)</f>
        <v/>
      </c>
      <c r="H36" s="42"/>
      <c r="N36" s="116"/>
      <c r="O36" s="227" t="s">
        <v>61</v>
      </c>
      <c r="P36" s="276" t="str">
        <v>AM</v>
      </c>
      <c r="Q36" s="276" t="str">
        <v>6L</v>
      </c>
      <c r="R36" s="226" t="str">
        <f t="shared" si="0"/>
        <v>USDAM6L28Y</v>
      </c>
      <c r="S36" s="226" t="str">
        <v>USDAM6L28Y=ICAP</v>
      </c>
      <c r="T36" s="221" t="s">
        <v>219</v>
      </c>
      <c r="U36" s="221" t="s">
        <v>219</v>
      </c>
      <c r="V36" s="221" t="s">
        <v>219</v>
      </c>
      <c r="W36" s="221" t="s">
        <v>219</v>
      </c>
      <c r="X36" s="225" t="e">
        <f>_xll.qlMidEquivalent($T36,$U36,$V36,$W36)</f>
        <v>#NUM!</v>
      </c>
      <c r="Y36" s="223"/>
      <c r="Z36" s="224">
        <v>0</v>
      </c>
      <c r="AA36" s="223"/>
      <c r="AB36" s="296" t="e">
        <v>#NUM!</v>
      </c>
      <c r="AC36" s="220" t="e">
        <f>_xll.qlSimpleQuoteSetValue(F36,AB36/100,Trigger)</f>
        <v>#NUM!</v>
      </c>
      <c r="AD36" s="189"/>
      <c r="AE36" s="19"/>
      <c r="AF36" s="19"/>
      <c r="AG36" s="19"/>
      <c r="AH36" s="19"/>
      <c r="AI36" s="19"/>
      <c r="AJ36" s="258" t="e">
        <f t="shared" si="1"/>
        <v>#VALUE!</v>
      </c>
    </row>
    <row r="37" spans="1:36" x14ac:dyDescent="0.2">
      <c r="A37" s="116"/>
      <c r="B37" s="183" t="s">
        <v>60</v>
      </c>
      <c r="C37" s="71" t="str">
        <v>AM</v>
      </c>
      <c r="D37" s="71" t="str">
        <v>6L</v>
      </c>
      <c r="E37" s="69" t="str">
        <f t="shared" si="2"/>
        <v>USDAM6L29Y_Quote</v>
      </c>
      <c r="F37" s="69" t="str">
        <f>_xll.qlSimpleQuote(Currency&amp;$C37&amp;$D37&amp;$B37&amp;QuoteSuffix,,RateTickValue,Permanent,Trigger,ObjectOverwrite)</f>
        <v>USDAM6L29Y_Quote#0000</v>
      </c>
      <c r="G37" s="68" t="str">
        <f>_xll.ohRangeRetrieveError(F37)</f>
        <v/>
      </c>
      <c r="H37" s="42"/>
      <c r="N37" s="116"/>
      <c r="O37" s="227" t="s">
        <v>60</v>
      </c>
      <c r="P37" s="276" t="str">
        <v>AM</v>
      </c>
      <c r="Q37" s="276" t="str">
        <v>6L</v>
      </c>
      <c r="R37" s="226" t="str">
        <f t="shared" si="0"/>
        <v>USDAM6L29Y</v>
      </c>
      <c r="S37" s="226" t="str">
        <v>USDAM6L29Y=ICAP</v>
      </c>
      <c r="T37" s="221" t="s">
        <v>219</v>
      </c>
      <c r="U37" s="221" t="s">
        <v>219</v>
      </c>
      <c r="V37" s="221" t="s">
        <v>219</v>
      </c>
      <c r="W37" s="221" t="s">
        <v>219</v>
      </c>
      <c r="X37" s="225" t="e">
        <f>_xll.qlMidEquivalent($T37,$U37,$V37,$W37)</f>
        <v>#NUM!</v>
      </c>
      <c r="Y37" s="223"/>
      <c r="Z37" s="224">
        <v>0</v>
      </c>
      <c r="AA37" s="223"/>
      <c r="AB37" s="296" t="e">
        <v>#NUM!</v>
      </c>
      <c r="AC37" s="220" t="e">
        <f>_xll.qlSimpleQuoteSetValue(F37,AB37/100,Trigger)</f>
        <v>#NUM!</v>
      </c>
      <c r="AD37" s="189"/>
      <c r="AE37" s="19"/>
      <c r="AF37" s="19"/>
      <c r="AG37" s="19"/>
      <c r="AH37" s="19"/>
      <c r="AI37" s="19"/>
      <c r="AJ37" s="258" t="e">
        <f t="shared" si="1"/>
        <v>#VALUE!</v>
      </c>
    </row>
    <row r="38" spans="1:36" x14ac:dyDescent="0.2">
      <c r="A38" s="116"/>
      <c r="B38" s="183" t="s">
        <v>59</v>
      </c>
      <c r="C38" s="71" t="str">
        <v>AM</v>
      </c>
      <c r="D38" s="71" t="str">
        <v>6L</v>
      </c>
      <c r="E38" s="69" t="str">
        <f t="shared" si="2"/>
        <v>USDAM6L30Y_Quote</v>
      </c>
      <c r="F38" s="69" t="str">
        <f>_xll.qlSimpleQuote(Currency&amp;$C38&amp;$D38&amp;$B38&amp;QuoteSuffix,,RateTickValue,Permanent,Trigger,ObjectOverwrite)</f>
        <v>USDAM6L30Y_Quote#0000</v>
      </c>
      <c r="G38" s="68" t="str">
        <f>_xll.ohRangeRetrieveError(F38)</f>
        <v/>
      </c>
      <c r="H38" s="42"/>
      <c r="N38" s="116"/>
      <c r="O38" s="227" t="s">
        <v>59</v>
      </c>
      <c r="P38" s="276" t="str">
        <v>AM</v>
      </c>
      <c r="Q38" s="276" t="str">
        <v>6L</v>
      </c>
      <c r="R38" s="226" t="str">
        <f t="shared" si="0"/>
        <v>USDAM6L30Y</v>
      </c>
      <c r="S38" s="226" t="str">
        <v>USDAM6L30Y=ICAP</v>
      </c>
      <c r="T38" s="221" t="s">
        <v>219</v>
      </c>
      <c r="U38" s="221" t="s">
        <v>219</v>
      </c>
      <c r="V38" s="221" t="s">
        <v>219</v>
      </c>
      <c r="W38" s="221" t="s">
        <v>219</v>
      </c>
      <c r="X38" s="225" t="e">
        <f>_xll.qlMidEquivalent($T38,$U38,$V38,$W38)</f>
        <v>#NUM!</v>
      </c>
      <c r="Y38" s="223"/>
      <c r="Z38" s="224">
        <v>0</v>
      </c>
      <c r="AA38" s="223"/>
      <c r="AB38" s="296" t="e">
        <v>#NUM!</v>
      </c>
      <c r="AC38" s="220" t="e">
        <f>_xll.qlSimpleQuoteSetValue(F38,AB38/100,Trigger)</f>
        <v>#NUM!</v>
      </c>
      <c r="AD38" s="189"/>
      <c r="AE38" s="19"/>
      <c r="AF38" s="19"/>
      <c r="AG38" s="19"/>
      <c r="AH38" s="19"/>
      <c r="AI38" s="19"/>
      <c r="AJ38" s="258" t="e">
        <f t="shared" si="1"/>
        <v>#VALUE!</v>
      </c>
    </row>
    <row r="39" spans="1:36" x14ac:dyDescent="0.2">
      <c r="A39" s="116"/>
      <c r="B39" s="183" t="s">
        <v>54</v>
      </c>
      <c r="C39" s="71" t="str">
        <v>AM</v>
      </c>
      <c r="D39" s="71" t="str">
        <v>6L</v>
      </c>
      <c r="E39" s="69" t="str">
        <f t="shared" si="2"/>
        <v>USDAM6L35Y_Quote</v>
      </c>
      <c r="F39" s="69" t="str">
        <f>_xll.qlSimpleQuote(Currency&amp;$C39&amp;$D39&amp;$B39&amp;QuoteSuffix,,RateTickValue,Permanent,Trigger,ObjectOverwrite)</f>
        <v>USDAM6L35Y_Quote#0000</v>
      </c>
      <c r="G39" s="68" t="str">
        <f>_xll.ohRangeRetrieveError(F39)</f>
        <v/>
      </c>
      <c r="H39" s="42"/>
      <c r="N39" s="116"/>
      <c r="O39" s="227" t="s">
        <v>54</v>
      </c>
      <c r="P39" s="276" t="str">
        <v>AM</v>
      </c>
      <c r="Q39" s="276" t="str">
        <v>6L</v>
      </c>
      <c r="R39" s="226" t="str">
        <f t="shared" si="0"/>
        <v>USDAM6L35Y</v>
      </c>
      <c r="S39" s="226" t="str">
        <v>USDAM6L35Y=ICAP</v>
      </c>
      <c r="T39" s="221" t="s">
        <v>219</v>
      </c>
      <c r="U39" s="221" t="s">
        <v>219</v>
      </c>
      <c r="V39" s="221" t="s">
        <v>219</v>
      </c>
      <c r="W39" s="221" t="s">
        <v>219</v>
      </c>
      <c r="X39" s="225" t="e">
        <f>_xll.qlMidEquivalent($T39,$U39,$V39,$W39)</f>
        <v>#NUM!</v>
      </c>
      <c r="Y39" s="223"/>
      <c r="Z39" s="224">
        <v>0</v>
      </c>
      <c r="AA39" s="223"/>
      <c r="AB39" s="296" t="e">
        <v>#NUM!</v>
      </c>
      <c r="AC39" s="220" t="e">
        <f>_xll.qlSimpleQuoteSetValue(F39,AB39/100,Trigger)</f>
        <v>#NUM!</v>
      </c>
      <c r="AD39" s="189"/>
      <c r="AE39" s="19"/>
      <c r="AF39" s="19"/>
      <c r="AG39" s="19"/>
      <c r="AH39" s="19"/>
      <c r="AI39" s="19"/>
      <c r="AJ39" s="258" t="e">
        <f t="shared" si="1"/>
        <v>#VALUE!</v>
      </c>
    </row>
    <row r="40" spans="1:36" x14ac:dyDescent="0.2">
      <c r="A40" s="116"/>
      <c r="B40" s="183" t="s">
        <v>49</v>
      </c>
      <c r="C40" s="71" t="str">
        <v>AM</v>
      </c>
      <c r="D40" s="71" t="str">
        <v>6L</v>
      </c>
      <c r="E40" s="69" t="str">
        <f t="shared" si="2"/>
        <v>USDAM6L40Y_Quote</v>
      </c>
      <c r="F40" s="69" t="str">
        <f>_xll.qlSimpleQuote(Currency&amp;$C40&amp;$D40&amp;$B40&amp;QuoteSuffix,,RateTickValue,Permanent,Trigger,ObjectOverwrite)</f>
        <v>USDAM6L40Y_Quote#0000</v>
      </c>
      <c r="G40" s="68" t="str">
        <f>_xll.ohRangeRetrieveError(F40)</f>
        <v/>
      </c>
      <c r="H40" s="42"/>
      <c r="N40" s="116"/>
      <c r="O40" s="227" t="s">
        <v>49</v>
      </c>
      <c r="P40" s="276" t="str">
        <v>AM</v>
      </c>
      <c r="Q40" s="276" t="str">
        <v>6L</v>
      </c>
      <c r="R40" s="226" t="str">
        <f t="shared" si="0"/>
        <v>USDAM6L40Y</v>
      </c>
      <c r="S40" s="226" t="str">
        <v>USDAM6L40Y=ICAP</v>
      </c>
      <c r="T40" s="221" t="s">
        <v>219</v>
      </c>
      <c r="U40" s="221" t="s">
        <v>219</v>
      </c>
      <c r="V40" s="221" t="s">
        <v>219</v>
      </c>
      <c r="W40" s="221" t="s">
        <v>219</v>
      </c>
      <c r="X40" s="225" t="e">
        <f>_xll.qlMidEquivalent($T40,$U40,$V40,$W40)</f>
        <v>#NUM!</v>
      </c>
      <c r="Y40" s="223"/>
      <c r="Z40" s="224">
        <v>0</v>
      </c>
      <c r="AA40" s="223"/>
      <c r="AB40" s="296" t="e">
        <v>#NUM!</v>
      </c>
      <c r="AC40" s="220" t="e">
        <f>_xll.qlSimpleQuoteSetValue(F40,AB40/100,Trigger)</f>
        <v>#NUM!</v>
      </c>
      <c r="AD40" s="189"/>
      <c r="AE40" s="19"/>
      <c r="AF40" s="19"/>
      <c r="AG40" s="19"/>
      <c r="AH40" s="19"/>
      <c r="AI40" s="19"/>
      <c r="AJ40" s="258" t="e">
        <f t="shared" si="1"/>
        <v>#VALUE!</v>
      </c>
    </row>
    <row r="41" spans="1:36" x14ac:dyDescent="0.2">
      <c r="A41" s="116"/>
      <c r="B41" s="183" t="s">
        <v>39</v>
      </c>
      <c r="C41" s="71" t="str">
        <v>AM</v>
      </c>
      <c r="D41" s="71" t="str">
        <v>6L</v>
      </c>
      <c r="E41" s="69" t="str">
        <f t="shared" si="2"/>
        <v>USDAM6L50Y_Quote</v>
      </c>
      <c r="F41" s="69" t="str">
        <f>_xll.qlSimpleQuote(Currency&amp;$C41&amp;$D41&amp;$B41&amp;QuoteSuffix,,RateTickValue,Permanent,Trigger,ObjectOverwrite)</f>
        <v>USDAM6L50Y_Quote#0000</v>
      </c>
      <c r="G41" s="68" t="str">
        <f>_xll.ohRangeRetrieveError(F41)</f>
        <v/>
      </c>
      <c r="H41" s="42"/>
      <c r="N41" s="116"/>
      <c r="O41" s="227" t="s">
        <v>39</v>
      </c>
      <c r="P41" s="276" t="str">
        <v>AM</v>
      </c>
      <c r="Q41" s="276" t="str">
        <v>6L</v>
      </c>
      <c r="R41" s="226" t="str">
        <f t="shared" si="0"/>
        <v>USDAM6L50Y</v>
      </c>
      <c r="S41" s="226" t="str">
        <v>USDAM6L50Y=ICAP</v>
      </c>
      <c r="T41" s="221" t="s">
        <v>219</v>
      </c>
      <c r="U41" s="221" t="s">
        <v>219</v>
      </c>
      <c r="V41" s="221" t="s">
        <v>219</v>
      </c>
      <c r="W41" s="221" t="s">
        <v>219</v>
      </c>
      <c r="X41" s="225" t="e">
        <f>_xll.qlMidEquivalent($T41,$U41,$V41,$W41)</f>
        <v>#NUM!</v>
      </c>
      <c r="Y41" s="223"/>
      <c r="Z41" s="224">
        <v>0</v>
      </c>
      <c r="AA41" s="223"/>
      <c r="AB41" s="296" t="e">
        <v>#NUM!</v>
      </c>
      <c r="AC41" s="220" t="e">
        <f>_xll.qlSimpleQuoteSetValue(F41,AB41/100,Trigger)</f>
        <v>#NUM!</v>
      </c>
      <c r="AD41" s="189"/>
      <c r="AE41" s="19"/>
      <c r="AF41" s="19"/>
      <c r="AG41" s="19"/>
      <c r="AH41" s="19"/>
      <c r="AI41" s="19"/>
      <c r="AJ41" s="258" t="e">
        <f t="shared" si="1"/>
        <v>#VALUE!</v>
      </c>
    </row>
    <row r="42" spans="1:36" x14ac:dyDescent="0.2">
      <c r="A42" s="116"/>
      <c r="B42" s="183" t="s">
        <v>29</v>
      </c>
      <c r="C42" s="71" t="str">
        <v>AM</v>
      </c>
      <c r="D42" s="71" t="str">
        <v>6L</v>
      </c>
      <c r="E42" s="69" t="str">
        <f t="shared" si="2"/>
        <v>USDAM6L60Y_Quote</v>
      </c>
      <c r="F42" s="69" t="str">
        <f>_xll.qlSimpleQuote(Currency&amp;$C42&amp;$D42&amp;$B42&amp;QuoteSuffix,,RateTickValue,Permanent,Trigger,ObjectOverwrite)</f>
        <v>USDAM6L60Y_Quote#0000</v>
      </c>
      <c r="G42" s="68" t="str">
        <f>_xll.ohRangeRetrieveError(F42)</f>
        <v/>
      </c>
      <c r="H42" s="42"/>
      <c r="N42" s="116"/>
      <c r="O42" s="239" t="s">
        <v>29</v>
      </c>
      <c r="P42" s="271" t="str">
        <v>AM</v>
      </c>
      <c r="Q42" s="271" t="str">
        <v>6L</v>
      </c>
      <c r="R42" s="238" t="str">
        <f t="shared" si="0"/>
        <v>USDAM6L60Y</v>
      </c>
      <c r="S42" s="238" t="str">
        <v>USDAM6L60Y=ICAP</v>
      </c>
      <c r="T42" s="234" t="s">
        <v>219</v>
      </c>
      <c r="U42" s="234" t="s">
        <v>219</v>
      </c>
      <c r="V42" s="234" t="s">
        <v>219</v>
      </c>
      <c r="W42" s="234" t="s">
        <v>219</v>
      </c>
      <c r="X42" s="237" t="e">
        <f>_xll.qlMidEquivalent($T42,$U42,$V42,$W42)</f>
        <v>#NUM!</v>
      </c>
      <c r="Y42" s="223"/>
      <c r="Z42" s="236">
        <v>0</v>
      </c>
      <c r="AA42" s="223"/>
      <c r="AB42" s="289" t="e">
        <v>#NUM!</v>
      </c>
      <c r="AC42" s="233" t="e">
        <f>_xll.qlSimpleQuoteSetValue(F42,AB42/100,Trigger)</f>
        <v>#NUM!</v>
      </c>
      <c r="AD42" s="189"/>
      <c r="AE42" s="19"/>
      <c r="AF42" s="19"/>
      <c r="AG42" s="19"/>
      <c r="AH42" s="19"/>
      <c r="AI42" s="19"/>
      <c r="AJ42" s="258" t="e">
        <f t="shared" si="1"/>
        <v>#VALUE!</v>
      </c>
    </row>
    <row r="43" spans="1:36" ht="12" thickBot="1" x14ac:dyDescent="0.25">
      <c r="A43" s="182"/>
      <c r="B43" s="181"/>
      <c r="C43" s="181"/>
      <c r="D43" s="181"/>
      <c r="E43" s="181"/>
      <c r="F43" s="181"/>
      <c r="G43" s="181"/>
      <c r="H43" s="39"/>
      <c r="N43" s="41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9"/>
      <c r="AE43" s="19"/>
      <c r="AF43" s="19"/>
      <c r="AG43" s="19"/>
      <c r="AH43" s="19"/>
      <c r="AI43" s="19"/>
      <c r="AJ43" s="19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97" customWidth="1"/>
    <col min="2" max="2" width="6.140625" style="97" bestFit="1" customWidth="1"/>
    <col min="3" max="3" width="25.42578125" style="97" bestFit="1" customWidth="1"/>
    <col min="4" max="4" width="26.7109375" style="97" bestFit="1" customWidth="1"/>
    <col min="5" max="5" width="36.85546875" style="97" bestFit="1" customWidth="1"/>
    <col min="6" max="6" width="2.7109375" style="97" customWidth="1"/>
    <col min="7" max="16384" width="9.140625" style="97"/>
  </cols>
  <sheetData>
    <row r="1" spans="1:6" x14ac:dyDescent="0.2">
      <c r="A1" s="152" t="s">
        <v>195</v>
      </c>
      <c r="B1" s="197">
        <v>1</v>
      </c>
      <c r="C1" s="198" t="s">
        <v>194</v>
      </c>
      <c r="D1" s="197"/>
      <c r="E1" s="197"/>
      <c r="F1" s="196"/>
    </row>
    <row r="2" spans="1:6" x14ac:dyDescent="0.2">
      <c r="A2" s="116"/>
      <c r="B2" s="195"/>
      <c r="C2" s="194" t="str">
        <f>Currency&amp;"_015_SyntheticQuotes"&amp;Tenor&amp;".xml"</f>
        <v>USD_015_SyntheticQuotesON.xml</v>
      </c>
      <c r="D2" s="10" t="str">
        <f>IF(Serialize,_xll.ohObjectSave(D3:D4,SerializationPath&amp;C2,FileOverwrite,Serialize),"---")</f>
        <v>---</v>
      </c>
      <c r="E2" s="7" t="str">
        <f>_xll.ohRangeRetrieveError(D2)</f>
        <v/>
      </c>
      <c r="F2" s="189"/>
    </row>
    <row r="3" spans="1:6" x14ac:dyDescent="0.2">
      <c r="A3" s="116"/>
      <c r="B3" s="193" t="s">
        <v>193</v>
      </c>
      <c r="C3" s="119" t="str">
        <f>Currency&amp;$B3&amp;"_SYNTH"&amp;Tenor&amp;QuoteSuffix</f>
        <v>USDTOY_SYNTHON_Quote</v>
      </c>
      <c r="D3" s="121" t="str">
        <f>_xll.qlSimpleQuote(C3,1,RateTickValue,Permanent,Trigger,ObjectOverwrite)</f>
        <v>USDTOY_SYNTHON_Quote#0000</v>
      </c>
      <c r="E3" s="192" t="str">
        <f>_xll.ohRangeRetrieveError(D3)</f>
        <v/>
      </c>
      <c r="F3" s="189"/>
    </row>
    <row r="4" spans="1:6" x14ac:dyDescent="0.2">
      <c r="A4" s="116"/>
      <c r="B4" s="191" t="s">
        <v>192</v>
      </c>
      <c r="C4" s="112" t="str">
        <f>Currency&amp;$B4&amp;"_SYNTH"&amp;Tenor&amp;QuoteSuffix</f>
        <v>USDTOY2_SYNTHON_Quote</v>
      </c>
      <c r="D4" s="117" t="str">
        <f>_xll.qlSimpleQuote(C4,1,RateTickValue,Permanent,Trigger,ObjectOverwrite)</f>
        <v>USDTOY2_SYNTHON_Quote#0000</v>
      </c>
      <c r="E4" s="190" t="str">
        <f>_xll.ohRangeRetrieveError(D4)</f>
        <v/>
      </c>
      <c r="F4" s="189"/>
    </row>
    <row r="5" spans="1:6" ht="12" thickBot="1" x14ac:dyDescent="0.25">
      <c r="A5" s="41"/>
      <c r="B5" s="40"/>
      <c r="C5" s="40"/>
      <c r="D5" s="40"/>
      <c r="E5" s="40"/>
      <c r="F5" s="39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19" sqref="I19"/>
    </sheetView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7" width="1.85546875" style="19" bestFit="1" customWidth="1"/>
    <col min="8" max="8" width="7.140625" style="19" bestFit="1" customWidth="1"/>
    <col min="9" max="9" width="23.7109375" style="19" bestFit="1" customWidth="1"/>
    <col min="10" max="10" width="24" style="19" bestFit="1" customWidth="1"/>
    <col min="11" max="11" width="27" style="62" bestFit="1" customWidth="1"/>
    <col min="12" max="12" width="22" style="19" customWidth="1"/>
    <col min="13" max="14" width="2.7109375" style="19" customWidth="1"/>
    <col min="15" max="15" width="4" style="19" bestFit="1" customWidth="1"/>
    <col min="16" max="16" width="3.28515625" style="19" bestFit="1" customWidth="1"/>
    <col min="17" max="17" width="2.7109375" style="19" customWidth="1"/>
    <col min="18" max="18" width="3.28515625" style="19" bestFit="1" customWidth="1"/>
    <col min="19" max="20" width="2.7109375" style="19" bestFit="1" customWidth="1"/>
    <col min="21" max="16384" width="9.140625" style="19"/>
  </cols>
  <sheetData>
    <row r="1" spans="1:20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0" ht="22.5" x14ac:dyDescent="0.2">
      <c r="A2" s="116"/>
      <c r="B2" s="206"/>
      <c r="C2" s="207"/>
      <c r="D2" s="206"/>
      <c r="E2" s="206" t="s">
        <v>199</v>
      </c>
      <c r="F2" s="206"/>
      <c r="G2" s="206"/>
      <c r="H2" s="206" t="s">
        <v>198</v>
      </c>
      <c r="I2" s="206" t="s">
        <v>197</v>
      </c>
      <c r="J2" s="205" t="str">
        <f>Currency&amp;"_020_Sw"&amp;$C$3&amp;$D$3&amp;"_Fwd"&amp;$E$3&amp;IF(H3=0,,"_Spr"&amp;$F3&amp;$G3)&amp;".xml"</f>
        <v>USD_020_SwAM3L_Fwd1w.xml</v>
      </c>
      <c r="K2" s="204" t="str">
        <f>IF(Serialize,_xll.ohObjectSave(K3:K36,SerializationPath&amp;J2,FileOverwrite,Serialize),"---")</f>
        <v>---</v>
      </c>
      <c r="L2" s="202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0" x14ac:dyDescent="0.2">
      <c r="A3" s="116"/>
      <c r="B3" s="201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3L</v>
      </c>
      <c r="E3" s="161" t="str">
        <f t="shared" ref="E3:E36" si="2">VLOOKUP(Currency,$O$3:$T$7,4)</f>
        <v>1w</v>
      </c>
      <c r="F3" s="161">
        <f t="shared" ref="F3:F36" si="3">VLOOKUP(Currency,$O$3:$T$7,5)</f>
        <v>0</v>
      </c>
      <c r="G3" s="161">
        <f t="shared" ref="G3:G36" si="4">VLOOKUP(Currency,$O$3:$T$7,6)</f>
        <v>0</v>
      </c>
      <c r="H3" s="200">
        <f t="shared" ref="H3:H36" si="5">IF(F3=0,0,Currency&amp;$F3&amp;$G3&amp;$B3&amp;QuoteSuffix)</f>
        <v>0</v>
      </c>
      <c r="I3" s="203" t="str">
        <f t="shared" ref="I3:I36" si="6">PROPER(Currency)&amp;FamilyName&amp;"Swap"&amp;FixingType&amp;$B3</f>
        <v>UsdLiborSwapForBasisCalc1Y</v>
      </c>
      <c r="J3" s="199" t="str">
        <f t="shared" ref="J3:J36" si="7">Currency&amp;$C3&amp;$D3&amp;$B3&amp;"_"&amp;"Fwd"&amp;E3&amp;IF(H3=0,,"_Spr"&amp;$F3&amp;$G3)&amp;QuoteSuffix</f>
        <v>USDAM3L1Y_Fwd1w_Quote</v>
      </c>
      <c r="K3" s="199"/>
      <c r="L3" s="202" t="str">
        <f>_xll.ohRangeRetrieveError(K3)</f>
        <v/>
      </c>
      <c r="M3" s="42"/>
      <c r="O3" s="79" t="s">
        <v>110</v>
      </c>
      <c r="P3" s="78" t="s">
        <v>186</v>
      </c>
      <c r="Q3" s="78" t="s">
        <v>104</v>
      </c>
      <c r="R3" s="78" t="s">
        <v>196</v>
      </c>
      <c r="S3" s="78"/>
      <c r="T3" s="77"/>
    </row>
    <row r="4" spans="1:20" x14ac:dyDescent="0.2">
      <c r="A4" s="116"/>
      <c r="B4" s="201" t="s">
        <v>87</v>
      </c>
      <c r="C4" s="161" t="str">
        <f t="shared" si="0"/>
        <v>AM</v>
      </c>
      <c r="D4" s="161" t="str">
        <f t="shared" si="1"/>
        <v>3L</v>
      </c>
      <c r="E4" s="161" t="str">
        <f t="shared" si="2"/>
        <v>1w</v>
      </c>
      <c r="F4" s="161">
        <f t="shared" si="3"/>
        <v>0</v>
      </c>
      <c r="G4" s="161">
        <f t="shared" si="4"/>
        <v>0</v>
      </c>
      <c r="H4" s="200">
        <f t="shared" si="5"/>
        <v>0</v>
      </c>
      <c r="I4" s="100" t="str">
        <f t="shared" si="6"/>
        <v>UsdLiborSwapForBasisCalc2Y</v>
      </c>
      <c r="J4" s="199" t="str">
        <f t="shared" si="7"/>
        <v>USDAM3L2Y_Fwd1w_Quote</v>
      </c>
      <c r="K4" s="199"/>
      <c r="L4" s="202" t="str">
        <f>_xll.ohRangeRetrieveError(K4)</f>
        <v/>
      </c>
      <c r="M4" s="42"/>
      <c r="O4" s="79" t="s">
        <v>109</v>
      </c>
      <c r="P4" s="78" t="s">
        <v>186</v>
      </c>
      <c r="Q4" s="78" t="s">
        <v>107</v>
      </c>
      <c r="R4" s="78" t="s">
        <v>196</v>
      </c>
      <c r="S4" s="78"/>
      <c r="T4" s="77"/>
    </row>
    <row r="5" spans="1:20" x14ac:dyDescent="0.2">
      <c r="A5" s="116"/>
      <c r="B5" s="201" t="s">
        <v>86</v>
      </c>
      <c r="C5" s="161" t="str">
        <f t="shared" si="0"/>
        <v>AM</v>
      </c>
      <c r="D5" s="161" t="str">
        <f t="shared" si="1"/>
        <v>3L</v>
      </c>
      <c r="E5" s="161" t="str">
        <f t="shared" si="2"/>
        <v>1w</v>
      </c>
      <c r="F5" s="161">
        <f t="shared" si="3"/>
        <v>0</v>
      </c>
      <c r="G5" s="161">
        <f t="shared" si="4"/>
        <v>0</v>
      </c>
      <c r="H5" s="200">
        <f t="shared" si="5"/>
        <v>0</v>
      </c>
      <c r="I5" s="100" t="str">
        <f t="shared" si="6"/>
        <v>UsdLiborSwapForBasisCalc3Y</v>
      </c>
      <c r="J5" s="199" t="str">
        <f t="shared" si="7"/>
        <v>USDAM3L3Y_Fwd1w_Quote</v>
      </c>
      <c r="K5" s="199"/>
      <c r="L5" s="202" t="str">
        <f>_xll.ohRangeRetrieveError(K5)</f>
        <v/>
      </c>
      <c r="M5" s="42"/>
      <c r="O5" s="79" t="s">
        <v>106</v>
      </c>
      <c r="P5" s="78" t="s">
        <v>185</v>
      </c>
      <c r="Q5" s="78" t="s">
        <v>104</v>
      </c>
      <c r="R5" s="78" t="s">
        <v>196</v>
      </c>
      <c r="S5" s="78"/>
      <c r="T5" s="77"/>
    </row>
    <row r="6" spans="1:20" x14ac:dyDescent="0.2">
      <c r="A6" s="116"/>
      <c r="B6" s="201" t="s">
        <v>85</v>
      </c>
      <c r="C6" s="161" t="str">
        <f t="shared" si="0"/>
        <v>AM</v>
      </c>
      <c r="D6" s="161" t="str">
        <f t="shared" si="1"/>
        <v>3L</v>
      </c>
      <c r="E6" s="161" t="str">
        <f t="shared" si="2"/>
        <v>1w</v>
      </c>
      <c r="F6" s="161">
        <f t="shared" si="3"/>
        <v>0</v>
      </c>
      <c r="G6" s="161">
        <f t="shared" si="4"/>
        <v>0</v>
      </c>
      <c r="H6" s="200">
        <f t="shared" si="5"/>
        <v>0</v>
      </c>
      <c r="I6" s="100" t="str">
        <f t="shared" si="6"/>
        <v>UsdLiborSwapForBasisCalc4Y</v>
      </c>
      <c r="J6" s="199" t="str">
        <f t="shared" si="7"/>
        <v>USDAM3L4Y_Fwd1w_Quote</v>
      </c>
      <c r="K6" s="199"/>
      <c r="L6" s="202" t="str">
        <f>_xll.ohRangeRetrieveError(K6)</f>
        <v/>
      </c>
      <c r="M6" s="42"/>
      <c r="O6" s="79" t="s">
        <v>105</v>
      </c>
      <c r="P6" s="78" t="s">
        <v>185</v>
      </c>
      <c r="Q6" s="78" t="s">
        <v>104</v>
      </c>
      <c r="R6" s="78" t="s">
        <v>196</v>
      </c>
      <c r="S6" s="78"/>
      <c r="T6" s="77"/>
    </row>
    <row r="7" spans="1:20" ht="12" thickBot="1" x14ac:dyDescent="0.25">
      <c r="A7" s="116"/>
      <c r="B7" s="201" t="s">
        <v>84</v>
      </c>
      <c r="C7" s="161" t="str">
        <f t="shared" si="0"/>
        <v>AM</v>
      </c>
      <c r="D7" s="161" t="str">
        <f t="shared" si="1"/>
        <v>3L</v>
      </c>
      <c r="E7" s="161" t="str">
        <f t="shared" si="2"/>
        <v>1w</v>
      </c>
      <c r="F7" s="161">
        <f t="shared" si="3"/>
        <v>0</v>
      </c>
      <c r="G7" s="161">
        <f t="shared" si="4"/>
        <v>0</v>
      </c>
      <c r="H7" s="200">
        <f t="shared" si="5"/>
        <v>0</v>
      </c>
      <c r="I7" s="100" t="str">
        <f t="shared" si="6"/>
        <v>UsdLiborSwapForBasisCalc5Y</v>
      </c>
      <c r="J7" s="199" t="str">
        <f t="shared" si="7"/>
        <v>USDAM3L5Y_Fwd1w_Quote</v>
      </c>
      <c r="K7" s="199"/>
      <c r="L7" s="202" t="str">
        <f>_xll.ohRangeRetrieveError(K7)</f>
        <v/>
      </c>
      <c r="M7" s="42"/>
      <c r="O7" s="76" t="s">
        <v>100</v>
      </c>
      <c r="P7" s="75" t="s">
        <v>184</v>
      </c>
      <c r="Q7" s="75" t="s">
        <v>103</v>
      </c>
      <c r="R7" s="75" t="s">
        <v>196</v>
      </c>
      <c r="S7" s="75"/>
      <c r="T7" s="74"/>
    </row>
    <row r="8" spans="1:20" x14ac:dyDescent="0.2">
      <c r="A8" s="116"/>
      <c r="B8" s="201" t="s">
        <v>83</v>
      </c>
      <c r="C8" s="161" t="str">
        <f t="shared" si="0"/>
        <v>AM</v>
      </c>
      <c r="D8" s="161" t="str">
        <f t="shared" si="1"/>
        <v>3L</v>
      </c>
      <c r="E8" s="161" t="str">
        <f t="shared" si="2"/>
        <v>1w</v>
      </c>
      <c r="F8" s="161">
        <f t="shared" si="3"/>
        <v>0</v>
      </c>
      <c r="G8" s="161">
        <f t="shared" si="4"/>
        <v>0</v>
      </c>
      <c r="H8" s="200">
        <f t="shared" si="5"/>
        <v>0</v>
      </c>
      <c r="I8" s="100" t="str">
        <f t="shared" si="6"/>
        <v>UsdLiborSwapForBasisCalc6Y</v>
      </c>
      <c r="J8" s="199" t="str">
        <f t="shared" si="7"/>
        <v>USDAM3L6Y_Fwd1w_Quote</v>
      </c>
      <c r="K8" s="199"/>
      <c r="L8" s="202" t="str">
        <f>_xll.ohRangeRetrieveError(K8)</f>
        <v/>
      </c>
      <c r="M8" s="42"/>
    </row>
    <row r="9" spans="1:20" x14ac:dyDescent="0.2">
      <c r="A9" s="116"/>
      <c r="B9" s="201" t="s">
        <v>82</v>
      </c>
      <c r="C9" s="161" t="str">
        <f t="shared" si="0"/>
        <v>AM</v>
      </c>
      <c r="D9" s="161" t="str">
        <f t="shared" si="1"/>
        <v>3L</v>
      </c>
      <c r="E9" s="161" t="str">
        <f t="shared" si="2"/>
        <v>1w</v>
      </c>
      <c r="F9" s="161">
        <f t="shared" si="3"/>
        <v>0</v>
      </c>
      <c r="G9" s="161">
        <f t="shared" si="4"/>
        <v>0</v>
      </c>
      <c r="H9" s="200">
        <f t="shared" si="5"/>
        <v>0</v>
      </c>
      <c r="I9" s="100" t="str">
        <f t="shared" si="6"/>
        <v>UsdLiborSwapForBasisCalc7Y</v>
      </c>
      <c r="J9" s="199" t="str">
        <f t="shared" si="7"/>
        <v>USDAM3L7Y_Fwd1w_Quote</v>
      </c>
      <c r="K9" s="199"/>
      <c r="L9" s="202" t="str">
        <f>_xll.ohRangeRetrieveError(K9)</f>
        <v/>
      </c>
      <c r="M9" s="42"/>
    </row>
    <row r="10" spans="1:20" x14ac:dyDescent="0.2">
      <c r="A10" s="116"/>
      <c r="B10" s="201" t="s">
        <v>81</v>
      </c>
      <c r="C10" s="161" t="str">
        <f t="shared" si="0"/>
        <v>AM</v>
      </c>
      <c r="D10" s="161" t="str">
        <f t="shared" si="1"/>
        <v>3L</v>
      </c>
      <c r="E10" s="161" t="str">
        <f t="shared" si="2"/>
        <v>1w</v>
      </c>
      <c r="F10" s="161">
        <f t="shared" si="3"/>
        <v>0</v>
      </c>
      <c r="G10" s="161">
        <f t="shared" si="4"/>
        <v>0</v>
      </c>
      <c r="H10" s="200">
        <f t="shared" si="5"/>
        <v>0</v>
      </c>
      <c r="I10" s="100" t="str">
        <f t="shared" si="6"/>
        <v>UsdLiborSwapForBasisCalc8Y</v>
      </c>
      <c r="J10" s="199" t="str">
        <f t="shared" si="7"/>
        <v>USDAM3L8Y_Fwd1w_Quote</v>
      </c>
      <c r="K10" s="199"/>
      <c r="L10" s="202" t="str">
        <f>_xll.ohRangeRetrieveError(K10)</f>
        <v/>
      </c>
      <c r="M10" s="42"/>
    </row>
    <row r="11" spans="1:20" x14ac:dyDescent="0.2">
      <c r="A11" s="116"/>
      <c r="B11" s="201" t="s">
        <v>80</v>
      </c>
      <c r="C11" s="161" t="str">
        <f t="shared" si="0"/>
        <v>AM</v>
      </c>
      <c r="D11" s="161" t="str">
        <f t="shared" si="1"/>
        <v>3L</v>
      </c>
      <c r="E11" s="161" t="str">
        <f t="shared" si="2"/>
        <v>1w</v>
      </c>
      <c r="F11" s="161">
        <f t="shared" si="3"/>
        <v>0</v>
      </c>
      <c r="G11" s="161">
        <f t="shared" si="4"/>
        <v>0</v>
      </c>
      <c r="H11" s="200">
        <f t="shared" si="5"/>
        <v>0</v>
      </c>
      <c r="I11" s="100" t="str">
        <f t="shared" si="6"/>
        <v>UsdLiborSwapForBasisCalc9Y</v>
      </c>
      <c r="J11" s="199" t="str">
        <f t="shared" si="7"/>
        <v>USDAM3L9Y_Fwd1w_Quote</v>
      </c>
      <c r="K11" s="199"/>
      <c r="L11" s="202" t="str">
        <f>_xll.ohRangeRetrieveError(K11)</f>
        <v/>
      </c>
      <c r="M11" s="42"/>
    </row>
    <row r="12" spans="1:20" x14ac:dyDescent="0.2">
      <c r="A12" s="116"/>
      <c r="B12" s="201" t="s">
        <v>79</v>
      </c>
      <c r="C12" s="161" t="str">
        <f t="shared" si="0"/>
        <v>AM</v>
      </c>
      <c r="D12" s="161" t="str">
        <f t="shared" si="1"/>
        <v>3L</v>
      </c>
      <c r="E12" s="161" t="str">
        <f t="shared" si="2"/>
        <v>1w</v>
      </c>
      <c r="F12" s="161">
        <f t="shared" si="3"/>
        <v>0</v>
      </c>
      <c r="G12" s="161">
        <f t="shared" si="4"/>
        <v>0</v>
      </c>
      <c r="H12" s="200">
        <f t="shared" si="5"/>
        <v>0</v>
      </c>
      <c r="I12" s="100" t="str">
        <f t="shared" si="6"/>
        <v>UsdLiborSwapForBasisCalc10Y</v>
      </c>
      <c r="J12" s="199" t="str">
        <f t="shared" si="7"/>
        <v>USDAM3L10Y_Fwd1w_Quote</v>
      </c>
      <c r="K12" s="199"/>
      <c r="L12" s="202" t="str">
        <f>_xll.ohRangeRetrieveError(K12)</f>
        <v/>
      </c>
      <c r="M12" s="42"/>
    </row>
    <row r="13" spans="1:20" x14ac:dyDescent="0.2">
      <c r="A13" s="116"/>
      <c r="B13" s="201" t="s">
        <v>78</v>
      </c>
      <c r="C13" s="161" t="str">
        <f t="shared" si="0"/>
        <v>AM</v>
      </c>
      <c r="D13" s="161" t="str">
        <f t="shared" si="1"/>
        <v>3L</v>
      </c>
      <c r="E13" s="161" t="str">
        <f t="shared" si="2"/>
        <v>1w</v>
      </c>
      <c r="F13" s="161">
        <f t="shared" si="3"/>
        <v>0</v>
      </c>
      <c r="G13" s="161">
        <f t="shared" si="4"/>
        <v>0</v>
      </c>
      <c r="H13" s="200">
        <f t="shared" si="5"/>
        <v>0</v>
      </c>
      <c r="I13" s="100" t="str">
        <f t="shared" si="6"/>
        <v>UsdLiborSwapForBasisCalc11Y</v>
      </c>
      <c r="J13" s="199" t="str">
        <f t="shared" si="7"/>
        <v>USDAM3L11Y_Fwd1w_Quote</v>
      </c>
      <c r="K13" s="199"/>
      <c r="L13" s="202" t="str">
        <f>_xll.ohRangeRetrieveError(K13)</f>
        <v/>
      </c>
      <c r="M13" s="42"/>
    </row>
    <row r="14" spans="1:20" x14ac:dyDescent="0.2">
      <c r="A14" s="116"/>
      <c r="B14" s="201" t="s">
        <v>77</v>
      </c>
      <c r="C14" s="161" t="str">
        <f t="shared" si="0"/>
        <v>AM</v>
      </c>
      <c r="D14" s="161" t="str">
        <f t="shared" si="1"/>
        <v>3L</v>
      </c>
      <c r="E14" s="161" t="str">
        <f t="shared" si="2"/>
        <v>1w</v>
      </c>
      <c r="F14" s="161">
        <f t="shared" si="3"/>
        <v>0</v>
      </c>
      <c r="G14" s="161">
        <f t="shared" si="4"/>
        <v>0</v>
      </c>
      <c r="H14" s="200">
        <f t="shared" si="5"/>
        <v>0</v>
      </c>
      <c r="I14" s="100" t="str">
        <f t="shared" si="6"/>
        <v>UsdLiborSwapForBasisCalc12Y</v>
      </c>
      <c r="J14" s="199" t="str">
        <f t="shared" si="7"/>
        <v>USDAM3L12Y_Fwd1w_Quote</v>
      </c>
      <c r="K14" s="199"/>
      <c r="L14" s="202" t="str">
        <f>_xll.ohRangeRetrieveError(K14)</f>
        <v/>
      </c>
      <c r="M14" s="42"/>
    </row>
    <row r="15" spans="1:20" x14ac:dyDescent="0.2">
      <c r="A15" s="116"/>
      <c r="B15" s="201" t="s">
        <v>76</v>
      </c>
      <c r="C15" s="161" t="str">
        <f t="shared" si="0"/>
        <v>AM</v>
      </c>
      <c r="D15" s="161" t="str">
        <f t="shared" si="1"/>
        <v>3L</v>
      </c>
      <c r="E15" s="161" t="str">
        <f t="shared" si="2"/>
        <v>1w</v>
      </c>
      <c r="F15" s="161">
        <f t="shared" si="3"/>
        <v>0</v>
      </c>
      <c r="G15" s="161">
        <f t="shared" si="4"/>
        <v>0</v>
      </c>
      <c r="H15" s="200">
        <f t="shared" si="5"/>
        <v>0</v>
      </c>
      <c r="I15" s="100" t="str">
        <f t="shared" si="6"/>
        <v>UsdLiborSwapForBasisCalc13Y</v>
      </c>
      <c r="J15" s="199" t="str">
        <f t="shared" si="7"/>
        <v>USDAM3L13Y_Fwd1w_Quote</v>
      </c>
      <c r="K15" s="199"/>
      <c r="L15" s="202" t="str">
        <f>_xll.ohRangeRetrieveError(K15)</f>
        <v/>
      </c>
      <c r="M15" s="42"/>
    </row>
    <row r="16" spans="1:20" x14ac:dyDescent="0.2">
      <c r="A16" s="116"/>
      <c r="B16" s="201" t="s">
        <v>75</v>
      </c>
      <c r="C16" s="161" t="str">
        <f t="shared" si="0"/>
        <v>AM</v>
      </c>
      <c r="D16" s="161" t="str">
        <f t="shared" si="1"/>
        <v>3L</v>
      </c>
      <c r="E16" s="161" t="str">
        <f t="shared" si="2"/>
        <v>1w</v>
      </c>
      <c r="F16" s="161">
        <f t="shared" si="3"/>
        <v>0</v>
      </c>
      <c r="G16" s="161">
        <f t="shared" si="4"/>
        <v>0</v>
      </c>
      <c r="H16" s="200">
        <f t="shared" si="5"/>
        <v>0</v>
      </c>
      <c r="I16" s="100" t="str">
        <f t="shared" si="6"/>
        <v>UsdLiborSwapForBasisCalc14Y</v>
      </c>
      <c r="J16" s="199" t="str">
        <f t="shared" si="7"/>
        <v>USDAM3L14Y_Fwd1w_Quote</v>
      </c>
      <c r="K16" s="199"/>
      <c r="L16" s="202" t="str">
        <f>_xll.ohRangeRetrieveError(K16)</f>
        <v/>
      </c>
      <c r="M16" s="42"/>
    </row>
    <row r="17" spans="1:13" x14ac:dyDescent="0.2">
      <c r="A17" s="116"/>
      <c r="B17" s="201" t="s">
        <v>74</v>
      </c>
      <c r="C17" s="161" t="str">
        <f t="shared" si="0"/>
        <v>AM</v>
      </c>
      <c r="D17" s="161" t="str">
        <f t="shared" si="1"/>
        <v>3L</v>
      </c>
      <c r="E17" s="161" t="str">
        <f t="shared" si="2"/>
        <v>1w</v>
      </c>
      <c r="F17" s="161">
        <f t="shared" si="3"/>
        <v>0</v>
      </c>
      <c r="G17" s="161">
        <f t="shared" si="4"/>
        <v>0</v>
      </c>
      <c r="H17" s="200">
        <f t="shared" si="5"/>
        <v>0</v>
      </c>
      <c r="I17" s="100" t="str">
        <f t="shared" si="6"/>
        <v>UsdLiborSwapForBasisCalc15Y</v>
      </c>
      <c r="J17" s="199" t="str">
        <f t="shared" si="7"/>
        <v>USDAM3L15Y_Fwd1w_Quote</v>
      </c>
      <c r="K17" s="199"/>
      <c r="L17" s="202" t="str">
        <f>_xll.ohRangeRetrieveError(K17)</f>
        <v/>
      </c>
      <c r="M17" s="42"/>
    </row>
    <row r="18" spans="1:13" x14ac:dyDescent="0.2">
      <c r="A18" s="116"/>
      <c r="B18" s="201" t="s">
        <v>73</v>
      </c>
      <c r="C18" s="161" t="str">
        <f t="shared" si="0"/>
        <v>AM</v>
      </c>
      <c r="D18" s="161" t="str">
        <f t="shared" si="1"/>
        <v>3L</v>
      </c>
      <c r="E18" s="161" t="str">
        <f t="shared" si="2"/>
        <v>1w</v>
      </c>
      <c r="F18" s="161">
        <f t="shared" si="3"/>
        <v>0</v>
      </c>
      <c r="G18" s="161">
        <f t="shared" si="4"/>
        <v>0</v>
      </c>
      <c r="H18" s="200">
        <f t="shared" si="5"/>
        <v>0</v>
      </c>
      <c r="I18" s="100" t="str">
        <f t="shared" si="6"/>
        <v>UsdLiborSwapForBasisCalc16Y</v>
      </c>
      <c r="J18" s="199" t="str">
        <f t="shared" si="7"/>
        <v>USDAM3L16Y_Fwd1w_Quote</v>
      </c>
      <c r="K18" s="199"/>
      <c r="L18" s="202" t="str">
        <f>_xll.ohRangeRetrieveError(K18)</f>
        <v/>
      </c>
      <c r="M18" s="42"/>
    </row>
    <row r="19" spans="1:13" x14ac:dyDescent="0.2">
      <c r="A19" s="116"/>
      <c r="B19" s="201" t="s">
        <v>72</v>
      </c>
      <c r="C19" s="161" t="str">
        <f t="shared" si="0"/>
        <v>AM</v>
      </c>
      <c r="D19" s="161" t="str">
        <f t="shared" si="1"/>
        <v>3L</v>
      </c>
      <c r="E19" s="161" t="str">
        <f t="shared" si="2"/>
        <v>1w</v>
      </c>
      <c r="F19" s="161">
        <f t="shared" si="3"/>
        <v>0</v>
      </c>
      <c r="G19" s="161">
        <f t="shared" si="4"/>
        <v>0</v>
      </c>
      <c r="H19" s="200">
        <f t="shared" si="5"/>
        <v>0</v>
      </c>
      <c r="I19" s="100" t="str">
        <f t="shared" si="6"/>
        <v>UsdLiborSwapForBasisCalc17Y</v>
      </c>
      <c r="J19" s="199" t="str">
        <f t="shared" si="7"/>
        <v>USDAM3L17Y_Fwd1w_Quote</v>
      </c>
      <c r="K19" s="199"/>
      <c r="L19" s="202" t="str">
        <f>_xll.ohRangeRetrieveError(K19)</f>
        <v/>
      </c>
      <c r="M19" s="42"/>
    </row>
    <row r="20" spans="1:13" x14ac:dyDescent="0.2">
      <c r="A20" s="116"/>
      <c r="B20" s="201" t="s">
        <v>71</v>
      </c>
      <c r="C20" s="161" t="str">
        <f t="shared" si="0"/>
        <v>AM</v>
      </c>
      <c r="D20" s="161" t="str">
        <f t="shared" si="1"/>
        <v>3L</v>
      </c>
      <c r="E20" s="161" t="str">
        <f t="shared" si="2"/>
        <v>1w</v>
      </c>
      <c r="F20" s="161">
        <f t="shared" si="3"/>
        <v>0</v>
      </c>
      <c r="G20" s="161">
        <f t="shared" si="4"/>
        <v>0</v>
      </c>
      <c r="H20" s="200">
        <f t="shared" si="5"/>
        <v>0</v>
      </c>
      <c r="I20" s="100" t="str">
        <f t="shared" si="6"/>
        <v>UsdLiborSwapForBasisCalc18Y</v>
      </c>
      <c r="J20" s="199" t="str">
        <f t="shared" si="7"/>
        <v>USDAM3L18Y_Fwd1w_Quote</v>
      </c>
      <c r="K20" s="199"/>
      <c r="L20" s="202" t="str">
        <f>_xll.ohRangeRetrieveError(K20)</f>
        <v/>
      </c>
      <c r="M20" s="42"/>
    </row>
    <row r="21" spans="1:13" x14ac:dyDescent="0.2">
      <c r="A21" s="116"/>
      <c r="B21" s="201" t="s">
        <v>70</v>
      </c>
      <c r="C21" s="161" t="str">
        <f t="shared" si="0"/>
        <v>AM</v>
      </c>
      <c r="D21" s="161" t="str">
        <f t="shared" si="1"/>
        <v>3L</v>
      </c>
      <c r="E21" s="161" t="str">
        <f t="shared" si="2"/>
        <v>1w</v>
      </c>
      <c r="F21" s="161">
        <f t="shared" si="3"/>
        <v>0</v>
      </c>
      <c r="G21" s="161">
        <f t="shared" si="4"/>
        <v>0</v>
      </c>
      <c r="H21" s="200">
        <f t="shared" si="5"/>
        <v>0</v>
      </c>
      <c r="I21" s="100" t="str">
        <f t="shared" si="6"/>
        <v>UsdLiborSwapForBasisCalc19Y</v>
      </c>
      <c r="J21" s="199" t="str">
        <f t="shared" si="7"/>
        <v>USDAM3L19Y_Fwd1w_Quote</v>
      </c>
      <c r="K21" s="199"/>
      <c r="L21" s="202" t="str">
        <f>_xll.ohRangeRetrieveError(K21)</f>
        <v/>
      </c>
      <c r="M21" s="42"/>
    </row>
    <row r="22" spans="1:13" x14ac:dyDescent="0.2">
      <c r="A22" s="116"/>
      <c r="B22" s="201" t="s">
        <v>69</v>
      </c>
      <c r="C22" s="161" t="str">
        <f t="shared" si="0"/>
        <v>AM</v>
      </c>
      <c r="D22" s="161" t="str">
        <f t="shared" si="1"/>
        <v>3L</v>
      </c>
      <c r="E22" s="161" t="str">
        <f t="shared" si="2"/>
        <v>1w</v>
      </c>
      <c r="F22" s="161">
        <f t="shared" si="3"/>
        <v>0</v>
      </c>
      <c r="G22" s="161">
        <f t="shared" si="4"/>
        <v>0</v>
      </c>
      <c r="H22" s="200">
        <f t="shared" si="5"/>
        <v>0</v>
      </c>
      <c r="I22" s="100" t="str">
        <f t="shared" si="6"/>
        <v>UsdLiborSwapForBasisCalc20Y</v>
      </c>
      <c r="J22" s="199" t="str">
        <f t="shared" si="7"/>
        <v>USDAM3L20Y_Fwd1w_Quote</v>
      </c>
      <c r="K22" s="199"/>
      <c r="L22" s="202" t="str">
        <f>_xll.ohRangeRetrieveError(K22)</f>
        <v/>
      </c>
      <c r="M22" s="42"/>
    </row>
    <row r="23" spans="1:13" x14ac:dyDescent="0.2">
      <c r="A23" s="116"/>
      <c r="B23" s="201" t="s">
        <v>68</v>
      </c>
      <c r="C23" s="161" t="str">
        <f t="shared" si="0"/>
        <v>AM</v>
      </c>
      <c r="D23" s="161" t="str">
        <f t="shared" si="1"/>
        <v>3L</v>
      </c>
      <c r="E23" s="161" t="str">
        <f t="shared" si="2"/>
        <v>1w</v>
      </c>
      <c r="F23" s="161">
        <f t="shared" si="3"/>
        <v>0</v>
      </c>
      <c r="G23" s="161">
        <f t="shared" si="4"/>
        <v>0</v>
      </c>
      <c r="H23" s="200">
        <f t="shared" si="5"/>
        <v>0</v>
      </c>
      <c r="I23" s="100" t="str">
        <f t="shared" si="6"/>
        <v>UsdLiborSwapForBasisCalc21Y</v>
      </c>
      <c r="J23" s="199" t="str">
        <f t="shared" si="7"/>
        <v>USDAM3L21Y_Fwd1w_Quote</v>
      </c>
      <c r="K23" s="199"/>
      <c r="L23" s="202" t="str">
        <f>_xll.ohRangeRetrieveError(K23)</f>
        <v/>
      </c>
      <c r="M23" s="42"/>
    </row>
    <row r="24" spans="1:13" x14ac:dyDescent="0.2">
      <c r="A24" s="116"/>
      <c r="B24" s="201" t="s">
        <v>67</v>
      </c>
      <c r="C24" s="161" t="str">
        <f t="shared" si="0"/>
        <v>AM</v>
      </c>
      <c r="D24" s="161" t="str">
        <f t="shared" si="1"/>
        <v>3L</v>
      </c>
      <c r="E24" s="161" t="str">
        <f t="shared" si="2"/>
        <v>1w</v>
      </c>
      <c r="F24" s="161">
        <f t="shared" si="3"/>
        <v>0</v>
      </c>
      <c r="G24" s="161">
        <f t="shared" si="4"/>
        <v>0</v>
      </c>
      <c r="H24" s="200">
        <f t="shared" si="5"/>
        <v>0</v>
      </c>
      <c r="I24" s="100" t="str">
        <f t="shared" si="6"/>
        <v>UsdLiborSwapForBasisCalc22Y</v>
      </c>
      <c r="J24" s="199" t="str">
        <f t="shared" si="7"/>
        <v>USDAM3L22Y_Fwd1w_Quote</v>
      </c>
      <c r="K24" s="199"/>
      <c r="L24" s="202" t="str">
        <f>_xll.ohRangeRetrieveError(K24)</f>
        <v/>
      </c>
      <c r="M24" s="42"/>
    </row>
    <row r="25" spans="1:13" x14ac:dyDescent="0.2">
      <c r="A25" s="116"/>
      <c r="B25" s="201" t="s">
        <v>66</v>
      </c>
      <c r="C25" s="161" t="str">
        <f t="shared" si="0"/>
        <v>AM</v>
      </c>
      <c r="D25" s="161" t="str">
        <f t="shared" si="1"/>
        <v>3L</v>
      </c>
      <c r="E25" s="161" t="str">
        <f t="shared" si="2"/>
        <v>1w</v>
      </c>
      <c r="F25" s="161">
        <f t="shared" si="3"/>
        <v>0</v>
      </c>
      <c r="G25" s="161">
        <f t="shared" si="4"/>
        <v>0</v>
      </c>
      <c r="H25" s="200">
        <f t="shared" si="5"/>
        <v>0</v>
      </c>
      <c r="I25" s="100" t="str">
        <f t="shared" si="6"/>
        <v>UsdLiborSwapForBasisCalc23Y</v>
      </c>
      <c r="J25" s="199" t="str">
        <f t="shared" si="7"/>
        <v>USDAM3L23Y_Fwd1w_Quote</v>
      </c>
      <c r="K25" s="199"/>
      <c r="L25" s="202" t="str">
        <f>_xll.ohRangeRetrieveError(K25)</f>
        <v/>
      </c>
      <c r="M25" s="42"/>
    </row>
    <row r="26" spans="1:13" x14ac:dyDescent="0.2">
      <c r="A26" s="116"/>
      <c r="B26" s="201" t="s">
        <v>65</v>
      </c>
      <c r="C26" s="161" t="str">
        <f t="shared" si="0"/>
        <v>AM</v>
      </c>
      <c r="D26" s="161" t="str">
        <f t="shared" si="1"/>
        <v>3L</v>
      </c>
      <c r="E26" s="161" t="str">
        <f t="shared" si="2"/>
        <v>1w</v>
      </c>
      <c r="F26" s="161">
        <f t="shared" si="3"/>
        <v>0</v>
      </c>
      <c r="G26" s="161">
        <f t="shared" si="4"/>
        <v>0</v>
      </c>
      <c r="H26" s="200">
        <f t="shared" si="5"/>
        <v>0</v>
      </c>
      <c r="I26" s="100" t="str">
        <f t="shared" si="6"/>
        <v>UsdLiborSwapForBasisCalc24Y</v>
      </c>
      <c r="J26" s="199" t="str">
        <f t="shared" si="7"/>
        <v>USDAM3L24Y_Fwd1w_Quote</v>
      </c>
      <c r="K26" s="199"/>
      <c r="L26" s="202" t="str">
        <f>_xll.ohRangeRetrieveError(K26)</f>
        <v/>
      </c>
      <c r="M26" s="42"/>
    </row>
    <row r="27" spans="1:13" x14ac:dyDescent="0.2">
      <c r="A27" s="116"/>
      <c r="B27" s="201" t="s">
        <v>64</v>
      </c>
      <c r="C27" s="161" t="str">
        <f t="shared" si="0"/>
        <v>AM</v>
      </c>
      <c r="D27" s="161" t="str">
        <f t="shared" si="1"/>
        <v>3L</v>
      </c>
      <c r="E27" s="161" t="str">
        <f t="shared" si="2"/>
        <v>1w</v>
      </c>
      <c r="F27" s="161">
        <f t="shared" si="3"/>
        <v>0</v>
      </c>
      <c r="G27" s="161">
        <f t="shared" si="4"/>
        <v>0</v>
      </c>
      <c r="H27" s="200">
        <f t="shared" si="5"/>
        <v>0</v>
      </c>
      <c r="I27" s="100" t="str">
        <f t="shared" si="6"/>
        <v>UsdLiborSwapForBasisCalc25Y</v>
      </c>
      <c r="J27" s="199" t="str">
        <f t="shared" si="7"/>
        <v>USDAM3L25Y_Fwd1w_Quote</v>
      </c>
      <c r="K27" s="199"/>
      <c r="L27" s="202" t="str">
        <f>_xll.ohRangeRetrieveError(K27)</f>
        <v/>
      </c>
      <c r="M27" s="42"/>
    </row>
    <row r="28" spans="1:13" x14ac:dyDescent="0.2">
      <c r="A28" s="116"/>
      <c r="B28" s="201" t="s">
        <v>63</v>
      </c>
      <c r="C28" s="161" t="str">
        <f t="shared" si="0"/>
        <v>AM</v>
      </c>
      <c r="D28" s="161" t="str">
        <f t="shared" si="1"/>
        <v>3L</v>
      </c>
      <c r="E28" s="161" t="str">
        <f t="shared" si="2"/>
        <v>1w</v>
      </c>
      <c r="F28" s="161">
        <f t="shared" si="3"/>
        <v>0</v>
      </c>
      <c r="G28" s="161">
        <f t="shared" si="4"/>
        <v>0</v>
      </c>
      <c r="H28" s="200">
        <f t="shared" si="5"/>
        <v>0</v>
      </c>
      <c r="I28" s="100" t="str">
        <f t="shared" si="6"/>
        <v>UsdLiborSwapForBasisCalc26Y</v>
      </c>
      <c r="J28" s="199" t="str">
        <f t="shared" si="7"/>
        <v>USDAM3L26Y_Fwd1w_Quote</v>
      </c>
      <c r="K28" s="199"/>
      <c r="L28" s="202" t="str">
        <f>_xll.ohRangeRetrieveError(K28)</f>
        <v/>
      </c>
      <c r="M28" s="42"/>
    </row>
    <row r="29" spans="1:13" x14ac:dyDescent="0.2">
      <c r="A29" s="116"/>
      <c r="B29" s="201" t="s">
        <v>62</v>
      </c>
      <c r="C29" s="161" t="str">
        <f t="shared" si="0"/>
        <v>AM</v>
      </c>
      <c r="D29" s="161" t="str">
        <f t="shared" si="1"/>
        <v>3L</v>
      </c>
      <c r="E29" s="161" t="str">
        <f t="shared" si="2"/>
        <v>1w</v>
      </c>
      <c r="F29" s="161">
        <f t="shared" si="3"/>
        <v>0</v>
      </c>
      <c r="G29" s="161">
        <f t="shared" si="4"/>
        <v>0</v>
      </c>
      <c r="H29" s="200">
        <f t="shared" si="5"/>
        <v>0</v>
      </c>
      <c r="I29" s="100" t="str">
        <f t="shared" si="6"/>
        <v>UsdLiborSwapForBasisCalc27Y</v>
      </c>
      <c r="J29" s="199" t="str">
        <f t="shared" si="7"/>
        <v>USDAM3L27Y_Fwd1w_Quote</v>
      </c>
      <c r="K29" s="199"/>
      <c r="L29" s="202" t="str">
        <f>_xll.ohRangeRetrieveError(K29)</f>
        <v/>
      </c>
      <c r="M29" s="42"/>
    </row>
    <row r="30" spans="1:13" x14ac:dyDescent="0.2">
      <c r="A30" s="116"/>
      <c r="B30" s="201" t="s">
        <v>61</v>
      </c>
      <c r="C30" s="161" t="str">
        <f t="shared" si="0"/>
        <v>AM</v>
      </c>
      <c r="D30" s="161" t="str">
        <f t="shared" si="1"/>
        <v>3L</v>
      </c>
      <c r="E30" s="161" t="str">
        <f t="shared" si="2"/>
        <v>1w</v>
      </c>
      <c r="F30" s="161">
        <f t="shared" si="3"/>
        <v>0</v>
      </c>
      <c r="G30" s="161">
        <f t="shared" si="4"/>
        <v>0</v>
      </c>
      <c r="H30" s="200">
        <f t="shared" si="5"/>
        <v>0</v>
      </c>
      <c r="I30" s="100" t="str">
        <f t="shared" si="6"/>
        <v>UsdLiborSwapForBasisCalc28Y</v>
      </c>
      <c r="J30" s="199" t="str">
        <f t="shared" si="7"/>
        <v>USDAM3L28Y_Fwd1w_Quote</v>
      </c>
      <c r="K30" s="199"/>
      <c r="L30" s="202" t="str">
        <f>_xll.ohRangeRetrieveError(K30)</f>
        <v/>
      </c>
      <c r="M30" s="42"/>
    </row>
    <row r="31" spans="1:13" x14ac:dyDescent="0.2">
      <c r="A31" s="116"/>
      <c r="B31" s="201" t="s">
        <v>60</v>
      </c>
      <c r="C31" s="161" t="str">
        <f t="shared" si="0"/>
        <v>AM</v>
      </c>
      <c r="D31" s="161" t="str">
        <f t="shared" si="1"/>
        <v>3L</v>
      </c>
      <c r="E31" s="161" t="str">
        <f t="shared" si="2"/>
        <v>1w</v>
      </c>
      <c r="F31" s="161">
        <f t="shared" si="3"/>
        <v>0</v>
      </c>
      <c r="G31" s="161">
        <f t="shared" si="4"/>
        <v>0</v>
      </c>
      <c r="H31" s="200">
        <f t="shared" si="5"/>
        <v>0</v>
      </c>
      <c r="I31" s="100" t="str">
        <f t="shared" si="6"/>
        <v>UsdLiborSwapForBasisCalc29Y</v>
      </c>
      <c r="J31" s="199" t="str">
        <f t="shared" si="7"/>
        <v>USDAM3L29Y_Fwd1w_Quote</v>
      </c>
      <c r="K31" s="199"/>
      <c r="L31" s="202" t="str">
        <f>_xll.ohRangeRetrieveError(K31)</f>
        <v/>
      </c>
      <c r="M31" s="42"/>
    </row>
    <row r="32" spans="1:13" x14ac:dyDescent="0.2">
      <c r="A32" s="116"/>
      <c r="B32" s="201" t="s">
        <v>59</v>
      </c>
      <c r="C32" s="161" t="str">
        <f t="shared" si="0"/>
        <v>AM</v>
      </c>
      <c r="D32" s="161" t="str">
        <f t="shared" si="1"/>
        <v>3L</v>
      </c>
      <c r="E32" s="161" t="str">
        <f t="shared" si="2"/>
        <v>1w</v>
      </c>
      <c r="F32" s="161">
        <f t="shared" si="3"/>
        <v>0</v>
      </c>
      <c r="G32" s="161">
        <f t="shared" si="4"/>
        <v>0</v>
      </c>
      <c r="H32" s="200">
        <f t="shared" si="5"/>
        <v>0</v>
      </c>
      <c r="I32" s="100" t="str">
        <f t="shared" si="6"/>
        <v>UsdLiborSwapForBasisCalc30Y</v>
      </c>
      <c r="J32" s="199" t="str">
        <f t="shared" si="7"/>
        <v>USDAM3L30Y_Fwd1w_Quote</v>
      </c>
      <c r="K32" s="199"/>
      <c r="L32" s="202" t="str">
        <f>_xll.ohRangeRetrieveError(K32)</f>
        <v/>
      </c>
      <c r="M32" s="42"/>
    </row>
    <row r="33" spans="1:13" x14ac:dyDescent="0.2">
      <c r="A33" s="116"/>
      <c r="B33" s="201" t="s">
        <v>54</v>
      </c>
      <c r="C33" s="161" t="str">
        <f t="shared" si="0"/>
        <v>AM</v>
      </c>
      <c r="D33" s="161" t="str">
        <f t="shared" si="1"/>
        <v>3L</v>
      </c>
      <c r="E33" s="161" t="str">
        <f t="shared" si="2"/>
        <v>1w</v>
      </c>
      <c r="F33" s="161">
        <f t="shared" si="3"/>
        <v>0</v>
      </c>
      <c r="G33" s="161">
        <f t="shared" si="4"/>
        <v>0</v>
      </c>
      <c r="H33" s="200">
        <f t="shared" si="5"/>
        <v>0</v>
      </c>
      <c r="I33" s="100" t="str">
        <f t="shared" si="6"/>
        <v>UsdLiborSwapForBasisCalc35Y</v>
      </c>
      <c r="J33" s="199" t="str">
        <f t="shared" si="7"/>
        <v>USDAM3L35Y_Fwd1w_Quote</v>
      </c>
      <c r="K33" s="199"/>
      <c r="L33" s="202" t="str">
        <f>_xll.ohRangeRetrieveError(K33)</f>
        <v/>
      </c>
      <c r="M33" s="42"/>
    </row>
    <row r="34" spans="1:13" x14ac:dyDescent="0.2">
      <c r="A34" s="116"/>
      <c r="B34" s="201" t="s">
        <v>49</v>
      </c>
      <c r="C34" s="161" t="str">
        <f t="shared" si="0"/>
        <v>AM</v>
      </c>
      <c r="D34" s="161" t="str">
        <f t="shared" si="1"/>
        <v>3L</v>
      </c>
      <c r="E34" s="161" t="str">
        <f t="shared" si="2"/>
        <v>1w</v>
      </c>
      <c r="F34" s="161">
        <f t="shared" si="3"/>
        <v>0</v>
      </c>
      <c r="G34" s="161">
        <f t="shared" si="4"/>
        <v>0</v>
      </c>
      <c r="H34" s="200">
        <f t="shared" si="5"/>
        <v>0</v>
      </c>
      <c r="I34" s="100" t="str">
        <f t="shared" si="6"/>
        <v>UsdLiborSwapForBasisCalc40Y</v>
      </c>
      <c r="J34" s="199" t="str">
        <f t="shared" si="7"/>
        <v>USDAM3L40Y_Fwd1w_Quote</v>
      </c>
      <c r="K34" s="199"/>
      <c r="L34" s="202" t="str">
        <f>_xll.ohRangeRetrieveError(K34)</f>
        <v/>
      </c>
      <c r="M34" s="42"/>
    </row>
    <row r="35" spans="1:13" x14ac:dyDescent="0.2">
      <c r="A35" s="116"/>
      <c r="B35" s="201" t="s">
        <v>39</v>
      </c>
      <c r="C35" s="161" t="str">
        <f t="shared" si="0"/>
        <v>AM</v>
      </c>
      <c r="D35" s="161" t="str">
        <f t="shared" si="1"/>
        <v>3L</v>
      </c>
      <c r="E35" s="161" t="str">
        <f t="shared" si="2"/>
        <v>1w</v>
      </c>
      <c r="F35" s="161">
        <f t="shared" si="3"/>
        <v>0</v>
      </c>
      <c r="G35" s="161">
        <f t="shared" si="4"/>
        <v>0</v>
      </c>
      <c r="H35" s="200">
        <f t="shared" si="5"/>
        <v>0</v>
      </c>
      <c r="I35" s="100" t="str">
        <f t="shared" si="6"/>
        <v>UsdLiborSwapForBasisCalc50Y</v>
      </c>
      <c r="J35" s="199" t="str">
        <f t="shared" si="7"/>
        <v>USDAM3L50Y_Fwd1w_Quote</v>
      </c>
      <c r="K35" s="199"/>
      <c r="L35" s="202" t="str">
        <f>_xll.ohRangeRetrieveError(K35)</f>
        <v/>
      </c>
      <c r="M35" s="42"/>
    </row>
    <row r="36" spans="1:13" x14ac:dyDescent="0.2">
      <c r="A36" s="116"/>
      <c r="B36" s="201" t="s">
        <v>29</v>
      </c>
      <c r="C36" s="161" t="str">
        <f t="shared" si="0"/>
        <v>AM</v>
      </c>
      <c r="D36" s="161" t="str">
        <f t="shared" si="1"/>
        <v>3L</v>
      </c>
      <c r="E36" s="161" t="str">
        <f t="shared" si="2"/>
        <v>1w</v>
      </c>
      <c r="F36" s="161">
        <f t="shared" si="3"/>
        <v>0</v>
      </c>
      <c r="G36" s="161">
        <f t="shared" si="4"/>
        <v>0</v>
      </c>
      <c r="H36" s="200">
        <f t="shared" si="5"/>
        <v>0</v>
      </c>
      <c r="I36" s="100" t="str">
        <f t="shared" si="6"/>
        <v>UsdLiborSwapForBasisCalc60Y</v>
      </c>
      <c r="J36" s="199" t="str">
        <f t="shared" si="7"/>
        <v>USDAM3L60Y_Fwd1w_Quote</v>
      </c>
      <c r="K36" s="199"/>
      <c r="L36" s="68" t="str">
        <f>_xll.ohRangeRetrieveError(K36)</f>
        <v/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/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7" width="1.85546875" style="19" bestFit="1" customWidth="1"/>
    <col min="8" max="8" width="7.140625" style="19" bestFit="1" customWidth="1"/>
    <col min="9" max="9" width="21.7109375" style="19" bestFit="1" customWidth="1"/>
    <col min="10" max="10" width="24" style="19" bestFit="1" customWidth="1"/>
    <col min="11" max="11" width="32.42578125" style="19" bestFit="1" customWidth="1"/>
    <col min="12" max="12" width="30.5703125" style="19" customWidth="1"/>
    <col min="13" max="14" width="2.7109375" style="19" customWidth="1"/>
    <col min="15" max="15" width="4" style="19" bestFit="1" customWidth="1"/>
    <col min="16" max="16" width="3.140625" style="19" bestFit="1" customWidth="1"/>
    <col min="17" max="17" width="2.7109375" style="19" bestFit="1" customWidth="1"/>
    <col min="18" max="18" width="3.28515625" style="19" bestFit="1" customWidth="1"/>
    <col min="19" max="20" width="2.7109375" style="19" bestFit="1" customWidth="1"/>
    <col min="21" max="16384" width="9.140625" style="19"/>
  </cols>
  <sheetData>
    <row r="1" spans="1:20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0" ht="22.5" x14ac:dyDescent="0.2">
      <c r="A2" s="116"/>
      <c r="B2" s="86"/>
      <c r="C2" s="86"/>
      <c r="D2" s="86"/>
      <c r="E2" s="86" t="s">
        <v>199</v>
      </c>
      <c r="F2" s="86"/>
      <c r="G2" s="86"/>
      <c r="H2" s="86" t="s">
        <v>198</v>
      </c>
      <c r="I2" s="86" t="s">
        <v>197</v>
      </c>
      <c r="J2" s="205" t="str">
        <f>Currency&amp;"_020_Sw"&amp;$C$3&amp;$D$3&amp;"_"&amp;"Fwd"&amp;$E$3&amp;IF(H3=0,,"_Spr"&amp;$F3&amp;$G3)&amp;".xml"</f>
        <v>USD_020_SwAM6L_Fwd1w.xml</v>
      </c>
      <c r="K2" s="103" t="str">
        <f>IF(Serialize,_xll.ohObjectSave(K3:K36,SerializationPath&amp;J2,FileOverwrite,Serialize),"---")</f>
        <v>---</v>
      </c>
      <c r="L2" s="68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0" x14ac:dyDescent="0.2">
      <c r="A3" s="116"/>
      <c r="B3" s="72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6L</v>
      </c>
      <c r="E3" s="161" t="str">
        <f t="shared" ref="E3:E36" si="2">VLOOKUP(Currency,$O$3:$T$7,4)</f>
        <v>1w</v>
      </c>
      <c r="F3" s="161">
        <f t="shared" ref="F3:F36" si="3">VLOOKUP(Currency,$O$3:$T$7,5)</f>
        <v>0</v>
      </c>
      <c r="G3" s="161">
        <f t="shared" ref="G3:G36" si="4">VLOOKUP(Currency,$O$3:$T$7,6)</f>
        <v>0</v>
      </c>
      <c r="H3" s="200">
        <f t="shared" ref="H3:H36" si="5">IF(F3=0,0,Currency&amp;$F3&amp;$G3&amp;$B3&amp;QuoteSuffix)</f>
        <v>0</v>
      </c>
      <c r="I3" s="203" t="str">
        <f t="shared" ref="I3:I36" si="6">PROPER(Currency)&amp;FamilyName&amp;"Swap"&amp;FixingType&amp;$B3</f>
        <v>UsdLiborSwapForBasisCalc1Y</v>
      </c>
      <c r="J3" s="199" t="str">
        <f t="shared" ref="J3:J36" si="7">Currency&amp;$C3&amp;$D3&amp;$B3&amp;"_"&amp;"Fwd"&amp;E3&amp;IF(H3=0,,"_S"&amp;$F3&amp;$G3)&amp;QuoteSuffix</f>
        <v>USDAM6L1Y_Fwd1w_Quote</v>
      </c>
      <c r="K3" s="199"/>
      <c r="L3" s="209" t="str">
        <f>_xll.ohRangeRetrieveError(K3)</f>
        <v/>
      </c>
      <c r="M3" s="42"/>
      <c r="O3" s="79" t="s">
        <v>110</v>
      </c>
      <c r="P3" s="78" t="s">
        <v>186</v>
      </c>
      <c r="Q3" s="78" t="s">
        <v>104</v>
      </c>
      <c r="R3" s="78" t="s">
        <v>196</v>
      </c>
      <c r="S3" s="78"/>
      <c r="T3" s="77"/>
    </row>
    <row r="4" spans="1:20" x14ac:dyDescent="0.2">
      <c r="A4" s="116"/>
      <c r="B4" s="72" t="s">
        <v>87</v>
      </c>
      <c r="C4" s="161" t="str">
        <f t="shared" si="0"/>
        <v>AM</v>
      </c>
      <c r="D4" s="161" t="str">
        <f t="shared" si="1"/>
        <v>6L</v>
      </c>
      <c r="E4" s="161" t="str">
        <f t="shared" si="2"/>
        <v>1w</v>
      </c>
      <c r="F4" s="161">
        <f t="shared" si="3"/>
        <v>0</v>
      </c>
      <c r="G4" s="161">
        <f t="shared" si="4"/>
        <v>0</v>
      </c>
      <c r="H4" s="200">
        <f t="shared" si="5"/>
        <v>0</v>
      </c>
      <c r="I4" s="100" t="str">
        <f t="shared" si="6"/>
        <v>UsdLiborSwapForBasisCalc2Y</v>
      </c>
      <c r="J4" s="199" t="str">
        <f t="shared" si="7"/>
        <v>USDAM6L2Y_Fwd1w_Quote</v>
      </c>
      <c r="K4" s="199"/>
      <c r="L4" s="209" t="str">
        <f>_xll.ohRangeRetrieveError(K4)</f>
        <v/>
      </c>
      <c r="M4" s="42"/>
      <c r="O4" s="79" t="s">
        <v>109</v>
      </c>
      <c r="P4" s="78" t="s">
        <v>186</v>
      </c>
      <c r="Q4" s="78" t="s">
        <v>107</v>
      </c>
      <c r="R4" s="78" t="s">
        <v>196</v>
      </c>
      <c r="S4" s="78"/>
      <c r="T4" s="77"/>
    </row>
    <row r="5" spans="1:20" x14ac:dyDescent="0.2">
      <c r="A5" s="116"/>
      <c r="B5" s="72" t="s">
        <v>86</v>
      </c>
      <c r="C5" s="161" t="str">
        <f t="shared" si="0"/>
        <v>AM</v>
      </c>
      <c r="D5" s="161" t="str">
        <f t="shared" si="1"/>
        <v>6L</v>
      </c>
      <c r="E5" s="161" t="str">
        <f t="shared" si="2"/>
        <v>1w</v>
      </c>
      <c r="F5" s="161">
        <f t="shared" si="3"/>
        <v>0</v>
      </c>
      <c r="G5" s="161">
        <f t="shared" si="4"/>
        <v>0</v>
      </c>
      <c r="H5" s="200">
        <f t="shared" si="5"/>
        <v>0</v>
      </c>
      <c r="I5" s="100" t="str">
        <f t="shared" si="6"/>
        <v>UsdLiborSwapForBasisCalc3Y</v>
      </c>
      <c r="J5" s="199" t="str">
        <f t="shared" si="7"/>
        <v>USDAM6L3Y_Fwd1w_Quote</v>
      </c>
      <c r="K5" s="199"/>
      <c r="L5" s="209" t="str">
        <f>_xll.ohRangeRetrieveError(K5)</f>
        <v/>
      </c>
      <c r="M5" s="42"/>
      <c r="O5" s="79" t="s">
        <v>106</v>
      </c>
      <c r="P5" s="78" t="s">
        <v>185</v>
      </c>
      <c r="Q5" s="78" t="s">
        <v>104</v>
      </c>
      <c r="R5" s="78" t="s">
        <v>196</v>
      </c>
      <c r="S5" s="78"/>
      <c r="T5" s="77"/>
    </row>
    <row r="6" spans="1:20" x14ac:dyDescent="0.2">
      <c r="A6" s="116"/>
      <c r="B6" s="72" t="s">
        <v>85</v>
      </c>
      <c r="C6" s="161" t="str">
        <f t="shared" si="0"/>
        <v>AM</v>
      </c>
      <c r="D6" s="161" t="str">
        <f t="shared" si="1"/>
        <v>6L</v>
      </c>
      <c r="E6" s="161" t="str">
        <f t="shared" si="2"/>
        <v>1w</v>
      </c>
      <c r="F6" s="161">
        <f t="shared" si="3"/>
        <v>0</v>
      </c>
      <c r="G6" s="161">
        <f t="shared" si="4"/>
        <v>0</v>
      </c>
      <c r="H6" s="200">
        <f t="shared" si="5"/>
        <v>0</v>
      </c>
      <c r="I6" s="100" t="str">
        <f t="shared" si="6"/>
        <v>UsdLiborSwapForBasisCalc4Y</v>
      </c>
      <c r="J6" s="199" t="str">
        <f t="shared" si="7"/>
        <v>USDAM6L4Y_Fwd1w_Quote</v>
      </c>
      <c r="K6" s="199"/>
      <c r="L6" s="209" t="str">
        <f>_xll.ohRangeRetrieveError(K6)</f>
        <v/>
      </c>
      <c r="M6" s="42"/>
      <c r="O6" s="79" t="s">
        <v>105</v>
      </c>
      <c r="P6" s="78" t="s">
        <v>185</v>
      </c>
      <c r="Q6" s="78" t="s">
        <v>104</v>
      </c>
      <c r="R6" s="78" t="s">
        <v>196</v>
      </c>
      <c r="S6" s="78"/>
      <c r="T6" s="77"/>
    </row>
    <row r="7" spans="1:20" ht="12" thickBot="1" x14ac:dyDescent="0.25">
      <c r="A7" s="116"/>
      <c r="B7" s="72" t="s">
        <v>84</v>
      </c>
      <c r="C7" s="161" t="str">
        <f t="shared" si="0"/>
        <v>AM</v>
      </c>
      <c r="D7" s="161" t="str">
        <f t="shared" si="1"/>
        <v>6L</v>
      </c>
      <c r="E7" s="161" t="str">
        <f t="shared" si="2"/>
        <v>1w</v>
      </c>
      <c r="F7" s="161">
        <f t="shared" si="3"/>
        <v>0</v>
      </c>
      <c r="G7" s="161">
        <f t="shared" si="4"/>
        <v>0</v>
      </c>
      <c r="H7" s="200">
        <f t="shared" si="5"/>
        <v>0</v>
      </c>
      <c r="I7" s="100" t="str">
        <f t="shared" si="6"/>
        <v>UsdLiborSwapForBasisCalc5Y</v>
      </c>
      <c r="J7" s="199" t="str">
        <f t="shared" si="7"/>
        <v>USDAM6L5Y_Fwd1w_Quote</v>
      </c>
      <c r="K7" s="199"/>
      <c r="L7" s="209" t="str">
        <f>_xll.ohRangeRetrieveError(K7)</f>
        <v/>
      </c>
      <c r="M7" s="42"/>
      <c r="O7" s="76" t="s">
        <v>100</v>
      </c>
      <c r="P7" s="75" t="s">
        <v>184</v>
      </c>
      <c r="Q7" s="210" t="s">
        <v>104</v>
      </c>
      <c r="R7" s="75" t="s">
        <v>196</v>
      </c>
      <c r="S7" s="75"/>
      <c r="T7" s="74"/>
    </row>
    <row r="8" spans="1:20" x14ac:dyDescent="0.2">
      <c r="A8" s="116"/>
      <c r="B8" s="72" t="s">
        <v>83</v>
      </c>
      <c r="C8" s="161" t="str">
        <f t="shared" si="0"/>
        <v>AM</v>
      </c>
      <c r="D8" s="161" t="str">
        <f t="shared" si="1"/>
        <v>6L</v>
      </c>
      <c r="E8" s="161" t="str">
        <f t="shared" si="2"/>
        <v>1w</v>
      </c>
      <c r="F8" s="161">
        <f t="shared" si="3"/>
        <v>0</v>
      </c>
      <c r="G8" s="161">
        <f t="shared" si="4"/>
        <v>0</v>
      </c>
      <c r="H8" s="200">
        <f t="shared" si="5"/>
        <v>0</v>
      </c>
      <c r="I8" s="100" t="str">
        <f t="shared" si="6"/>
        <v>UsdLiborSwapForBasisCalc6Y</v>
      </c>
      <c r="J8" s="199" t="str">
        <f t="shared" si="7"/>
        <v>USDAM6L6Y_Fwd1w_Quote</v>
      </c>
      <c r="K8" s="199"/>
      <c r="L8" s="209" t="str">
        <f>_xll.ohRangeRetrieveError(K8)</f>
        <v/>
      </c>
      <c r="M8" s="42"/>
    </row>
    <row r="9" spans="1:20" x14ac:dyDescent="0.2">
      <c r="A9" s="116"/>
      <c r="B9" s="72" t="s">
        <v>82</v>
      </c>
      <c r="C9" s="161" t="str">
        <f t="shared" si="0"/>
        <v>AM</v>
      </c>
      <c r="D9" s="161" t="str">
        <f t="shared" si="1"/>
        <v>6L</v>
      </c>
      <c r="E9" s="161" t="str">
        <f t="shared" si="2"/>
        <v>1w</v>
      </c>
      <c r="F9" s="161">
        <f t="shared" si="3"/>
        <v>0</v>
      </c>
      <c r="G9" s="161">
        <f t="shared" si="4"/>
        <v>0</v>
      </c>
      <c r="H9" s="200">
        <f t="shared" si="5"/>
        <v>0</v>
      </c>
      <c r="I9" s="100" t="str">
        <f t="shared" si="6"/>
        <v>UsdLiborSwapForBasisCalc7Y</v>
      </c>
      <c r="J9" s="199" t="str">
        <f t="shared" si="7"/>
        <v>USDAM6L7Y_Fwd1w_Quote</v>
      </c>
      <c r="K9" s="199"/>
      <c r="L9" s="209" t="str">
        <f>_xll.ohRangeRetrieveError(K9)</f>
        <v/>
      </c>
      <c r="M9" s="42"/>
    </row>
    <row r="10" spans="1:20" x14ac:dyDescent="0.2">
      <c r="A10" s="116"/>
      <c r="B10" s="72" t="s">
        <v>81</v>
      </c>
      <c r="C10" s="161" t="str">
        <f t="shared" si="0"/>
        <v>AM</v>
      </c>
      <c r="D10" s="161" t="str">
        <f t="shared" si="1"/>
        <v>6L</v>
      </c>
      <c r="E10" s="161" t="str">
        <f t="shared" si="2"/>
        <v>1w</v>
      </c>
      <c r="F10" s="161">
        <f t="shared" si="3"/>
        <v>0</v>
      </c>
      <c r="G10" s="161">
        <f t="shared" si="4"/>
        <v>0</v>
      </c>
      <c r="H10" s="200">
        <f t="shared" si="5"/>
        <v>0</v>
      </c>
      <c r="I10" s="100" t="str">
        <f t="shared" si="6"/>
        <v>UsdLiborSwapForBasisCalc8Y</v>
      </c>
      <c r="J10" s="199" t="str">
        <f t="shared" si="7"/>
        <v>USDAM6L8Y_Fwd1w_Quote</v>
      </c>
      <c r="K10" s="199"/>
      <c r="L10" s="209" t="str">
        <f>_xll.ohRangeRetrieveError(K10)</f>
        <v/>
      </c>
      <c r="M10" s="42"/>
    </row>
    <row r="11" spans="1:20" x14ac:dyDescent="0.2">
      <c r="A11" s="116"/>
      <c r="B11" s="72" t="s">
        <v>80</v>
      </c>
      <c r="C11" s="161" t="str">
        <f t="shared" si="0"/>
        <v>AM</v>
      </c>
      <c r="D11" s="161" t="str">
        <f t="shared" si="1"/>
        <v>6L</v>
      </c>
      <c r="E11" s="161" t="str">
        <f t="shared" si="2"/>
        <v>1w</v>
      </c>
      <c r="F11" s="161">
        <f t="shared" si="3"/>
        <v>0</v>
      </c>
      <c r="G11" s="161">
        <f t="shared" si="4"/>
        <v>0</v>
      </c>
      <c r="H11" s="200">
        <f t="shared" si="5"/>
        <v>0</v>
      </c>
      <c r="I11" s="100" t="str">
        <f t="shared" si="6"/>
        <v>UsdLiborSwapForBasisCalc9Y</v>
      </c>
      <c r="J11" s="199" t="str">
        <f t="shared" si="7"/>
        <v>USDAM6L9Y_Fwd1w_Quote</v>
      </c>
      <c r="K11" s="199"/>
      <c r="L11" s="209" t="str">
        <f>_xll.ohRangeRetrieveError(K11)</f>
        <v/>
      </c>
      <c r="M11" s="42"/>
    </row>
    <row r="12" spans="1:20" x14ac:dyDescent="0.2">
      <c r="A12" s="116"/>
      <c r="B12" s="72" t="s">
        <v>79</v>
      </c>
      <c r="C12" s="161" t="str">
        <f t="shared" si="0"/>
        <v>AM</v>
      </c>
      <c r="D12" s="161" t="str">
        <f t="shared" si="1"/>
        <v>6L</v>
      </c>
      <c r="E12" s="161" t="str">
        <f t="shared" si="2"/>
        <v>1w</v>
      </c>
      <c r="F12" s="161">
        <f t="shared" si="3"/>
        <v>0</v>
      </c>
      <c r="G12" s="161">
        <f t="shared" si="4"/>
        <v>0</v>
      </c>
      <c r="H12" s="200">
        <f t="shared" si="5"/>
        <v>0</v>
      </c>
      <c r="I12" s="100" t="str">
        <f t="shared" si="6"/>
        <v>UsdLiborSwapForBasisCalc10Y</v>
      </c>
      <c r="J12" s="199" t="str">
        <f t="shared" si="7"/>
        <v>USDAM6L10Y_Fwd1w_Quote</v>
      </c>
      <c r="K12" s="199"/>
      <c r="L12" s="209" t="str">
        <f>_xll.ohRangeRetrieveError(K12)</f>
        <v/>
      </c>
      <c r="M12" s="42"/>
    </row>
    <row r="13" spans="1:20" x14ac:dyDescent="0.2">
      <c r="A13" s="116"/>
      <c r="B13" s="72" t="s">
        <v>78</v>
      </c>
      <c r="C13" s="161" t="str">
        <f t="shared" si="0"/>
        <v>AM</v>
      </c>
      <c r="D13" s="161" t="str">
        <f t="shared" si="1"/>
        <v>6L</v>
      </c>
      <c r="E13" s="161" t="str">
        <f t="shared" si="2"/>
        <v>1w</v>
      </c>
      <c r="F13" s="161">
        <f t="shared" si="3"/>
        <v>0</v>
      </c>
      <c r="G13" s="161">
        <f t="shared" si="4"/>
        <v>0</v>
      </c>
      <c r="H13" s="200">
        <f t="shared" si="5"/>
        <v>0</v>
      </c>
      <c r="I13" s="100" t="str">
        <f t="shared" si="6"/>
        <v>UsdLiborSwapForBasisCalc11Y</v>
      </c>
      <c r="J13" s="199" t="str">
        <f t="shared" si="7"/>
        <v>USDAM6L11Y_Fwd1w_Quote</v>
      </c>
      <c r="K13" s="199"/>
      <c r="L13" s="209" t="str">
        <f>_xll.ohRangeRetrieveError(K13)</f>
        <v/>
      </c>
      <c r="M13" s="42"/>
    </row>
    <row r="14" spans="1:20" x14ac:dyDescent="0.2">
      <c r="A14" s="116"/>
      <c r="B14" s="72" t="s">
        <v>77</v>
      </c>
      <c r="C14" s="161" t="str">
        <f t="shared" si="0"/>
        <v>AM</v>
      </c>
      <c r="D14" s="161" t="str">
        <f t="shared" si="1"/>
        <v>6L</v>
      </c>
      <c r="E14" s="161" t="str">
        <f t="shared" si="2"/>
        <v>1w</v>
      </c>
      <c r="F14" s="161">
        <f t="shared" si="3"/>
        <v>0</v>
      </c>
      <c r="G14" s="161">
        <f t="shared" si="4"/>
        <v>0</v>
      </c>
      <c r="H14" s="200">
        <f t="shared" si="5"/>
        <v>0</v>
      </c>
      <c r="I14" s="100" t="str">
        <f t="shared" si="6"/>
        <v>UsdLiborSwapForBasisCalc12Y</v>
      </c>
      <c r="J14" s="199" t="str">
        <f t="shared" si="7"/>
        <v>USDAM6L12Y_Fwd1w_Quote</v>
      </c>
      <c r="K14" s="199"/>
      <c r="L14" s="209" t="str">
        <f>_xll.ohRangeRetrieveError(K14)</f>
        <v/>
      </c>
      <c r="M14" s="42"/>
    </row>
    <row r="15" spans="1:20" x14ac:dyDescent="0.2">
      <c r="A15" s="116"/>
      <c r="B15" s="72" t="s">
        <v>76</v>
      </c>
      <c r="C15" s="161" t="str">
        <f t="shared" si="0"/>
        <v>AM</v>
      </c>
      <c r="D15" s="161" t="str">
        <f t="shared" si="1"/>
        <v>6L</v>
      </c>
      <c r="E15" s="161" t="str">
        <f t="shared" si="2"/>
        <v>1w</v>
      </c>
      <c r="F15" s="161">
        <f t="shared" si="3"/>
        <v>0</v>
      </c>
      <c r="G15" s="161">
        <f t="shared" si="4"/>
        <v>0</v>
      </c>
      <c r="H15" s="200">
        <f t="shared" si="5"/>
        <v>0</v>
      </c>
      <c r="I15" s="100" t="str">
        <f t="shared" si="6"/>
        <v>UsdLiborSwapForBasisCalc13Y</v>
      </c>
      <c r="J15" s="199" t="str">
        <f t="shared" si="7"/>
        <v>USDAM6L13Y_Fwd1w_Quote</v>
      </c>
      <c r="K15" s="199"/>
      <c r="L15" s="209" t="str">
        <f>_xll.ohRangeRetrieveError(K15)</f>
        <v/>
      </c>
      <c r="M15" s="42"/>
    </row>
    <row r="16" spans="1:20" x14ac:dyDescent="0.2">
      <c r="A16" s="116"/>
      <c r="B16" s="72" t="s">
        <v>75</v>
      </c>
      <c r="C16" s="161" t="str">
        <f t="shared" si="0"/>
        <v>AM</v>
      </c>
      <c r="D16" s="161" t="str">
        <f t="shared" si="1"/>
        <v>6L</v>
      </c>
      <c r="E16" s="161" t="str">
        <f t="shared" si="2"/>
        <v>1w</v>
      </c>
      <c r="F16" s="161">
        <f t="shared" si="3"/>
        <v>0</v>
      </c>
      <c r="G16" s="161">
        <f t="shared" si="4"/>
        <v>0</v>
      </c>
      <c r="H16" s="200">
        <f t="shared" si="5"/>
        <v>0</v>
      </c>
      <c r="I16" s="100" t="str">
        <f t="shared" si="6"/>
        <v>UsdLiborSwapForBasisCalc14Y</v>
      </c>
      <c r="J16" s="199" t="str">
        <f t="shared" si="7"/>
        <v>USDAM6L14Y_Fwd1w_Quote</v>
      </c>
      <c r="K16" s="199"/>
      <c r="L16" s="209" t="str">
        <f>_xll.ohRangeRetrieveError(K16)</f>
        <v/>
      </c>
      <c r="M16" s="42"/>
    </row>
    <row r="17" spans="1:13" x14ac:dyDescent="0.2">
      <c r="A17" s="116"/>
      <c r="B17" s="72" t="s">
        <v>74</v>
      </c>
      <c r="C17" s="161" t="str">
        <f t="shared" si="0"/>
        <v>AM</v>
      </c>
      <c r="D17" s="161" t="str">
        <f t="shared" si="1"/>
        <v>6L</v>
      </c>
      <c r="E17" s="161" t="str">
        <f t="shared" si="2"/>
        <v>1w</v>
      </c>
      <c r="F17" s="161">
        <f t="shared" si="3"/>
        <v>0</v>
      </c>
      <c r="G17" s="161">
        <f t="shared" si="4"/>
        <v>0</v>
      </c>
      <c r="H17" s="200">
        <f t="shared" si="5"/>
        <v>0</v>
      </c>
      <c r="I17" s="100" t="str">
        <f t="shared" si="6"/>
        <v>UsdLiborSwapForBasisCalc15Y</v>
      </c>
      <c r="J17" s="199" t="str">
        <f t="shared" si="7"/>
        <v>USDAM6L15Y_Fwd1w_Quote</v>
      </c>
      <c r="K17" s="199"/>
      <c r="L17" s="209" t="str">
        <f>_xll.ohRangeRetrieveError(K17)</f>
        <v/>
      </c>
      <c r="M17" s="42"/>
    </row>
    <row r="18" spans="1:13" x14ac:dyDescent="0.2">
      <c r="A18" s="116"/>
      <c r="B18" s="72" t="s">
        <v>73</v>
      </c>
      <c r="C18" s="161" t="str">
        <f t="shared" si="0"/>
        <v>AM</v>
      </c>
      <c r="D18" s="161" t="str">
        <f t="shared" si="1"/>
        <v>6L</v>
      </c>
      <c r="E18" s="161" t="str">
        <f t="shared" si="2"/>
        <v>1w</v>
      </c>
      <c r="F18" s="161">
        <f t="shared" si="3"/>
        <v>0</v>
      </c>
      <c r="G18" s="161">
        <f t="shared" si="4"/>
        <v>0</v>
      </c>
      <c r="H18" s="200">
        <f t="shared" si="5"/>
        <v>0</v>
      </c>
      <c r="I18" s="100" t="str">
        <f t="shared" si="6"/>
        <v>UsdLiborSwapForBasisCalc16Y</v>
      </c>
      <c r="J18" s="199" t="str">
        <f t="shared" si="7"/>
        <v>USDAM6L16Y_Fwd1w_Quote</v>
      </c>
      <c r="K18" s="199"/>
      <c r="L18" s="209" t="str">
        <f>_xll.ohRangeRetrieveError(K18)</f>
        <v/>
      </c>
      <c r="M18" s="42"/>
    </row>
    <row r="19" spans="1:13" x14ac:dyDescent="0.2">
      <c r="A19" s="116"/>
      <c r="B19" s="72" t="s">
        <v>72</v>
      </c>
      <c r="C19" s="161" t="str">
        <f t="shared" si="0"/>
        <v>AM</v>
      </c>
      <c r="D19" s="161" t="str">
        <f t="shared" si="1"/>
        <v>6L</v>
      </c>
      <c r="E19" s="161" t="str">
        <f t="shared" si="2"/>
        <v>1w</v>
      </c>
      <c r="F19" s="161">
        <f t="shared" si="3"/>
        <v>0</v>
      </c>
      <c r="G19" s="161">
        <f t="shared" si="4"/>
        <v>0</v>
      </c>
      <c r="H19" s="200">
        <f t="shared" si="5"/>
        <v>0</v>
      </c>
      <c r="I19" s="100" t="str">
        <f t="shared" si="6"/>
        <v>UsdLiborSwapForBasisCalc17Y</v>
      </c>
      <c r="J19" s="199" t="str">
        <f t="shared" si="7"/>
        <v>USDAM6L17Y_Fwd1w_Quote</v>
      </c>
      <c r="K19" s="199"/>
      <c r="L19" s="209" t="str">
        <f>_xll.ohRangeRetrieveError(K19)</f>
        <v/>
      </c>
      <c r="M19" s="42"/>
    </row>
    <row r="20" spans="1:13" x14ac:dyDescent="0.2">
      <c r="A20" s="116"/>
      <c r="B20" s="72" t="s">
        <v>71</v>
      </c>
      <c r="C20" s="161" t="str">
        <f t="shared" si="0"/>
        <v>AM</v>
      </c>
      <c r="D20" s="161" t="str">
        <f t="shared" si="1"/>
        <v>6L</v>
      </c>
      <c r="E20" s="161" t="str">
        <f t="shared" si="2"/>
        <v>1w</v>
      </c>
      <c r="F20" s="161">
        <f t="shared" si="3"/>
        <v>0</v>
      </c>
      <c r="G20" s="161">
        <f t="shared" si="4"/>
        <v>0</v>
      </c>
      <c r="H20" s="200">
        <f t="shared" si="5"/>
        <v>0</v>
      </c>
      <c r="I20" s="100" t="str">
        <f t="shared" si="6"/>
        <v>UsdLiborSwapForBasisCalc18Y</v>
      </c>
      <c r="J20" s="199" t="str">
        <f t="shared" si="7"/>
        <v>USDAM6L18Y_Fwd1w_Quote</v>
      </c>
      <c r="K20" s="199"/>
      <c r="L20" s="209" t="str">
        <f>_xll.ohRangeRetrieveError(K20)</f>
        <v/>
      </c>
      <c r="M20" s="42"/>
    </row>
    <row r="21" spans="1:13" x14ac:dyDescent="0.2">
      <c r="A21" s="116"/>
      <c r="B21" s="72" t="s">
        <v>70</v>
      </c>
      <c r="C21" s="161" t="str">
        <f t="shared" si="0"/>
        <v>AM</v>
      </c>
      <c r="D21" s="161" t="str">
        <f t="shared" si="1"/>
        <v>6L</v>
      </c>
      <c r="E21" s="161" t="str">
        <f t="shared" si="2"/>
        <v>1w</v>
      </c>
      <c r="F21" s="161">
        <f t="shared" si="3"/>
        <v>0</v>
      </c>
      <c r="G21" s="161">
        <f t="shared" si="4"/>
        <v>0</v>
      </c>
      <c r="H21" s="200">
        <f t="shared" si="5"/>
        <v>0</v>
      </c>
      <c r="I21" s="100" t="str">
        <f t="shared" si="6"/>
        <v>UsdLiborSwapForBasisCalc19Y</v>
      </c>
      <c r="J21" s="199" t="str">
        <f t="shared" si="7"/>
        <v>USDAM6L19Y_Fwd1w_Quote</v>
      </c>
      <c r="K21" s="199"/>
      <c r="L21" s="209" t="str">
        <f>_xll.ohRangeRetrieveError(K21)</f>
        <v/>
      </c>
      <c r="M21" s="42"/>
    </row>
    <row r="22" spans="1:13" x14ac:dyDescent="0.2">
      <c r="A22" s="116"/>
      <c r="B22" s="72" t="s">
        <v>69</v>
      </c>
      <c r="C22" s="161" t="str">
        <f t="shared" si="0"/>
        <v>AM</v>
      </c>
      <c r="D22" s="161" t="str">
        <f t="shared" si="1"/>
        <v>6L</v>
      </c>
      <c r="E22" s="161" t="str">
        <f t="shared" si="2"/>
        <v>1w</v>
      </c>
      <c r="F22" s="161">
        <f t="shared" si="3"/>
        <v>0</v>
      </c>
      <c r="G22" s="161">
        <f t="shared" si="4"/>
        <v>0</v>
      </c>
      <c r="H22" s="200">
        <f t="shared" si="5"/>
        <v>0</v>
      </c>
      <c r="I22" s="100" t="str">
        <f t="shared" si="6"/>
        <v>UsdLiborSwapForBasisCalc20Y</v>
      </c>
      <c r="J22" s="199" t="str">
        <f t="shared" si="7"/>
        <v>USDAM6L20Y_Fwd1w_Quote</v>
      </c>
      <c r="K22" s="199"/>
      <c r="L22" s="209" t="str">
        <f>_xll.ohRangeRetrieveError(K22)</f>
        <v/>
      </c>
      <c r="M22" s="42"/>
    </row>
    <row r="23" spans="1:13" x14ac:dyDescent="0.2">
      <c r="A23" s="116"/>
      <c r="B23" s="72" t="s">
        <v>68</v>
      </c>
      <c r="C23" s="161" t="str">
        <f t="shared" si="0"/>
        <v>AM</v>
      </c>
      <c r="D23" s="161" t="str">
        <f t="shared" si="1"/>
        <v>6L</v>
      </c>
      <c r="E23" s="161" t="str">
        <f t="shared" si="2"/>
        <v>1w</v>
      </c>
      <c r="F23" s="161">
        <f t="shared" si="3"/>
        <v>0</v>
      </c>
      <c r="G23" s="161">
        <f t="shared" si="4"/>
        <v>0</v>
      </c>
      <c r="H23" s="200">
        <f t="shared" si="5"/>
        <v>0</v>
      </c>
      <c r="I23" s="100" t="str">
        <f t="shared" si="6"/>
        <v>UsdLiborSwapForBasisCalc21Y</v>
      </c>
      <c r="J23" s="199" t="str">
        <f t="shared" si="7"/>
        <v>USDAM6L21Y_Fwd1w_Quote</v>
      </c>
      <c r="K23" s="199"/>
      <c r="L23" s="209" t="str">
        <f>_xll.ohRangeRetrieveError(K23)</f>
        <v/>
      </c>
      <c r="M23" s="42"/>
    </row>
    <row r="24" spans="1:13" x14ac:dyDescent="0.2">
      <c r="A24" s="116"/>
      <c r="B24" s="72" t="s">
        <v>67</v>
      </c>
      <c r="C24" s="161" t="str">
        <f t="shared" si="0"/>
        <v>AM</v>
      </c>
      <c r="D24" s="161" t="str">
        <f t="shared" si="1"/>
        <v>6L</v>
      </c>
      <c r="E24" s="161" t="str">
        <f t="shared" si="2"/>
        <v>1w</v>
      </c>
      <c r="F24" s="161">
        <f t="shared" si="3"/>
        <v>0</v>
      </c>
      <c r="G24" s="161">
        <f t="shared" si="4"/>
        <v>0</v>
      </c>
      <c r="H24" s="200">
        <f t="shared" si="5"/>
        <v>0</v>
      </c>
      <c r="I24" s="100" t="str">
        <f t="shared" si="6"/>
        <v>UsdLiborSwapForBasisCalc22Y</v>
      </c>
      <c r="J24" s="199" t="str">
        <f t="shared" si="7"/>
        <v>USDAM6L22Y_Fwd1w_Quote</v>
      </c>
      <c r="K24" s="199"/>
      <c r="L24" s="209" t="str">
        <f>_xll.ohRangeRetrieveError(K24)</f>
        <v/>
      </c>
      <c r="M24" s="42"/>
    </row>
    <row r="25" spans="1:13" x14ac:dyDescent="0.2">
      <c r="A25" s="116"/>
      <c r="B25" s="72" t="s">
        <v>66</v>
      </c>
      <c r="C25" s="161" t="str">
        <f t="shared" si="0"/>
        <v>AM</v>
      </c>
      <c r="D25" s="161" t="str">
        <f t="shared" si="1"/>
        <v>6L</v>
      </c>
      <c r="E25" s="161" t="str">
        <f t="shared" si="2"/>
        <v>1w</v>
      </c>
      <c r="F25" s="161">
        <f t="shared" si="3"/>
        <v>0</v>
      </c>
      <c r="G25" s="161">
        <f t="shared" si="4"/>
        <v>0</v>
      </c>
      <c r="H25" s="200">
        <f t="shared" si="5"/>
        <v>0</v>
      </c>
      <c r="I25" s="100" t="str">
        <f t="shared" si="6"/>
        <v>UsdLiborSwapForBasisCalc23Y</v>
      </c>
      <c r="J25" s="199" t="str">
        <f t="shared" si="7"/>
        <v>USDAM6L23Y_Fwd1w_Quote</v>
      </c>
      <c r="K25" s="199"/>
      <c r="L25" s="209" t="str">
        <f>_xll.ohRangeRetrieveError(K25)</f>
        <v/>
      </c>
      <c r="M25" s="42"/>
    </row>
    <row r="26" spans="1:13" x14ac:dyDescent="0.2">
      <c r="A26" s="116"/>
      <c r="B26" s="72" t="s">
        <v>65</v>
      </c>
      <c r="C26" s="161" t="str">
        <f t="shared" si="0"/>
        <v>AM</v>
      </c>
      <c r="D26" s="161" t="str">
        <f t="shared" si="1"/>
        <v>6L</v>
      </c>
      <c r="E26" s="161" t="str">
        <f t="shared" si="2"/>
        <v>1w</v>
      </c>
      <c r="F26" s="161">
        <f t="shared" si="3"/>
        <v>0</v>
      </c>
      <c r="G26" s="161">
        <f t="shared" si="4"/>
        <v>0</v>
      </c>
      <c r="H26" s="200">
        <f t="shared" si="5"/>
        <v>0</v>
      </c>
      <c r="I26" s="100" t="str">
        <f t="shared" si="6"/>
        <v>UsdLiborSwapForBasisCalc24Y</v>
      </c>
      <c r="J26" s="199" t="str">
        <f t="shared" si="7"/>
        <v>USDAM6L24Y_Fwd1w_Quote</v>
      </c>
      <c r="K26" s="199"/>
      <c r="L26" s="209" t="str">
        <f>_xll.ohRangeRetrieveError(K26)</f>
        <v/>
      </c>
      <c r="M26" s="42"/>
    </row>
    <row r="27" spans="1:13" x14ac:dyDescent="0.2">
      <c r="A27" s="116"/>
      <c r="B27" s="72" t="s">
        <v>64</v>
      </c>
      <c r="C27" s="161" t="str">
        <f t="shared" si="0"/>
        <v>AM</v>
      </c>
      <c r="D27" s="161" t="str">
        <f t="shared" si="1"/>
        <v>6L</v>
      </c>
      <c r="E27" s="161" t="str">
        <f t="shared" si="2"/>
        <v>1w</v>
      </c>
      <c r="F27" s="161">
        <f t="shared" si="3"/>
        <v>0</v>
      </c>
      <c r="G27" s="161">
        <f t="shared" si="4"/>
        <v>0</v>
      </c>
      <c r="H27" s="200">
        <f t="shared" si="5"/>
        <v>0</v>
      </c>
      <c r="I27" s="100" t="str">
        <f t="shared" si="6"/>
        <v>UsdLiborSwapForBasisCalc25Y</v>
      </c>
      <c r="J27" s="199" t="str">
        <f t="shared" si="7"/>
        <v>USDAM6L25Y_Fwd1w_Quote</v>
      </c>
      <c r="K27" s="199"/>
      <c r="L27" s="209" t="str">
        <f>_xll.ohRangeRetrieveError(K27)</f>
        <v/>
      </c>
      <c r="M27" s="42"/>
    </row>
    <row r="28" spans="1:13" x14ac:dyDescent="0.2">
      <c r="A28" s="116"/>
      <c r="B28" s="72" t="s">
        <v>63</v>
      </c>
      <c r="C28" s="161" t="str">
        <f t="shared" si="0"/>
        <v>AM</v>
      </c>
      <c r="D28" s="161" t="str">
        <f t="shared" si="1"/>
        <v>6L</v>
      </c>
      <c r="E28" s="161" t="str">
        <f t="shared" si="2"/>
        <v>1w</v>
      </c>
      <c r="F28" s="161">
        <f t="shared" si="3"/>
        <v>0</v>
      </c>
      <c r="G28" s="161">
        <f t="shared" si="4"/>
        <v>0</v>
      </c>
      <c r="H28" s="200">
        <f t="shared" si="5"/>
        <v>0</v>
      </c>
      <c r="I28" s="100" t="str">
        <f t="shared" si="6"/>
        <v>UsdLiborSwapForBasisCalc26Y</v>
      </c>
      <c r="J28" s="199" t="str">
        <f t="shared" si="7"/>
        <v>USDAM6L26Y_Fwd1w_Quote</v>
      </c>
      <c r="K28" s="199"/>
      <c r="L28" s="209" t="str">
        <f>_xll.ohRangeRetrieveError(K28)</f>
        <v/>
      </c>
      <c r="M28" s="42"/>
    </row>
    <row r="29" spans="1:13" x14ac:dyDescent="0.2">
      <c r="A29" s="116"/>
      <c r="B29" s="72" t="s">
        <v>62</v>
      </c>
      <c r="C29" s="161" t="str">
        <f t="shared" si="0"/>
        <v>AM</v>
      </c>
      <c r="D29" s="161" t="str">
        <f t="shared" si="1"/>
        <v>6L</v>
      </c>
      <c r="E29" s="161" t="str">
        <f t="shared" si="2"/>
        <v>1w</v>
      </c>
      <c r="F29" s="161">
        <f t="shared" si="3"/>
        <v>0</v>
      </c>
      <c r="G29" s="161">
        <f t="shared" si="4"/>
        <v>0</v>
      </c>
      <c r="H29" s="200">
        <f t="shared" si="5"/>
        <v>0</v>
      </c>
      <c r="I29" s="100" t="str">
        <f t="shared" si="6"/>
        <v>UsdLiborSwapForBasisCalc27Y</v>
      </c>
      <c r="J29" s="199" t="str">
        <f t="shared" si="7"/>
        <v>USDAM6L27Y_Fwd1w_Quote</v>
      </c>
      <c r="K29" s="199"/>
      <c r="L29" s="209" t="str">
        <f>_xll.ohRangeRetrieveError(K29)</f>
        <v/>
      </c>
      <c r="M29" s="42"/>
    </row>
    <row r="30" spans="1:13" x14ac:dyDescent="0.2">
      <c r="A30" s="116"/>
      <c r="B30" s="72" t="s">
        <v>61</v>
      </c>
      <c r="C30" s="161" t="str">
        <f t="shared" si="0"/>
        <v>AM</v>
      </c>
      <c r="D30" s="161" t="str">
        <f t="shared" si="1"/>
        <v>6L</v>
      </c>
      <c r="E30" s="161" t="str">
        <f t="shared" si="2"/>
        <v>1w</v>
      </c>
      <c r="F30" s="161">
        <f t="shared" si="3"/>
        <v>0</v>
      </c>
      <c r="G30" s="161">
        <f t="shared" si="4"/>
        <v>0</v>
      </c>
      <c r="H30" s="200">
        <f t="shared" si="5"/>
        <v>0</v>
      </c>
      <c r="I30" s="100" t="str">
        <f t="shared" si="6"/>
        <v>UsdLiborSwapForBasisCalc28Y</v>
      </c>
      <c r="J30" s="199" t="str">
        <f t="shared" si="7"/>
        <v>USDAM6L28Y_Fwd1w_Quote</v>
      </c>
      <c r="K30" s="199"/>
      <c r="L30" s="209" t="str">
        <f>_xll.ohRangeRetrieveError(K30)</f>
        <v/>
      </c>
      <c r="M30" s="42"/>
    </row>
    <row r="31" spans="1:13" x14ac:dyDescent="0.2">
      <c r="A31" s="116"/>
      <c r="B31" s="72" t="s">
        <v>60</v>
      </c>
      <c r="C31" s="161" t="str">
        <f t="shared" si="0"/>
        <v>AM</v>
      </c>
      <c r="D31" s="161" t="str">
        <f t="shared" si="1"/>
        <v>6L</v>
      </c>
      <c r="E31" s="161" t="str">
        <f t="shared" si="2"/>
        <v>1w</v>
      </c>
      <c r="F31" s="161">
        <f t="shared" si="3"/>
        <v>0</v>
      </c>
      <c r="G31" s="161">
        <f t="shared" si="4"/>
        <v>0</v>
      </c>
      <c r="H31" s="200">
        <f t="shared" si="5"/>
        <v>0</v>
      </c>
      <c r="I31" s="100" t="str">
        <f t="shared" si="6"/>
        <v>UsdLiborSwapForBasisCalc29Y</v>
      </c>
      <c r="J31" s="199" t="str">
        <f t="shared" si="7"/>
        <v>USDAM6L29Y_Fwd1w_Quote</v>
      </c>
      <c r="K31" s="199"/>
      <c r="L31" s="209" t="str">
        <f>_xll.ohRangeRetrieveError(K31)</f>
        <v/>
      </c>
      <c r="M31" s="42"/>
    </row>
    <row r="32" spans="1:13" x14ac:dyDescent="0.2">
      <c r="A32" s="116"/>
      <c r="B32" s="72" t="s">
        <v>59</v>
      </c>
      <c r="C32" s="161" t="str">
        <f t="shared" si="0"/>
        <v>AM</v>
      </c>
      <c r="D32" s="161" t="str">
        <f t="shared" si="1"/>
        <v>6L</v>
      </c>
      <c r="E32" s="161" t="str">
        <f t="shared" si="2"/>
        <v>1w</v>
      </c>
      <c r="F32" s="161">
        <f t="shared" si="3"/>
        <v>0</v>
      </c>
      <c r="G32" s="161">
        <f t="shared" si="4"/>
        <v>0</v>
      </c>
      <c r="H32" s="200">
        <f t="shared" si="5"/>
        <v>0</v>
      </c>
      <c r="I32" s="100" t="str">
        <f t="shared" si="6"/>
        <v>UsdLiborSwapForBasisCalc30Y</v>
      </c>
      <c r="J32" s="199" t="str">
        <f t="shared" si="7"/>
        <v>USDAM6L30Y_Fwd1w_Quote</v>
      </c>
      <c r="K32" s="199"/>
      <c r="L32" s="209" t="str">
        <f>_xll.ohRangeRetrieveError(K32)</f>
        <v/>
      </c>
      <c r="M32" s="42"/>
    </row>
    <row r="33" spans="1:13" x14ac:dyDescent="0.2">
      <c r="A33" s="116"/>
      <c r="B33" s="72" t="s">
        <v>54</v>
      </c>
      <c r="C33" s="161" t="str">
        <f t="shared" si="0"/>
        <v>AM</v>
      </c>
      <c r="D33" s="161" t="str">
        <f t="shared" si="1"/>
        <v>6L</v>
      </c>
      <c r="E33" s="161" t="str">
        <f t="shared" si="2"/>
        <v>1w</v>
      </c>
      <c r="F33" s="161">
        <f t="shared" si="3"/>
        <v>0</v>
      </c>
      <c r="G33" s="161">
        <f t="shared" si="4"/>
        <v>0</v>
      </c>
      <c r="H33" s="200">
        <f t="shared" si="5"/>
        <v>0</v>
      </c>
      <c r="I33" s="100" t="str">
        <f t="shared" si="6"/>
        <v>UsdLiborSwapForBasisCalc35Y</v>
      </c>
      <c r="J33" s="199" t="str">
        <f t="shared" si="7"/>
        <v>USDAM6L35Y_Fwd1w_Quote</v>
      </c>
      <c r="K33" s="199"/>
      <c r="L33" s="209" t="str">
        <f>_xll.ohRangeRetrieveError(K33)</f>
        <v/>
      </c>
      <c r="M33" s="42"/>
    </row>
    <row r="34" spans="1:13" x14ac:dyDescent="0.2">
      <c r="A34" s="116"/>
      <c r="B34" s="72" t="s">
        <v>49</v>
      </c>
      <c r="C34" s="161" t="str">
        <f t="shared" si="0"/>
        <v>AM</v>
      </c>
      <c r="D34" s="161" t="str">
        <f t="shared" si="1"/>
        <v>6L</v>
      </c>
      <c r="E34" s="161" t="str">
        <f t="shared" si="2"/>
        <v>1w</v>
      </c>
      <c r="F34" s="161">
        <f t="shared" si="3"/>
        <v>0</v>
      </c>
      <c r="G34" s="161">
        <f t="shared" si="4"/>
        <v>0</v>
      </c>
      <c r="H34" s="200">
        <f t="shared" si="5"/>
        <v>0</v>
      </c>
      <c r="I34" s="100" t="str">
        <f t="shared" si="6"/>
        <v>UsdLiborSwapForBasisCalc40Y</v>
      </c>
      <c r="J34" s="199" t="str">
        <f t="shared" si="7"/>
        <v>USDAM6L40Y_Fwd1w_Quote</v>
      </c>
      <c r="K34" s="199"/>
      <c r="L34" s="209" t="str">
        <f>_xll.ohRangeRetrieveError(K34)</f>
        <v/>
      </c>
      <c r="M34" s="42"/>
    </row>
    <row r="35" spans="1:13" x14ac:dyDescent="0.2">
      <c r="A35" s="116"/>
      <c r="B35" s="72" t="s">
        <v>39</v>
      </c>
      <c r="C35" s="161" t="str">
        <f t="shared" si="0"/>
        <v>AM</v>
      </c>
      <c r="D35" s="161" t="str">
        <f t="shared" si="1"/>
        <v>6L</v>
      </c>
      <c r="E35" s="161" t="str">
        <f t="shared" si="2"/>
        <v>1w</v>
      </c>
      <c r="F35" s="161">
        <f t="shared" si="3"/>
        <v>0</v>
      </c>
      <c r="G35" s="161">
        <f t="shared" si="4"/>
        <v>0</v>
      </c>
      <c r="H35" s="200">
        <f t="shared" si="5"/>
        <v>0</v>
      </c>
      <c r="I35" s="100" t="str">
        <f t="shared" si="6"/>
        <v>UsdLiborSwapForBasisCalc50Y</v>
      </c>
      <c r="J35" s="199" t="str">
        <f t="shared" si="7"/>
        <v>USDAM6L50Y_Fwd1w_Quote</v>
      </c>
      <c r="K35" s="199"/>
      <c r="L35" s="209" t="str">
        <f>_xll.ohRangeRetrieveError(K35)</f>
        <v/>
      </c>
      <c r="M35" s="42"/>
    </row>
    <row r="36" spans="1:13" x14ac:dyDescent="0.2">
      <c r="A36" s="116"/>
      <c r="B36" s="72" t="s">
        <v>29</v>
      </c>
      <c r="C36" s="161" t="str">
        <f t="shared" si="0"/>
        <v>AM</v>
      </c>
      <c r="D36" s="161" t="str">
        <f t="shared" si="1"/>
        <v>6L</v>
      </c>
      <c r="E36" s="161" t="str">
        <f t="shared" si="2"/>
        <v>1w</v>
      </c>
      <c r="F36" s="161">
        <f t="shared" si="3"/>
        <v>0</v>
      </c>
      <c r="G36" s="161">
        <f t="shared" si="4"/>
        <v>0</v>
      </c>
      <c r="H36" s="200">
        <f t="shared" si="5"/>
        <v>0</v>
      </c>
      <c r="I36" s="100" t="str">
        <f t="shared" si="6"/>
        <v>UsdLiborSwapForBasisCalc60Y</v>
      </c>
      <c r="J36" s="199" t="str">
        <f t="shared" si="7"/>
        <v>USDAM6L60Y_Fwd1w_Quote</v>
      </c>
      <c r="K36" s="199"/>
      <c r="L36" s="209" t="str">
        <f>_xll.ohRangeRetrieveError(K36)</f>
        <v/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W37"/>
  <sheetViews>
    <sheetView workbookViewId="0">
      <selection activeCell="I17" sqref="I17"/>
    </sheetView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6" width="3.5703125" style="19" customWidth="1"/>
    <col min="7" max="7" width="2.7109375" style="19" bestFit="1" customWidth="1"/>
    <col min="8" max="8" width="16.42578125" style="19" customWidth="1"/>
    <col min="9" max="9" width="28.140625" style="19" bestFit="1" customWidth="1"/>
    <col min="10" max="10" width="25.85546875" style="19" customWidth="1"/>
    <col min="11" max="11" width="26.85546875" style="19" customWidth="1"/>
    <col min="12" max="12" width="30.5703125" style="19" customWidth="1"/>
    <col min="13" max="14" width="2.7109375" style="19" customWidth="1"/>
    <col min="15" max="15" width="4" style="19" bestFit="1" customWidth="1"/>
    <col min="16" max="16" width="3.140625" style="19" bestFit="1" customWidth="1"/>
    <col min="17" max="17" width="2.7109375" style="19" bestFit="1" customWidth="1"/>
    <col min="18" max="18" width="3.28515625" style="19" bestFit="1" customWidth="1"/>
    <col min="19" max="20" width="2.7109375" style="19" bestFit="1" customWidth="1"/>
    <col min="21" max="16384" width="9.140625" style="19"/>
  </cols>
  <sheetData>
    <row r="1" spans="1:23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3" ht="22.5" x14ac:dyDescent="0.2">
      <c r="A2" s="116"/>
      <c r="B2" s="86"/>
      <c r="C2" s="86"/>
      <c r="D2" s="86"/>
      <c r="E2" s="86" t="s">
        <v>199</v>
      </c>
      <c r="F2" s="86"/>
      <c r="G2" s="86"/>
      <c r="H2" s="86" t="s">
        <v>198</v>
      </c>
      <c r="I2" s="86" t="s">
        <v>197</v>
      </c>
      <c r="J2" s="205" t="str">
        <f>Currency&amp;"_020_Sw"&amp;$C$3&amp;$D$3&amp;IF(H3=0,,"_Spr"&amp;$F3&amp;$G3)&amp;".xml"</f>
        <v>USD_020_SwAM3L_Spr6L3L.xml</v>
      </c>
      <c r="K2" s="103" t="str">
        <f>IF(Serialize,_xll.ohObjectSave(K3:K36,SerializationPath&amp;J2,FileOverwrite,Serialize),"---")</f>
        <v>---</v>
      </c>
      <c r="L2" s="68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3" x14ac:dyDescent="0.2">
      <c r="A3" s="116"/>
      <c r="B3" s="72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3L</v>
      </c>
      <c r="E3" s="212" t="s">
        <v>200</v>
      </c>
      <c r="F3" s="161" t="str">
        <f t="shared" ref="F3:F36" si="2">VLOOKUP(Currency,$O$3:$T$7,5)</f>
        <v>6L</v>
      </c>
      <c r="G3" s="161" t="str">
        <f t="shared" ref="G3:G36" si="3">VLOOKUP(Currency,$O$3:$T$7,6)</f>
        <v>3L</v>
      </c>
      <c r="H3" s="200" t="str">
        <f t="shared" ref="H3:H36" si="4">IF(F3=0,0,Currency&amp;$F3&amp;$G3&amp;$B3&amp;QuoteSuffix)</f>
        <v>USD6L3L1Y_Quote</v>
      </c>
      <c r="I3" s="203" t="str">
        <f>LiborSwapForBasisCalc!F10</f>
        <v>UsdLiborSwapForBasisCalc1Y#0000</v>
      </c>
      <c r="J3" s="199" t="str">
        <f t="shared" ref="J3:J36" si="5">Currency&amp;$C3&amp;$D3&amp;$B3&amp;IF(H3=0,,"_S"&amp;$F3&amp;$G3)&amp;QuoteSuffix</f>
        <v>USDAM3L1Y_S6L3L_Quote</v>
      </c>
      <c r="K3" s="199" t="str">
        <f>_xll.qlForwardSwapQuote(J3,I3,H3,E3,Permanent,Trigger,ObjectOverwrite)</f>
        <v>USDAM3L1Y_S6L3L_Quote#0000</v>
      </c>
      <c r="L3" s="209" t="str">
        <f>_xll.ohRangeRetrieveError(K3)</f>
        <v/>
      </c>
      <c r="M3" s="42"/>
      <c r="O3" s="79" t="s">
        <v>110</v>
      </c>
      <c r="P3" s="78" t="s">
        <v>186</v>
      </c>
      <c r="Q3" s="78" t="s">
        <v>103</v>
      </c>
      <c r="R3" s="78" t="s">
        <v>196</v>
      </c>
      <c r="S3" s="78"/>
      <c r="T3" s="77"/>
    </row>
    <row r="4" spans="1:23" x14ac:dyDescent="0.2">
      <c r="A4" s="116"/>
      <c r="B4" s="72" t="s">
        <v>87</v>
      </c>
      <c r="C4" s="161" t="str">
        <f t="shared" si="0"/>
        <v>AM</v>
      </c>
      <c r="D4" s="161" t="str">
        <f t="shared" si="1"/>
        <v>3L</v>
      </c>
      <c r="E4" s="161" t="str">
        <f t="shared" ref="E4:E36" si="6">E3</f>
        <v>0D</v>
      </c>
      <c r="F4" s="161" t="str">
        <f t="shared" si="2"/>
        <v>6L</v>
      </c>
      <c r="G4" s="161" t="str">
        <f t="shared" si="3"/>
        <v>3L</v>
      </c>
      <c r="H4" s="200" t="str">
        <f t="shared" si="4"/>
        <v>USD6L3L2Y_Quote</v>
      </c>
      <c r="I4" s="100" t="str">
        <f>LiborSwapForBasisCalc!F11</f>
        <v>UsdLiborSwapForBasisCalc2Y#0000</v>
      </c>
      <c r="J4" s="199" t="str">
        <f t="shared" si="5"/>
        <v>USDAM3L2Y_S6L3L_Quote</v>
      </c>
      <c r="K4" s="199" t="str">
        <f>_xll.qlForwardSwapQuote(J4,I4,H4,E4,Permanent,Trigger,ObjectOverwrite)</f>
        <v>USDAM3L2Y_S6L3L_Quote#0000</v>
      </c>
      <c r="L4" s="209" t="str">
        <f>_xll.ohRangeRetrieveError(K4)</f>
        <v/>
      </c>
      <c r="M4" s="42"/>
      <c r="O4" s="79" t="s">
        <v>109</v>
      </c>
      <c r="P4" s="78" t="s">
        <v>186</v>
      </c>
      <c r="Q4" s="211" t="s">
        <v>115</v>
      </c>
      <c r="R4" s="78" t="s">
        <v>196</v>
      </c>
      <c r="S4" s="78" t="s">
        <v>115</v>
      </c>
      <c r="T4" s="77" t="s">
        <v>107</v>
      </c>
      <c r="V4" s="19">
        <f>_xll.qlQuoteValue(H4)</f>
        <v>8.8000000000000003E-4</v>
      </c>
      <c r="W4" s="19" t="e">
        <f>_xll.qlQuoteValue(K4)</f>
        <v>#NUM!</v>
      </c>
    </row>
    <row r="5" spans="1:23" x14ac:dyDescent="0.2">
      <c r="A5" s="116"/>
      <c r="B5" s="72" t="s">
        <v>86</v>
      </c>
      <c r="C5" s="161" t="str">
        <f t="shared" si="0"/>
        <v>AM</v>
      </c>
      <c r="D5" s="161" t="str">
        <f t="shared" si="1"/>
        <v>3L</v>
      </c>
      <c r="E5" s="161" t="str">
        <f t="shared" si="6"/>
        <v>0D</v>
      </c>
      <c r="F5" s="161" t="str">
        <f t="shared" si="2"/>
        <v>6L</v>
      </c>
      <c r="G5" s="161" t="str">
        <f t="shared" si="3"/>
        <v>3L</v>
      </c>
      <c r="H5" s="200" t="str">
        <f t="shared" si="4"/>
        <v>USD6L3L3Y_Quote</v>
      </c>
      <c r="I5" s="100" t="str">
        <f>LiborSwapForBasisCalc!F12</f>
        <v>UsdLiborSwapForBasisCalc3Y#0000</v>
      </c>
      <c r="J5" s="199" t="str">
        <f t="shared" si="5"/>
        <v>USDAM3L3Y_S6L3L_Quote</v>
      </c>
      <c r="K5" s="199" t="str">
        <f>_xll.qlForwardSwapQuote(J5,I5,H5,E5,Permanent,Trigger,ObjectOverwrite)</f>
        <v>USDAM3L3Y_S6L3L_Quote#0000</v>
      </c>
      <c r="L5" s="209" t="str">
        <f>_xll.ohRangeRetrieveError(K5)</f>
        <v/>
      </c>
      <c r="M5" s="42"/>
      <c r="O5" s="79" t="s">
        <v>106</v>
      </c>
      <c r="P5" s="78" t="s">
        <v>185</v>
      </c>
      <c r="Q5" s="78" t="s">
        <v>103</v>
      </c>
      <c r="R5" s="78" t="s">
        <v>196</v>
      </c>
      <c r="S5" s="78"/>
      <c r="T5" s="77"/>
    </row>
    <row r="6" spans="1:23" x14ac:dyDescent="0.2">
      <c r="A6" s="116"/>
      <c r="B6" s="72" t="s">
        <v>85</v>
      </c>
      <c r="C6" s="161" t="str">
        <f t="shared" si="0"/>
        <v>AM</v>
      </c>
      <c r="D6" s="161" t="str">
        <f t="shared" si="1"/>
        <v>3L</v>
      </c>
      <c r="E6" s="161" t="str">
        <f t="shared" si="6"/>
        <v>0D</v>
      </c>
      <c r="F6" s="161" t="str">
        <f t="shared" si="2"/>
        <v>6L</v>
      </c>
      <c r="G6" s="161" t="str">
        <f t="shared" si="3"/>
        <v>3L</v>
      </c>
      <c r="H6" s="200" t="str">
        <f t="shared" si="4"/>
        <v>USD6L3L4Y_Quote</v>
      </c>
      <c r="I6" s="100" t="str">
        <f>LiborSwapForBasisCalc!F13</f>
        <v>UsdLiborSwapForBasisCalc4Y#0000</v>
      </c>
      <c r="J6" s="199" t="str">
        <f t="shared" si="5"/>
        <v>USDAM3L4Y_S6L3L_Quote</v>
      </c>
      <c r="K6" s="199" t="str">
        <f>_xll.qlForwardSwapQuote(J6,I6,H6,E6,Permanent,Trigger,ObjectOverwrite)</f>
        <v>USDAM3L4Y_S6L3L_Quote#0000</v>
      </c>
      <c r="L6" s="209" t="str">
        <f>_xll.ohRangeRetrieveError(K6)</f>
        <v/>
      </c>
      <c r="M6" s="42"/>
      <c r="O6" s="79" t="s">
        <v>105</v>
      </c>
      <c r="P6" s="78" t="s">
        <v>185</v>
      </c>
      <c r="Q6" s="78" t="s">
        <v>103</v>
      </c>
      <c r="R6" s="78" t="s">
        <v>196</v>
      </c>
      <c r="S6" s="78"/>
      <c r="T6" s="77"/>
    </row>
    <row r="7" spans="1:23" ht="12" thickBot="1" x14ac:dyDescent="0.25">
      <c r="A7" s="116"/>
      <c r="B7" s="72" t="s">
        <v>84</v>
      </c>
      <c r="C7" s="161" t="str">
        <f t="shared" si="0"/>
        <v>AM</v>
      </c>
      <c r="D7" s="161" t="str">
        <f t="shared" si="1"/>
        <v>3L</v>
      </c>
      <c r="E7" s="161" t="str">
        <f t="shared" si="6"/>
        <v>0D</v>
      </c>
      <c r="F7" s="161" t="str">
        <f t="shared" si="2"/>
        <v>6L</v>
      </c>
      <c r="G7" s="161" t="str">
        <f t="shared" si="3"/>
        <v>3L</v>
      </c>
      <c r="H7" s="200" t="str">
        <f t="shared" si="4"/>
        <v>USD6L3L5Y_Quote</v>
      </c>
      <c r="I7" s="100" t="str">
        <f>LiborSwapForBasisCalc!F14</f>
        <v>UsdLiborSwapForBasisCalc5Y#0000</v>
      </c>
      <c r="J7" s="199" t="str">
        <f t="shared" si="5"/>
        <v>USDAM3L5Y_S6L3L_Quote</v>
      </c>
      <c r="K7" s="199" t="str">
        <f>_xll.qlForwardSwapQuote(J7,I7,H7,E7,Permanent,Trigger,ObjectOverwrite)</f>
        <v>USDAM3L5Y_S6L3L_Quote#0000</v>
      </c>
      <c r="L7" s="209" t="str">
        <f>_xll.ohRangeRetrieveError(K7)</f>
        <v/>
      </c>
      <c r="M7" s="42"/>
      <c r="O7" s="76" t="s">
        <v>100</v>
      </c>
      <c r="P7" s="75" t="s">
        <v>184</v>
      </c>
      <c r="Q7" s="75" t="s">
        <v>103</v>
      </c>
      <c r="R7" s="75" t="s">
        <v>196</v>
      </c>
      <c r="S7" s="75" t="s">
        <v>104</v>
      </c>
      <c r="T7" s="74" t="s">
        <v>103</v>
      </c>
    </row>
    <row r="8" spans="1:23" x14ac:dyDescent="0.2">
      <c r="A8" s="116"/>
      <c r="B8" s="72" t="s">
        <v>83</v>
      </c>
      <c r="C8" s="161" t="str">
        <f t="shared" si="0"/>
        <v>AM</v>
      </c>
      <c r="D8" s="161" t="str">
        <f t="shared" si="1"/>
        <v>3L</v>
      </c>
      <c r="E8" s="161" t="str">
        <f t="shared" si="6"/>
        <v>0D</v>
      </c>
      <c r="F8" s="161" t="str">
        <f t="shared" si="2"/>
        <v>6L</v>
      </c>
      <c r="G8" s="161" t="str">
        <f t="shared" si="3"/>
        <v>3L</v>
      </c>
      <c r="H8" s="200" t="str">
        <f t="shared" si="4"/>
        <v>USD6L3L6Y_Quote</v>
      </c>
      <c r="I8" s="100" t="str">
        <f>LiborSwapForBasisCalc!F15</f>
        <v>UsdLiborSwapForBasisCalc6Y#0000</v>
      </c>
      <c r="J8" s="199" t="str">
        <f t="shared" si="5"/>
        <v>USDAM3L6Y_S6L3L_Quote</v>
      </c>
      <c r="K8" s="199" t="str">
        <f>_xll.qlForwardSwapQuote(J8,I8,H8,E8,Permanent,Trigger,ObjectOverwrite)</f>
        <v>USDAM3L6Y_S6L3L_Quote#0000</v>
      </c>
      <c r="L8" s="209" t="str">
        <f>_xll.ohRangeRetrieveError(K8)</f>
        <v/>
      </c>
      <c r="M8" s="42"/>
    </row>
    <row r="9" spans="1:23" x14ac:dyDescent="0.2">
      <c r="A9" s="116"/>
      <c r="B9" s="72" t="s">
        <v>82</v>
      </c>
      <c r="C9" s="161" t="str">
        <f t="shared" si="0"/>
        <v>AM</v>
      </c>
      <c r="D9" s="161" t="str">
        <f t="shared" si="1"/>
        <v>3L</v>
      </c>
      <c r="E9" s="161" t="str">
        <f t="shared" si="6"/>
        <v>0D</v>
      </c>
      <c r="F9" s="161" t="str">
        <f t="shared" si="2"/>
        <v>6L</v>
      </c>
      <c r="G9" s="161" t="str">
        <f t="shared" si="3"/>
        <v>3L</v>
      </c>
      <c r="H9" s="200" t="str">
        <f t="shared" si="4"/>
        <v>USD6L3L7Y_Quote</v>
      </c>
      <c r="I9" s="100" t="str">
        <f>LiborSwapForBasisCalc!F16</f>
        <v>UsdLiborSwapForBasisCalc7Y#0000</v>
      </c>
      <c r="J9" s="199" t="str">
        <f t="shared" si="5"/>
        <v>USDAM3L7Y_S6L3L_Quote</v>
      </c>
      <c r="K9" s="199" t="str">
        <f>_xll.qlForwardSwapQuote(J9,I9,H9,E9,Permanent,Trigger,ObjectOverwrite)</f>
        <v>USDAM3L7Y_S6L3L_Quote#0000</v>
      </c>
      <c r="L9" s="209" t="str">
        <f>_xll.ohRangeRetrieveError(K9)</f>
        <v/>
      </c>
      <c r="M9" s="42"/>
    </row>
    <row r="10" spans="1:23" x14ac:dyDescent="0.2">
      <c r="A10" s="116"/>
      <c r="B10" s="72" t="s">
        <v>81</v>
      </c>
      <c r="C10" s="161" t="str">
        <f t="shared" si="0"/>
        <v>AM</v>
      </c>
      <c r="D10" s="161" t="str">
        <f t="shared" si="1"/>
        <v>3L</v>
      </c>
      <c r="E10" s="161" t="str">
        <f t="shared" si="6"/>
        <v>0D</v>
      </c>
      <c r="F10" s="161" t="str">
        <f t="shared" si="2"/>
        <v>6L</v>
      </c>
      <c r="G10" s="161" t="str">
        <f t="shared" si="3"/>
        <v>3L</v>
      </c>
      <c r="H10" s="200" t="str">
        <f t="shared" si="4"/>
        <v>USD6L3L8Y_Quote</v>
      </c>
      <c r="I10" s="100" t="str">
        <f>LiborSwapForBasisCalc!F17</f>
        <v>UsdLiborSwapForBasisCalc8Y#0000</v>
      </c>
      <c r="J10" s="199" t="str">
        <f t="shared" si="5"/>
        <v>USDAM3L8Y_S6L3L_Quote</v>
      </c>
      <c r="K10" s="199" t="str">
        <f>_xll.qlForwardSwapQuote(J10,I10,H10,E10,Permanent,Trigger,ObjectOverwrite)</f>
        <v>USDAM3L8Y_S6L3L_Quote#0000</v>
      </c>
      <c r="L10" s="209" t="str">
        <f>_xll.ohRangeRetrieveError(K10)</f>
        <v/>
      </c>
      <c r="M10" s="42"/>
    </row>
    <row r="11" spans="1:23" x14ac:dyDescent="0.2">
      <c r="A11" s="116"/>
      <c r="B11" s="72" t="s">
        <v>80</v>
      </c>
      <c r="C11" s="161" t="str">
        <f t="shared" si="0"/>
        <v>AM</v>
      </c>
      <c r="D11" s="161" t="str">
        <f t="shared" si="1"/>
        <v>3L</v>
      </c>
      <c r="E11" s="161" t="str">
        <f t="shared" si="6"/>
        <v>0D</v>
      </c>
      <c r="F11" s="161" t="str">
        <f t="shared" si="2"/>
        <v>6L</v>
      </c>
      <c r="G11" s="161" t="str">
        <f t="shared" si="3"/>
        <v>3L</v>
      </c>
      <c r="H11" s="200" t="str">
        <f t="shared" si="4"/>
        <v>USD6L3L9Y_Quote</v>
      </c>
      <c r="I11" s="100" t="str">
        <f>LiborSwapForBasisCalc!F18</f>
        <v>UsdLiborSwapForBasisCalc9Y#0000</v>
      </c>
      <c r="J11" s="199" t="str">
        <f t="shared" si="5"/>
        <v>USDAM3L9Y_S6L3L_Quote</v>
      </c>
      <c r="K11" s="199" t="str">
        <f>_xll.qlForwardSwapQuote(J11,I11,H11,E11,Permanent,Trigger,ObjectOverwrite)</f>
        <v>USDAM3L9Y_S6L3L_Quote#0000</v>
      </c>
      <c r="L11" s="209" t="str">
        <f>_xll.ohRangeRetrieveError(K11)</f>
        <v/>
      </c>
      <c r="M11" s="42"/>
    </row>
    <row r="12" spans="1:23" x14ac:dyDescent="0.2">
      <c r="A12" s="116"/>
      <c r="B12" s="72" t="s">
        <v>79</v>
      </c>
      <c r="C12" s="161" t="str">
        <f t="shared" si="0"/>
        <v>AM</v>
      </c>
      <c r="D12" s="161" t="str">
        <f t="shared" si="1"/>
        <v>3L</v>
      </c>
      <c r="E12" s="161" t="str">
        <f t="shared" si="6"/>
        <v>0D</v>
      </c>
      <c r="F12" s="161" t="str">
        <f t="shared" si="2"/>
        <v>6L</v>
      </c>
      <c r="G12" s="161" t="str">
        <f t="shared" si="3"/>
        <v>3L</v>
      </c>
      <c r="H12" s="200" t="str">
        <f t="shared" si="4"/>
        <v>USD6L3L10Y_Quote</v>
      </c>
      <c r="I12" s="100" t="str">
        <f>LiborSwapForBasisCalc!F19</f>
        <v>UsdLiborSwapForBasisCalc10Y#0000</v>
      </c>
      <c r="J12" s="199" t="str">
        <f t="shared" si="5"/>
        <v>USDAM3L10Y_S6L3L_Quote</v>
      </c>
      <c r="K12" s="199" t="str">
        <f>_xll.qlForwardSwapQuote(J12,I12,H12,E12,Permanent,Trigger,ObjectOverwrite)</f>
        <v>USDAM3L10Y_S6L3L_Quote#0000</v>
      </c>
      <c r="L12" s="209" t="str">
        <f>_xll.ohRangeRetrieveError(K12)</f>
        <v/>
      </c>
      <c r="M12" s="42"/>
    </row>
    <row r="13" spans="1:23" x14ac:dyDescent="0.2">
      <c r="A13" s="116"/>
      <c r="B13" s="72" t="s">
        <v>78</v>
      </c>
      <c r="C13" s="161" t="str">
        <f t="shared" si="0"/>
        <v>AM</v>
      </c>
      <c r="D13" s="161" t="str">
        <f t="shared" si="1"/>
        <v>3L</v>
      </c>
      <c r="E13" s="161" t="str">
        <f t="shared" si="6"/>
        <v>0D</v>
      </c>
      <c r="F13" s="161" t="str">
        <f t="shared" si="2"/>
        <v>6L</v>
      </c>
      <c r="G13" s="161" t="str">
        <f t="shared" si="3"/>
        <v>3L</v>
      </c>
      <c r="H13" s="200" t="str">
        <f t="shared" si="4"/>
        <v>USD6L3L11Y_Quote</v>
      </c>
      <c r="I13" s="100" t="str">
        <f>LiborSwapForBasisCalc!F20</f>
        <v>UsdLiborSwapForBasisCalc11Y#0000</v>
      </c>
      <c r="J13" s="199" t="str">
        <f t="shared" si="5"/>
        <v>USDAM3L11Y_S6L3L_Quote</v>
      </c>
      <c r="K13" s="199" t="str">
        <f>_xll.qlForwardSwapQuote(J13,I13,H13,E13,Permanent,Trigger,ObjectOverwrite)</f>
        <v>USDAM3L11Y_S6L3L_Quote#0000</v>
      </c>
      <c r="L13" s="209" t="str">
        <f>_xll.ohRangeRetrieveError(K13)</f>
        <v/>
      </c>
      <c r="M13" s="42"/>
    </row>
    <row r="14" spans="1:23" x14ac:dyDescent="0.2">
      <c r="A14" s="116"/>
      <c r="B14" s="72" t="s">
        <v>77</v>
      </c>
      <c r="C14" s="161" t="str">
        <f t="shared" si="0"/>
        <v>AM</v>
      </c>
      <c r="D14" s="161" t="str">
        <f t="shared" si="1"/>
        <v>3L</v>
      </c>
      <c r="E14" s="161" t="str">
        <f t="shared" si="6"/>
        <v>0D</v>
      </c>
      <c r="F14" s="161" t="str">
        <f t="shared" si="2"/>
        <v>6L</v>
      </c>
      <c r="G14" s="161" t="str">
        <f t="shared" si="3"/>
        <v>3L</v>
      </c>
      <c r="H14" s="200" t="str">
        <f t="shared" si="4"/>
        <v>USD6L3L12Y_Quote</v>
      </c>
      <c r="I14" s="100" t="str">
        <f>LiborSwapForBasisCalc!F21</f>
        <v>UsdLiborSwapForBasisCalc12Y#0000</v>
      </c>
      <c r="J14" s="199" t="str">
        <f t="shared" si="5"/>
        <v>USDAM3L12Y_S6L3L_Quote</v>
      </c>
      <c r="K14" s="199" t="str">
        <f>_xll.qlForwardSwapQuote(J14,I14,H14,E14,Permanent,Trigger,ObjectOverwrite)</f>
        <v>USDAM3L12Y_S6L3L_Quote#0000</v>
      </c>
      <c r="L14" s="209" t="str">
        <f>_xll.ohRangeRetrieveError(K14)</f>
        <v/>
      </c>
      <c r="M14" s="42"/>
    </row>
    <row r="15" spans="1:23" x14ac:dyDescent="0.2">
      <c r="A15" s="116"/>
      <c r="B15" s="72" t="s">
        <v>76</v>
      </c>
      <c r="C15" s="161" t="str">
        <f t="shared" si="0"/>
        <v>AM</v>
      </c>
      <c r="D15" s="161" t="str">
        <f t="shared" si="1"/>
        <v>3L</v>
      </c>
      <c r="E15" s="161" t="str">
        <f t="shared" si="6"/>
        <v>0D</v>
      </c>
      <c r="F15" s="161" t="str">
        <f t="shared" si="2"/>
        <v>6L</v>
      </c>
      <c r="G15" s="161" t="str">
        <f t="shared" si="3"/>
        <v>3L</v>
      </c>
      <c r="H15" s="200" t="str">
        <f t="shared" si="4"/>
        <v>USD6L3L13Y_Quote</v>
      </c>
      <c r="I15" s="100" t="str">
        <f>LiborSwapForBasisCalc!F22</f>
        <v>UsdLiborSwapForBasisCalc13Y#0000</v>
      </c>
      <c r="J15" s="199" t="str">
        <f t="shared" si="5"/>
        <v>USDAM3L13Y_S6L3L_Quote</v>
      </c>
      <c r="K15" s="199" t="str">
        <f>_xll.qlForwardSwapQuote(J15,I15,H15,E15,Permanent,Trigger,ObjectOverwrite)</f>
        <v>USDAM3L13Y_S6L3L_Quote#0000</v>
      </c>
      <c r="L15" s="209" t="str">
        <f>_xll.ohRangeRetrieveError(K15)</f>
        <v/>
      </c>
      <c r="M15" s="42"/>
    </row>
    <row r="16" spans="1:23" x14ac:dyDescent="0.2">
      <c r="A16" s="116"/>
      <c r="B16" s="72" t="s">
        <v>75</v>
      </c>
      <c r="C16" s="161" t="str">
        <f t="shared" si="0"/>
        <v>AM</v>
      </c>
      <c r="D16" s="161" t="str">
        <f t="shared" si="1"/>
        <v>3L</v>
      </c>
      <c r="E16" s="161" t="str">
        <f t="shared" si="6"/>
        <v>0D</v>
      </c>
      <c r="F16" s="161" t="str">
        <f t="shared" si="2"/>
        <v>6L</v>
      </c>
      <c r="G16" s="161" t="str">
        <f t="shared" si="3"/>
        <v>3L</v>
      </c>
      <c r="H16" s="200" t="str">
        <f t="shared" si="4"/>
        <v>USD6L3L14Y_Quote</v>
      </c>
      <c r="I16" s="100" t="str">
        <f>LiborSwapForBasisCalc!F23</f>
        <v>UsdLiborSwapForBasisCalc14Y#0000</v>
      </c>
      <c r="J16" s="199" t="str">
        <f t="shared" si="5"/>
        <v>USDAM3L14Y_S6L3L_Quote</v>
      </c>
      <c r="K16" s="199" t="str">
        <f>_xll.qlForwardSwapQuote(J16,I16,H16,E16,Permanent,Trigger,ObjectOverwrite)</f>
        <v>USDAM3L14Y_S6L3L_Quote#0000</v>
      </c>
      <c r="L16" s="209" t="str">
        <f>_xll.ohRangeRetrieveError(K16)</f>
        <v/>
      </c>
      <c r="M16" s="42"/>
      <c r="V16" s="19" t="e">
        <f>_xll.qlQuoteValue(K16)</f>
        <v>#NUM!</v>
      </c>
    </row>
    <row r="17" spans="1:13" x14ac:dyDescent="0.2">
      <c r="A17" s="116"/>
      <c r="B17" s="72" t="s">
        <v>74</v>
      </c>
      <c r="C17" s="161" t="str">
        <f t="shared" si="0"/>
        <v>AM</v>
      </c>
      <c r="D17" s="161" t="str">
        <f t="shared" si="1"/>
        <v>3L</v>
      </c>
      <c r="E17" s="161" t="str">
        <f t="shared" si="6"/>
        <v>0D</v>
      </c>
      <c r="F17" s="161" t="str">
        <f t="shared" si="2"/>
        <v>6L</v>
      </c>
      <c r="G17" s="161" t="str">
        <f t="shared" si="3"/>
        <v>3L</v>
      </c>
      <c r="H17" s="200" t="str">
        <f t="shared" si="4"/>
        <v>USD6L3L15Y_Quote</v>
      </c>
      <c r="I17" s="100" t="str">
        <f>LiborSwapForBasisCalc!F24</f>
        <v>UsdLiborSwapForBasisCalc15Y#0000</v>
      </c>
      <c r="J17" s="199" t="str">
        <f t="shared" si="5"/>
        <v>USDAM3L15Y_S6L3L_Quote</v>
      </c>
      <c r="K17" s="199" t="str">
        <f>_xll.qlForwardSwapQuote(J17,I17,H17,E17,Permanent,Trigger,ObjectOverwrite)</f>
        <v>USDAM3L15Y_S6L3L_Quote#0000</v>
      </c>
      <c r="L17" s="209" t="str">
        <f>_xll.ohRangeRetrieveError(K17)</f>
        <v/>
      </c>
      <c r="M17" s="42"/>
    </row>
    <row r="18" spans="1:13" x14ac:dyDescent="0.2">
      <c r="A18" s="116"/>
      <c r="B18" s="72" t="s">
        <v>73</v>
      </c>
      <c r="C18" s="161" t="str">
        <f t="shared" si="0"/>
        <v>AM</v>
      </c>
      <c r="D18" s="161" t="str">
        <f t="shared" si="1"/>
        <v>3L</v>
      </c>
      <c r="E18" s="161" t="str">
        <f t="shared" si="6"/>
        <v>0D</v>
      </c>
      <c r="F18" s="161" t="str">
        <f t="shared" si="2"/>
        <v>6L</v>
      </c>
      <c r="G18" s="161" t="str">
        <f t="shared" si="3"/>
        <v>3L</v>
      </c>
      <c r="H18" s="200" t="str">
        <f t="shared" si="4"/>
        <v>USD6L3L16Y_Quote</v>
      </c>
      <c r="I18" s="100" t="str">
        <f>LiborSwapForBasisCalc!F25</f>
        <v>UsdLiborSwapForBasisCalc16Y#0000</v>
      </c>
      <c r="J18" s="199" t="str">
        <f t="shared" si="5"/>
        <v>USDAM3L16Y_S6L3L_Quote</v>
      </c>
      <c r="K18" s="199" t="str">
        <f>_xll.qlForwardSwapQuote(J18,I18,H18,E18,Permanent,Trigger,ObjectOverwrite)</f>
        <v>USDAM3L16Y_S6L3L_Quote#0000</v>
      </c>
      <c r="L18" s="209" t="str">
        <f>_xll.ohRangeRetrieveError(K18)</f>
        <v/>
      </c>
      <c r="M18" s="42"/>
    </row>
    <row r="19" spans="1:13" x14ac:dyDescent="0.2">
      <c r="A19" s="116"/>
      <c r="B19" s="72" t="s">
        <v>72</v>
      </c>
      <c r="C19" s="161" t="str">
        <f t="shared" si="0"/>
        <v>AM</v>
      </c>
      <c r="D19" s="161" t="str">
        <f t="shared" si="1"/>
        <v>3L</v>
      </c>
      <c r="E19" s="161" t="str">
        <f t="shared" si="6"/>
        <v>0D</v>
      </c>
      <c r="F19" s="161" t="str">
        <f t="shared" si="2"/>
        <v>6L</v>
      </c>
      <c r="G19" s="161" t="str">
        <f t="shared" si="3"/>
        <v>3L</v>
      </c>
      <c r="H19" s="200" t="str">
        <f t="shared" si="4"/>
        <v>USD6L3L17Y_Quote</v>
      </c>
      <c r="I19" s="100" t="str">
        <f>LiborSwapForBasisCalc!F26</f>
        <v>UsdLiborSwapForBasisCalc17Y#0000</v>
      </c>
      <c r="J19" s="199" t="str">
        <f t="shared" si="5"/>
        <v>USDAM3L17Y_S6L3L_Quote</v>
      </c>
      <c r="K19" s="199" t="str">
        <f>_xll.qlForwardSwapQuote(J19,I19,H19,E19,Permanent,Trigger,ObjectOverwrite)</f>
        <v>USDAM3L17Y_S6L3L_Quote#0000</v>
      </c>
      <c r="L19" s="209" t="str">
        <f>_xll.ohRangeRetrieveError(K19)</f>
        <v/>
      </c>
      <c r="M19" s="42"/>
    </row>
    <row r="20" spans="1:13" x14ac:dyDescent="0.2">
      <c r="A20" s="116"/>
      <c r="B20" s="72" t="s">
        <v>71</v>
      </c>
      <c r="C20" s="161" t="str">
        <f t="shared" si="0"/>
        <v>AM</v>
      </c>
      <c r="D20" s="161" t="str">
        <f t="shared" si="1"/>
        <v>3L</v>
      </c>
      <c r="E20" s="161" t="str">
        <f t="shared" si="6"/>
        <v>0D</v>
      </c>
      <c r="F20" s="161" t="str">
        <f t="shared" si="2"/>
        <v>6L</v>
      </c>
      <c r="G20" s="161" t="str">
        <f t="shared" si="3"/>
        <v>3L</v>
      </c>
      <c r="H20" s="200" t="str">
        <f t="shared" si="4"/>
        <v>USD6L3L18Y_Quote</v>
      </c>
      <c r="I20" s="100" t="str">
        <f>LiborSwapForBasisCalc!F27</f>
        <v>UsdLiborSwapForBasisCalc18Y#0000</v>
      </c>
      <c r="J20" s="199" t="str">
        <f t="shared" si="5"/>
        <v>USDAM3L18Y_S6L3L_Quote</v>
      </c>
      <c r="K20" s="199" t="str">
        <f>_xll.qlForwardSwapQuote(J20,I20,H20,E20,Permanent,Trigger,ObjectOverwrite)</f>
        <v>USDAM3L18Y_S6L3L_Quote#0000</v>
      </c>
      <c r="L20" s="209" t="str">
        <f>_xll.ohRangeRetrieveError(K20)</f>
        <v/>
      </c>
      <c r="M20" s="42"/>
    </row>
    <row r="21" spans="1:13" x14ac:dyDescent="0.2">
      <c r="A21" s="116"/>
      <c r="B21" s="72" t="s">
        <v>70</v>
      </c>
      <c r="C21" s="161" t="str">
        <f t="shared" si="0"/>
        <v>AM</v>
      </c>
      <c r="D21" s="161" t="str">
        <f t="shared" si="1"/>
        <v>3L</v>
      </c>
      <c r="E21" s="161" t="str">
        <f t="shared" si="6"/>
        <v>0D</v>
      </c>
      <c r="F21" s="161" t="str">
        <f t="shared" si="2"/>
        <v>6L</v>
      </c>
      <c r="G21" s="161" t="str">
        <f t="shared" si="3"/>
        <v>3L</v>
      </c>
      <c r="H21" s="200" t="str">
        <f t="shared" si="4"/>
        <v>USD6L3L19Y_Quote</v>
      </c>
      <c r="I21" s="100" t="str">
        <f>LiborSwapForBasisCalc!F28</f>
        <v>UsdLiborSwapForBasisCalc19Y#0000</v>
      </c>
      <c r="J21" s="199" t="str">
        <f t="shared" si="5"/>
        <v>USDAM3L19Y_S6L3L_Quote</v>
      </c>
      <c r="K21" s="199" t="str">
        <f>_xll.qlForwardSwapQuote(J21,I21,H21,E21,Permanent,Trigger,ObjectOverwrite)</f>
        <v>USDAM3L19Y_S6L3L_Quote#0000</v>
      </c>
      <c r="L21" s="209" t="str">
        <f>_xll.ohRangeRetrieveError(K21)</f>
        <v/>
      </c>
      <c r="M21" s="42"/>
    </row>
    <row r="22" spans="1:13" x14ac:dyDescent="0.2">
      <c r="A22" s="116"/>
      <c r="B22" s="72" t="s">
        <v>69</v>
      </c>
      <c r="C22" s="161" t="str">
        <f t="shared" si="0"/>
        <v>AM</v>
      </c>
      <c r="D22" s="161" t="str">
        <f t="shared" si="1"/>
        <v>3L</v>
      </c>
      <c r="E22" s="161" t="str">
        <f t="shared" si="6"/>
        <v>0D</v>
      </c>
      <c r="F22" s="161" t="str">
        <f t="shared" si="2"/>
        <v>6L</v>
      </c>
      <c r="G22" s="161" t="str">
        <f t="shared" si="3"/>
        <v>3L</v>
      </c>
      <c r="H22" s="200" t="str">
        <f t="shared" si="4"/>
        <v>USD6L3L20Y_Quote</v>
      </c>
      <c r="I22" s="100" t="str">
        <f>LiborSwapForBasisCalc!F29</f>
        <v>UsdLiborSwapForBasisCalc20Y#0000</v>
      </c>
      <c r="J22" s="199" t="str">
        <f t="shared" si="5"/>
        <v>USDAM3L20Y_S6L3L_Quote</v>
      </c>
      <c r="K22" s="199" t="str">
        <f>_xll.qlForwardSwapQuote(J22,I22,H22,E22,Permanent,Trigger,ObjectOverwrite)</f>
        <v>USDAM3L20Y_S6L3L_Quote#0000</v>
      </c>
      <c r="L22" s="209" t="str">
        <f>_xll.ohRangeRetrieveError(K22)</f>
        <v/>
      </c>
      <c r="M22" s="42"/>
    </row>
    <row r="23" spans="1:13" x14ac:dyDescent="0.2">
      <c r="A23" s="116"/>
      <c r="B23" s="72" t="s">
        <v>68</v>
      </c>
      <c r="C23" s="161" t="str">
        <f t="shared" si="0"/>
        <v>AM</v>
      </c>
      <c r="D23" s="161" t="str">
        <f t="shared" si="1"/>
        <v>3L</v>
      </c>
      <c r="E23" s="161" t="str">
        <f t="shared" si="6"/>
        <v>0D</v>
      </c>
      <c r="F23" s="161" t="str">
        <f t="shared" si="2"/>
        <v>6L</v>
      </c>
      <c r="G23" s="161" t="str">
        <f t="shared" si="3"/>
        <v>3L</v>
      </c>
      <c r="H23" s="200" t="str">
        <f t="shared" si="4"/>
        <v>USD6L3L21Y_Quote</v>
      </c>
      <c r="I23" s="100" t="str">
        <f>LiborSwapForBasisCalc!F30</f>
        <v>UsdLiborSwapForBasisCalc21Y#0000</v>
      </c>
      <c r="J23" s="199" t="str">
        <f t="shared" si="5"/>
        <v>USDAM3L21Y_S6L3L_Quote</v>
      </c>
      <c r="K23" s="199" t="str">
        <f>_xll.qlForwardSwapQuote(J23,I23,H23,E23,Permanent,Trigger,ObjectOverwrite)</f>
        <v>USDAM3L21Y_S6L3L_Quote#0000</v>
      </c>
      <c r="L23" s="209" t="str">
        <f>_xll.ohRangeRetrieveError(K23)</f>
        <v/>
      </c>
      <c r="M23" s="42"/>
    </row>
    <row r="24" spans="1:13" x14ac:dyDescent="0.2">
      <c r="A24" s="116"/>
      <c r="B24" s="72" t="s">
        <v>67</v>
      </c>
      <c r="C24" s="161" t="str">
        <f t="shared" si="0"/>
        <v>AM</v>
      </c>
      <c r="D24" s="161" t="str">
        <f t="shared" si="1"/>
        <v>3L</v>
      </c>
      <c r="E24" s="161" t="str">
        <f t="shared" si="6"/>
        <v>0D</v>
      </c>
      <c r="F24" s="161" t="str">
        <f t="shared" si="2"/>
        <v>6L</v>
      </c>
      <c r="G24" s="161" t="str">
        <f t="shared" si="3"/>
        <v>3L</v>
      </c>
      <c r="H24" s="200" t="str">
        <f t="shared" si="4"/>
        <v>USD6L3L22Y_Quote</v>
      </c>
      <c r="I24" s="100" t="str">
        <f>LiborSwapForBasisCalc!F31</f>
        <v>UsdLiborSwapForBasisCalc22Y#0000</v>
      </c>
      <c r="J24" s="199" t="str">
        <f t="shared" si="5"/>
        <v>USDAM3L22Y_S6L3L_Quote</v>
      </c>
      <c r="K24" s="199" t="str">
        <f>_xll.qlForwardSwapQuote(J24,I24,H24,E24,Permanent,Trigger,ObjectOverwrite)</f>
        <v>USDAM3L22Y_S6L3L_Quote#0000</v>
      </c>
      <c r="L24" s="209" t="str">
        <f>_xll.ohRangeRetrieveError(K24)</f>
        <v/>
      </c>
      <c r="M24" s="42"/>
    </row>
    <row r="25" spans="1:13" x14ac:dyDescent="0.2">
      <c r="A25" s="116"/>
      <c r="B25" s="72" t="s">
        <v>66</v>
      </c>
      <c r="C25" s="161" t="str">
        <f t="shared" si="0"/>
        <v>AM</v>
      </c>
      <c r="D25" s="161" t="str">
        <f t="shared" si="1"/>
        <v>3L</v>
      </c>
      <c r="E25" s="161" t="str">
        <f t="shared" si="6"/>
        <v>0D</v>
      </c>
      <c r="F25" s="161" t="str">
        <f t="shared" si="2"/>
        <v>6L</v>
      </c>
      <c r="G25" s="161" t="str">
        <f t="shared" si="3"/>
        <v>3L</v>
      </c>
      <c r="H25" s="200" t="str">
        <f t="shared" si="4"/>
        <v>USD6L3L23Y_Quote</v>
      </c>
      <c r="I25" s="100" t="str">
        <f>LiborSwapForBasisCalc!F32</f>
        <v>UsdLiborSwapForBasisCalc23Y#0000</v>
      </c>
      <c r="J25" s="199" t="str">
        <f t="shared" si="5"/>
        <v>USDAM3L23Y_S6L3L_Quote</v>
      </c>
      <c r="K25" s="199" t="str">
        <f>_xll.qlForwardSwapQuote(J25,I25,H25,E25,Permanent,Trigger,ObjectOverwrite)</f>
        <v>USDAM3L23Y_S6L3L_Quote#0000</v>
      </c>
      <c r="L25" s="209" t="str">
        <f>_xll.ohRangeRetrieveError(K25)</f>
        <v/>
      </c>
      <c r="M25" s="42"/>
    </row>
    <row r="26" spans="1:13" x14ac:dyDescent="0.2">
      <c r="A26" s="116"/>
      <c r="B26" s="72" t="s">
        <v>65</v>
      </c>
      <c r="C26" s="161" t="str">
        <f t="shared" si="0"/>
        <v>AM</v>
      </c>
      <c r="D26" s="161" t="str">
        <f t="shared" si="1"/>
        <v>3L</v>
      </c>
      <c r="E26" s="161" t="str">
        <f t="shared" si="6"/>
        <v>0D</v>
      </c>
      <c r="F26" s="161" t="str">
        <f t="shared" si="2"/>
        <v>6L</v>
      </c>
      <c r="G26" s="161" t="str">
        <f t="shared" si="3"/>
        <v>3L</v>
      </c>
      <c r="H26" s="200" t="str">
        <f t="shared" si="4"/>
        <v>USD6L3L24Y_Quote</v>
      </c>
      <c r="I26" s="100" t="str">
        <f>LiborSwapForBasisCalc!F33</f>
        <v>UsdLiborSwapForBasisCalc24Y#0000</v>
      </c>
      <c r="J26" s="199" t="str">
        <f t="shared" si="5"/>
        <v>USDAM3L24Y_S6L3L_Quote</v>
      </c>
      <c r="K26" s="199" t="str">
        <f>_xll.qlForwardSwapQuote(J26,I26,H26,E26,Permanent,Trigger,ObjectOverwrite)</f>
        <v>USDAM3L24Y_S6L3L_Quote#0000</v>
      </c>
      <c r="L26" s="209" t="str">
        <f>_xll.ohRangeRetrieveError(K26)</f>
        <v/>
      </c>
      <c r="M26" s="42"/>
    </row>
    <row r="27" spans="1:13" x14ac:dyDescent="0.2">
      <c r="A27" s="116"/>
      <c r="B27" s="72" t="s">
        <v>64</v>
      </c>
      <c r="C27" s="161" t="str">
        <f t="shared" si="0"/>
        <v>AM</v>
      </c>
      <c r="D27" s="161" t="str">
        <f t="shared" si="1"/>
        <v>3L</v>
      </c>
      <c r="E27" s="161" t="str">
        <f t="shared" si="6"/>
        <v>0D</v>
      </c>
      <c r="F27" s="161" t="str">
        <f t="shared" si="2"/>
        <v>6L</v>
      </c>
      <c r="G27" s="161" t="str">
        <f t="shared" si="3"/>
        <v>3L</v>
      </c>
      <c r="H27" s="200" t="str">
        <f t="shared" si="4"/>
        <v>USD6L3L25Y_Quote</v>
      </c>
      <c r="I27" s="100" t="str">
        <f>LiborSwapForBasisCalc!F34</f>
        <v>UsdLiborSwapForBasisCalc25Y#0000</v>
      </c>
      <c r="J27" s="199" t="str">
        <f t="shared" si="5"/>
        <v>USDAM3L25Y_S6L3L_Quote</v>
      </c>
      <c r="K27" s="199" t="str">
        <f>_xll.qlForwardSwapQuote(J27,I27,H27,E27,Permanent,Trigger,ObjectOverwrite)</f>
        <v>USDAM3L25Y_S6L3L_Quote#0000</v>
      </c>
      <c r="L27" s="209" t="str">
        <f>_xll.ohRangeRetrieveError(K27)</f>
        <v/>
      </c>
      <c r="M27" s="42"/>
    </row>
    <row r="28" spans="1:13" x14ac:dyDescent="0.2">
      <c r="A28" s="116"/>
      <c r="B28" s="72" t="s">
        <v>63</v>
      </c>
      <c r="C28" s="161" t="str">
        <f t="shared" si="0"/>
        <v>AM</v>
      </c>
      <c r="D28" s="161" t="str">
        <f t="shared" si="1"/>
        <v>3L</v>
      </c>
      <c r="E28" s="161" t="str">
        <f t="shared" si="6"/>
        <v>0D</v>
      </c>
      <c r="F28" s="161" t="str">
        <f t="shared" si="2"/>
        <v>6L</v>
      </c>
      <c r="G28" s="161" t="str">
        <f t="shared" si="3"/>
        <v>3L</v>
      </c>
      <c r="H28" s="200" t="str">
        <f t="shared" si="4"/>
        <v>USD6L3L26Y_Quote</v>
      </c>
      <c r="I28" s="100" t="str">
        <f>LiborSwapForBasisCalc!F35</f>
        <v>UsdLiborSwapForBasisCalc26Y#0000</v>
      </c>
      <c r="J28" s="199" t="str">
        <f t="shared" si="5"/>
        <v>USDAM3L26Y_S6L3L_Quote</v>
      </c>
      <c r="K28" s="199" t="str">
        <f>_xll.qlForwardSwapQuote(J28,I28,H28,E28,Permanent,Trigger,ObjectOverwrite)</f>
        <v>USDAM3L26Y_S6L3L_Quote#0000</v>
      </c>
      <c r="L28" s="209" t="str">
        <f>_xll.ohRangeRetrieveError(K28)</f>
        <v/>
      </c>
      <c r="M28" s="42"/>
    </row>
    <row r="29" spans="1:13" x14ac:dyDescent="0.2">
      <c r="A29" s="116"/>
      <c r="B29" s="72" t="s">
        <v>62</v>
      </c>
      <c r="C29" s="161" t="str">
        <f t="shared" si="0"/>
        <v>AM</v>
      </c>
      <c r="D29" s="161" t="str">
        <f t="shared" si="1"/>
        <v>3L</v>
      </c>
      <c r="E29" s="161" t="str">
        <f t="shared" si="6"/>
        <v>0D</v>
      </c>
      <c r="F29" s="161" t="str">
        <f t="shared" si="2"/>
        <v>6L</v>
      </c>
      <c r="G29" s="161" t="str">
        <f t="shared" si="3"/>
        <v>3L</v>
      </c>
      <c r="H29" s="200" t="str">
        <f t="shared" si="4"/>
        <v>USD6L3L27Y_Quote</v>
      </c>
      <c r="I29" s="100" t="str">
        <f>LiborSwapForBasisCalc!F36</f>
        <v>UsdLiborSwapForBasisCalc27Y#0000</v>
      </c>
      <c r="J29" s="199" t="str">
        <f t="shared" si="5"/>
        <v>USDAM3L27Y_S6L3L_Quote</v>
      </c>
      <c r="K29" s="199" t="str">
        <f>_xll.qlForwardSwapQuote(J29,I29,H29,E29,Permanent,Trigger,ObjectOverwrite)</f>
        <v>USDAM3L27Y_S6L3L_Quote#0000</v>
      </c>
      <c r="L29" s="209" t="str">
        <f>_xll.ohRangeRetrieveError(K29)</f>
        <v/>
      </c>
      <c r="M29" s="42"/>
    </row>
    <row r="30" spans="1:13" x14ac:dyDescent="0.2">
      <c r="A30" s="116"/>
      <c r="B30" s="72" t="s">
        <v>61</v>
      </c>
      <c r="C30" s="161" t="str">
        <f t="shared" si="0"/>
        <v>AM</v>
      </c>
      <c r="D30" s="161" t="str">
        <f t="shared" si="1"/>
        <v>3L</v>
      </c>
      <c r="E30" s="161" t="str">
        <f t="shared" si="6"/>
        <v>0D</v>
      </c>
      <c r="F30" s="161" t="str">
        <f t="shared" si="2"/>
        <v>6L</v>
      </c>
      <c r="G30" s="161" t="str">
        <f t="shared" si="3"/>
        <v>3L</v>
      </c>
      <c r="H30" s="200" t="str">
        <f t="shared" si="4"/>
        <v>USD6L3L28Y_Quote</v>
      </c>
      <c r="I30" s="100" t="str">
        <f>LiborSwapForBasisCalc!F37</f>
        <v>UsdLiborSwapForBasisCalc28Y#0000</v>
      </c>
      <c r="J30" s="199" t="str">
        <f t="shared" si="5"/>
        <v>USDAM3L28Y_S6L3L_Quote</v>
      </c>
      <c r="K30" s="199" t="str">
        <f>_xll.qlForwardSwapQuote(J30,I30,H30,E30,Permanent,Trigger,ObjectOverwrite)</f>
        <v>USDAM3L28Y_S6L3L_Quote#0000</v>
      </c>
      <c r="L30" s="209" t="str">
        <f>_xll.ohRangeRetrieveError(K30)</f>
        <v/>
      </c>
      <c r="M30" s="42"/>
    </row>
    <row r="31" spans="1:13" x14ac:dyDescent="0.2">
      <c r="A31" s="116"/>
      <c r="B31" s="72" t="s">
        <v>60</v>
      </c>
      <c r="C31" s="161" t="str">
        <f t="shared" si="0"/>
        <v>AM</v>
      </c>
      <c r="D31" s="161" t="str">
        <f t="shared" si="1"/>
        <v>3L</v>
      </c>
      <c r="E31" s="161" t="str">
        <f t="shared" si="6"/>
        <v>0D</v>
      </c>
      <c r="F31" s="161" t="str">
        <f t="shared" si="2"/>
        <v>6L</v>
      </c>
      <c r="G31" s="161" t="str">
        <f t="shared" si="3"/>
        <v>3L</v>
      </c>
      <c r="H31" s="200" t="str">
        <f t="shared" si="4"/>
        <v>USD6L3L29Y_Quote</v>
      </c>
      <c r="I31" s="100" t="str">
        <f>LiborSwapForBasisCalc!F38</f>
        <v>UsdLiborSwapForBasisCalc29Y#0000</v>
      </c>
      <c r="J31" s="199" t="str">
        <f t="shared" si="5"/>
        <v>USDAM3L29Y_S6L3L_Quote</v>
      </c>
      <c r="K31" s="199" t="str">
        <f>_xll.qlForwardSwapQuote(J31,I31,H31,E31,Permanent,Trigger,ObjectOverwrite)</f>
        <v>USDAM3L29Y_S6L3L_Quote#0000</v>
      </c>
      <c r="L31" s="209" t="str">
        <f>_xll.ohRangeRetrieveError(K31)</f>
        <v/>
      </c>
      <c r="M31" s="42"/>
    </row>
    <row r="32" spans="1:13" x14ac:dyDescent="0.2">
      <c r="A32" s="116"/>
      <c r="B32" s="72" t="s">
        <v>59</v>
      </c>
      <c r="C32" s="161" t="str">
        <f t="shared" si="0"/>
        <v>AM</v>
      </c>
      <c r="D32" s="161" t="str">
        <f t="shared" si="1"/>
        <v>3L</v>
      </c>
      <c r="E32" s="161" t="str">
        <f t="shared" si="6"/>
        <v>0D</v>
      </c>
      <c r="F32" s="161" t="str">
        <f t="shared" si="2"/>
        <v>6L</v>
      </c>
      <c r="G32" s="161" t="str">
        <f t="shared" si="3"/>
        <v>3L</v>
      </c>
      <c r="H32" s="200" t="str">
        <f t="shared" si="4"/>
        <v>USD6L3L30Y_Quote</v>
      </c>
      <c r="I32" s="100" t="str">
        <f>LiborSwapForBasisCalc!F39</f>
        <v>UsdLiborSwapForBasisCalc30Y#0000</v>
      </c>
      <c r="J32" s="199" t="str">
        <f t="shared" si="5"/>
        <v>USDAM3L30Y_S6L3L_Quote</v>
      </c>
      <c r="K32" s="199" t="str">
        <f>_xll.qlForwardSwapQuote(J32,I32,H32,E32,Permanent,Trigger,ObjectOverwrite)</f>
        <v>USDAM3L30Y_S6L3L_Quote#0000</v>
      </c>
      <c r="L32" s="209" t="str">
        <f>_xll.ohRangeRetrieveError(K32)</f>
        <v/>
      </c>
      <c r="M32" s="42"/>
    </row>
    <row r="33" spans="1:13" x14ac:dyDescent="0.2">
      <c r="A33" s="116"/>
      <c r="B33" s="72" t="s">
        <v>54</v>
      </c>
      <c r="C33" s="161" t="str">
        <f t="shared" si="0"/>
        <v>AM</v>
      </c>
      <c r="D33" s="161" t="str">
        <f t="shared" si="1"/>
        <v>3L</v>
      </c>
      <c r="E33" s="161" t="str">
        <f t="shared" si="6"/>
        <v>0D</v>
      </c>
      <c r="F33" s="161" t="str">
        <f t="shared" si="2"/>
        <v>6L</v>
      </c>
      <c r="G33" s="161" t="str">
        <f t="shared" si="3"/>
        <v>3L</v>
      </c>
      <c r="H33" s="200" t="str">
        <f t="shared" si="4"/>
        <v>USD6L3L35Y_Quote</v>
      </c>
      <c r="I33" s="100" t="str">
        <f>LiborSwapForBasisCalc!F44</f>
        <v>UsdLiborSwapForBasisCalc35Y#0000</v>
      </c>
      <c r="J33" s="199" t="str">
        <f t="shared" si="5"/>
        <v>USDAM3L35Y_S6L3L_Quote</v>
      </c>
      <c r="K33" s="199" t="str">
        <f>_xll.qlForwardSwapQuote(J33,I33,H33,E33,Permanent,Trigger,ObjectOverwrite)</f>
        <v>USDAM3L35Y_S6L3L_Quote#0000</v>
      </c>
      <c r="L33" s="209" t="str">
        <f>_xll.ohRangeRetrieveError(K33)</f>
        <v/>
      </c>
      <c r="M33" s="42"/>
    </row>
    <row r="34" spans="1:13" x14ac:dyDescent="0.2">
      <c r="A34" s="116"/>
      <c r="B34" s="72" t="s">
        <v>49</v>
      </c>
      <c r="C34" s="161" t="str">
        <f t="shared" si="0"/>
        <v>AM</v>
      </c>
      <c r="D34" s="161" t="str">
        <f t="shared" si="1"/>
        <v>3L</v>
      </c>
      <c r="E34" s="161" t="str">
        <f t="shared" si="6"/>
        <v>0D</v>
      </c>
      <c r="F34" s="161" t="str">
        <f t="shared" si="2"/>
        <v>6L</v>
      </c>
      <c r="G34" s="161" t="str">
        <f t="shared" si="3"/>
        <v>3L</v>
      </c>
      <c r="H34" s="200" t="str">
        <f t="shared" si="4"/>
        <v>USD6L3L40Y_Quote</v>
      </c>
      <c r="I34" s="100" t="str">
        <f>LiborSwapForBasisCalc!F49</f>
        <v>UsdLiborSwapForBasisCalc40Y#0000</v>
      </c>
      <c r="J34" s="199" t="str">
        <f t="shared" si="5"/>
        <v>USDAM3L40Y_S6L3L_Quote</v>
      </c>
      <c r="K34" s="199" t="str">
        <f>_xll.qlForwardSwapQuote(J34,I34,H34,E34,Permanent,Trigger,ObjectOverwrite)</f>
        <v>USDAM3L40Y_S6L3L_Quote#0000</v>
      </c>
      <c r="L34" s="209" t="str">
        <f>_xll.ohRangeRetrieveError(K34)</f>
        <v/>
      </c>
      <c r="M34" s="42"/>
    </row>
    <row r="35" spans="1:13" x14ac:dyDescent="0.2">
      <c r="A35" s="116"/>
      <c r="B35" s="72" t="s">
        <v>39</v>
      </c>
      <c r="C35" s="161" t="str">
        <f t="shared" si="0"/>
        <v>AM</v>
      </c>
      <c r="D35" s="161" t="str">
        <f t="shared" si="1"/>
        <v>3L</v>
      </c>
      <c r="E35" s="161" t="str">
        <f t="shared" si="6"/>
        <v>0D</v>
      </c>
      <c r="F35" s="161" t="str">
        <f t="shared" si="2"/>
        <v>6L</v>
      </c>
      <c r="G35" s="161" t="str">
        <f t="shared" si="3"/>
        <v>3L</v>
      </c>
      <c r="H35" s="200" t="str">
        <f t="shared" si="4"/>
        <v>USD6L3L50Y_Quote</v>
      </c>
      <c r="I35" s="100" t="str">
        <f>LiborSwapForBasisCalc!F59</f>
        <v>UsdLiborSwapForBasisCalc50Y#0000</v>
      </c>
      <c r="J35" s="199" t="str">
        <f t="shared" si="5"/>
        <v>USDAM3L50Y_S6L3L_Quote</v>
      </c>
      <c r="K35" s="199" t="str">
        <f>_xll.qlForwardSwapQuote(J35,I35,H35,E35,Permanent,Trigger,ObjectOverwrite)</f>
        <v>USDAM3L50Y_S6L3L_Quote#0000</v>
      </c>
      <c r="L35" s="209" t="str">
        <f>_xll.ohRangeRetrieveError(K35)</f>
        <v/>
      </c>
      <c r="M35" s="42"/>
    </row>
    <row r="36" spans="1:13" x14ac:dyDescent="0.2">
      <c r="A36" s="116"/>
      <c r="B36" s="72" t="s">
        <v>29</v>
      </c>
      <c r="C36" s="161" t="str">
        <f t="shared" si="0"/>
        <v>AM</v>
      </c>
      <c r="D36" s="161" t="str">
        <f t="shared" si="1"/>
        <v>3L</v>
      </c>
      <c r="E36" s="161" t="str">
        <f t="shared" si="6"/>
        <v>0D</v>
      </c>
      <c r="F36" s="161" t="str">
        <f t="shared" si="2"/>
        <v>6L</v>
      </c>
      <c r="G36" s="161" t="str">
        <f t="shared" si="3"/>
        <v>3L</v>
      </c>
      <c r="H36" s="200" t="str">
        <f t="shared" si="4"/>
        <v>USD6L3L60Y_Quote</v>
      </c>
      <c r="I36" s="100" t="str">
        <f>LiborSwapForBasisCalc!F69</f>
        <v>UsdLiborSwapForBasisCalc60Y#0000</v>
      </c>
      <c r="J36" s="199" t="str">
        <f t="shared" si="5"/>
        <v>USDAM3L60Y_S6L3L_Quote</v>
      </c>
      <c r="K36" s="199" t="str">
        <f>_xll.qlForwardSwapQuote(J36,I36,H36,E36,Permanent,Trigger,ObjectOverwrite)</f>
        <v>USDAM3L60Y_S6L3L_Quote#0000</v>
      </c>
      <c r="L36" s="209" t="str">
        <f>_xll.ohRangeRetrieveError(K36)</f>
        <v/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T37"/>
  <sheetViews>
    <sheetView workbookViewId="0">
      <selection activeCell="K3" sqref="K3"/>
    </sheetView>
  </sheetViews>
  <sheetFormatPr defaultRowHeight="11.25" x14ac:dyDescent="0.2"/>
  <cols>
    <col min="1" max="1" width="2.7109375" style="19" customWidth="1"/>
    <col min="2" max="2" width="3.85546875" style="19" bestFit="1" customWidth="1"/>
    <col min="3" max="3" width="3.28515625" style="19" bestFit="1" customWidth="1"/>
    <col min="4" max="4" width="2.7109375" style="19" bestFit="1" customWidth="1"/>
    <col min="5" max="5" width="4.7109375" style="19" bestFit="1" customWidth="1"/>
    <col min="6" max="6" width="3.5703125" style="19" bestFit="1" customWidth="1"/>
    <col min="7" max="7" width="2.7109375" style="19" bestFit="1" customWidth="1"/>
    <col min="8" max="8" width="16.42578125" style="19" customWidth="1"/>
    <col min="9" max="9" width="21.7109375" style="19" bestFit="1" customWidth="1"/>
    <col min="10" max="10" width="25.85546875" style="19" bestFit="1" customWidth="1"/>
    <col min="11" max="11" width="26.85546875" style="19" bestFit="1" customWidth="1"/>
    <col min="12" max="12" width="21.140625" style="19" customWidth="1"/>
    <col min="13" max="14" width="2.85546875" style="19" customWidth="1"/>
    <col min="15" max="15" width="4" style="19" bestFit="1" customWidth="1"/>
    <col min="16" max="16" width="3.140625" style="19" bestFit="1" customWidth="1"/>
    <col min="17" max="17" width="2.7109375" style="19" bestFit="1" customWidth="1"/>
    <col min="18" max="18" width="3.28515625" style="19" bestFit="1" customWidth="1"/>
    <col min="19" max="20" width="3.5703125" style="19" bestFit="1" customWidth="1"/>
    <col min="21" max="16384" width="9.140625" style="19"/>
  </cols>
  <sheetData>
    <row r="1" spans="1:20" ht="12" thickBot="1" x14ac:dyDescent="0.25">
      <c r="A1" s="188" t="s">
        <v>201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208"/>
      <c r="M1" s="167"/>
    </row>
    <row r="2" spans="1:20" ht="22.5" x14ac:dyDescent="0.2">
      <c r="A2" s="116"/>
      <c r="B2" s="86"/>
      <c r="C2" s="86"/>
      <c r="D2" s="86"/>
      <c r="E2" s="86" t="s">
        <v>199</v>
      </c>
      <c r="F2" s="86"/>
      <c r="G2" s="86"/>
      <c r="H2" s="86" t="s">
        <v>198</v>
      </c>
      <c r="I2" s="86" t="s">
        <v>197</v>
      </c>
      <c r="J2" s="205" t="str">
        <f>Currency&amp;"_020_Sw"&amp;$C$3&amp;$D$3&amp;IF(H3=0,,"_Spr"&amp;$F3&amp;$G3)&amp;".xml"</f>
        <v>USD_020_SwAM3L_Spr12L3L.xml</v>
      </c>
      <c r="K2" s="103" t="str">
        <f>IF(Serialize,_xll.ohObjectSave(K3:K36,SerializationPath&amp;J2,FileOverwrite,Serialize),"---")</f>
        <v>---</v>
      </c>
      <c r="L2" s="68" t="str">
        <f>_xll.ohRangeRetrieveError(K2)</f>
        <v/>
      </c>
      <c r="M2" s="42"/>
      <c r="O2" s="179"/>
      <c r="P2" s="178"/>
      <c r="Q2" s="178"/>
      <c r="R2" s="178"/>
      <c r="S2" s="178"/>
      <c r="T2" s="177"/>
    </row>
    <row r="3" spans="1:20" x14ac:dyDescent="0.2">
      <c r="A3" s="116"/>
      <c r="B3" s="72" t="s">
        <v>9</v>
      </c>
      <c r="C3" s="161" t="str">
        <f t="shared" ref="C3:C36" si="0">VLOOKUP(Currency,$O$3:$T$7,2)</f>
        <v>AM</v>
      </c>
      <c r="D3" s="161" t="str">
        <f t="shared" ref="D3:D36" si="1">VLOOKUP(Currency,$O$3:$T$7,3)</f>
        <v>3L</v>
      </c>
      <c r="E3" s="212" t="s">
        <v>200</v>
      </c>
      <c r="F3" s="161" t="str">
        <f t="shared" ref="F3:F36" si="2">VLOOKUP(Currency,$O$3:$T$7,5)</f>
        <v>12L</v>
      </c>
      <c r="G3" s="161" t="str">
        <f t="shared" ref="G3:G36" si="3">VLOOKUP(Currency,$O$3:$T$7,6)</f>
        <v>3L</v>
      </c>
      <c r="H3" s="200" t="str">
        <f t="shared" ref="H3:H36" si="4">IF(F3=0,0,Currency&amp;$F3&amp;$G3&amp;$B3&amp;QuoteSuffix)</f>
        <v>USD12L3L1Y_Quote</v>
      </c>
      <c r="I3" s="203" t="str">
        <f t="shared" ref="I3:I36" si="5">PROPER(Currency)&amp;FamilyName&amp;"Swap"&amp;FixingType&amp;$B3</f>
        <v>UsdLiborSwapForBasisCalc1Y</v>
      </c>
      <c r="J3" s="199" t="str">
        <f t="shared" ref="J3:J36" si="6">Currency&amp;$C3&amp;$D3&amp;$B3&amp;IF(H3=0,,"_S"&amp;$F3&amp;$G3)&amp;QuoteSuffix</f>
        <v>USDAM3L1Y_S12L3L_Quote</v>
      </c>
      <c r="K3" s="199" t="e">
        <f>_xll.qlForwardSwapQuote(J3,I3,H3,E3,Permanent,Trigger,ObjectOverwrite)</f>
        <v>#NUM!</v>
      </c>
      <c r="L3" s="209" t="e">
        <f ca="1">_xll.ohRangeRetrieveError(K3)</f>
        <v>#NUM!</v>
      </c>
      <c r="M3" s="42"/>
      <c r="O3" s="79" t="s">
        <v>110</v>
      </c>
      <c r="P3" s="78" t="s">
        <v>186</v>
      </c>
      <c r="Q3" s="78" t="s">
        <v>104</v>
      </c>
      <c r="R3" s="78" t="s">
        <v>196</v>
      </c>
      <c r="S3" s="78" t="s">
        <v>104</v>
      </c>
      <c r="T3" s="77" t="s">
        <v>116</v>
      </c>
    </row>
    <row r="4" spans="1:20" x14ac:dyDescent="0.2">
      <c r="A4" s="116"/>
      <c r="B4" s="72" t="s">
        <v>87</v>
      </c>
      <c r="C4" s="161" t="str">
        <f t="shared" si="0"/>
        <v>AM</v>
      </c>
      <c r="D4" s="161" t="str">
        <f t="shared" si="1"/>
        <v>3L</v>
      </c>
      <c r="E4" s="161" t="str">
        <f t="shared" ref="E4:E36" si="7">E3</f>
        <v>0D</v>
      </c>
      <c r="F4" s="161" t="str">
        <f t="shared" si="2"/>
        <v>12L</v>
      </c>
      <c r="G4" s="161" t="str">
        <f t="shared" si="3"/>
        <v>3L</v>
      </c>
      <c r="H4" s="200" t="str">
        <f t="shared" si="4"/>
        <v>USD12L3L2Y_Quote</v>
      </c>
      <c r="I4" s="100" t="str">
        <f t="shared" si="5"/>
        <v>UsdLiborSwapForBasisCalc2Y</v>
      </c>
      <c r="J4" s="199" t="str">
        <f t="shared" si="6"/>
        <v>USDAM3L2Y_S12L3L_Quote</v>
      </c>
      <c r="K4" s="199" t="e">
        <f>_xll.qlForwardSwapQuote(J4,I4,H4,E4,Permanent,Trigger,ObjectOverwrite)</f>
        <v>#NUM!</v>
      </c>
      <c r="L4" s="209" t="e">
        <f ca="1">_xll.ohRangeRetrieveError(K4)</f>
        <v>#NUM!</v>
      </c>
      <c r="M4" s="42"/>
      <c r="O4" s="79" t="s">
        <v>109</v>
      </c>
      <c r="P4" s="78" t="s">
        <v>186</v>
      </c>
      <c r="Q4" s="78" t="s">
        <v>107</v>
      </c>
      <c r="R4" s="78" t="s">
        <v>196</v>
      </c>
      <c r="S4" s="78" t="s">
        <v>107</v>
      </c>
      <c r="T4" s="77" t="s">
        <v>117</v>
      </c>
    </row>
    <row r="5" spans="1:20" x14ac:dyDescent="0.2">
      <c r="A5" s="116"/>
      <c r="B5" s="72" t="s">
        <v>86</v>
      </c>
      <c r="C5" s="161" t="str">
        <f t="shared" si="0"/>
        <v>AM</v>
      </c>
      <c r="D5" s="161" t="str">
        <f t="shared" si="1"/>
        <v>3L</v>
      </c>
      <c r="E5" s="161" t="str">
        <f t="shared" si="7"/>
        <v>0D</v>
      </c>
      <c r="F5" s="161" t="str">
        <f t="shared" si="2"/>
        <v>12L</v>
      </c>
      <c r="G5" s="161" t="str">
        <f t="shared" si="3"/>
        <v>3L</v>
      </c>
      <c r="H5" s="200" t="str">
        <f t="shared" si="4"/>
        <v>USD12L3L3Y_Quote</v>
      </c>
      <c r="I5" s="100" t="str">
        <f t="shared" si="5"/>
        <v>UsdLiborSwapForBasisCalc3Y</v>
      </c>
      <c r="J5" s="199" t="str">
        <f t="shared" si="6"/>
        <v>USDAM3L3Y_S12L3L_Quote</v>
      </c>
      <c r="K5" s="199" t="e">
        <f>_xll.qlForwardSwapQuote(J5,I5,H5,E5,Permanent,Trigger,ObjectOverwrite)</f>
        <v>#NUM!</v>
      </c>
      <c r="L5" s="209" t="e">
        <f ca="1">_xll.ohRangeRetrieveError(K5)</f>
        <v>#NUM!</v>
      </c>
      <c r="M5" s="42"/>
      <c r="O5" s="79" t="s">
        <v>106</v>
      </c>
      <c r="P5" s="78" t="s">
        <v>185</v>
      </c>
      <c r="Q5" s="78" t="s">
        <v>104</v>
      </c>
      <c r="R5" s="78" t="s">
        <v>196</v>
      </c>
      <c r="S5" s="78" t="s">
        <v>104</v>
      </c>
      <c r="T5" s="77" t="s">
        <v>116</v>
      </c>
    </row>
    <row r="6" spans="1:20" x14ac:dyDescent="0.2">
      <c r="A6" s="116"/>
      <c r="B6" s="72" t="s">
        <v>85</v>
      </c>
      <c r="C6" s="161" t="str">
        <f t="shared" si="0"/>
        <v>AM</v>
      </c>
      <c r="D6" s="161" t="str">
        <f t="shared" si="1"/>
        <v>3L</v>
      </c>
      <c r="E6" s="161" t="str">
        <f t="shared" si="7"/>
        <v>0D</v>
      </c>
      <c r="F6" s="161" t="str">
        <f t="shared" si="2"/>
        <v>12L</v>
      </c>
      <c r="G6" s="161" t="str">
        <f t="shared" si="3"/>
        <v>3L</v>
      </c>
      <c r="H6" s="200" t="str">
        <f t="shared" si="4"/>
        <v>USD12L3L4Y_Quote</v>
      </c>
      <c r="I6" s="100" t="str">
        <f t="shared" si="5"/>
        <v>UsdLiborSwapForBasisCalc4Y</v>
      </c>
      <c r="J6" s="199" t="str">
        <f t="shared" si="6"/>
        <v>USDAM3L4Y_S12L3L_Quote</v>
      </c>
      <c r="K6" s="199" t="e">
        <f>_xll.qlForwardSwapQuote(J6,I6,H6,E6,Permanent,Trigger,ObjectOverwrite)</f>
        <v>#NUM!</v>
      </c>
      <c r="L6" s="209" t="e">
        <f ca="1">_xll.ohRangeRetrieveError(K6)</f>
        <v>#NUM!</v>
      </c>
      <c r="M6" s="42"/>
      <c r="O6" s="79" t="s">
        <v>105</v>
      </c>
      <c r="P6" s="78" t="s">
        <v>185</v>
      </c>
      <c r="Q6" s="78" t="s">
        <v>104</v>
      </c>
      <c r="R6" s="78" t="s">
        <v>196</v>
      </c>
      <c r="S6" s="78" t="s">
        <v>104</v>
      </c>
      <c r="T6" s="77" t="s">
        <v>116</v>
      </c>
    </row>
    <row r="7" spans="1:20" ht="12" thickBot="1" x14ac:dyDescent="0.25">
      <c r="A7" s="116"/>
      <c r="B7" s="72" t="s">
        <v>84</v>
      </c>
      <c r="C7" s="161" t="str">
        <f t="shared" si="0"/>
        <v>AM</v>
      </c>
      <c r="D7" s="161" t="str">
        <f t="shared" si="1"/>
        <v>3L</v>
      </c>
      <c r="E7" s="161" t="str">
        <f t="shared" si="7"/>
        <v>0D</v>
      </c>
      <c r="F7" s="161" t="str">
        <f t="shared" si="2"/>
        <v>12L</v>
      </c>
      <c r="G7" s="161" t="str">
        <f t="shared" si="3"/>
        <v>3L</v>
      </c>
      <c r="H7" s="200" t="str">
        <f t="shared" si="4"/>
        <v>USD12L3L5Y_Quote</v>
      </c>
      <c r="I7" s="100" t="str">
        <f t="shared" si="5"/>
        <v>UsdLiborSwapForBasisCalc5Y</v>
      </c>
      <c r="J7" s="199" t="str">
        <f t="shared" si="6"/>
        <v>USDAM3L5Y_S12L3L_Quote</v>
      </c>
      <c r="K7" s="199" t="e">
        <f>_xll.qlForwardSwapQuote(J7,I7,H7,E7,Permanent,Trigger,ObjectOverwrite)</f>
        <v>#NUM!</v>
      </c>
      <c r="L7" s="209" t="e">
        <f ca="1">_xll.ohRangeRetrieveError(K7)</f>
        <v>#NUM!</v>
      </c>
      <c r="M7" s="42"/>
      <c r="O7" s="76" t="s">
        <v>100</v>
      </c>
      <c r="P7" s="75" t="s">
        <v>184</v>
      </c>
      <c r="Q7" s="75" t="s">
        <v>103</v>
      </c>
      <c r="R7" s="75" t="s">
        <v>196</v>
      </c>
      <c r="S7" s="75" t="s">
        <v>116</v>
      </c>
      <c r="T7" s="74" t="s">
        <v>103</v>
      </c>
    </row>
    <row r="8" spans="1:20" x14ac:dyDescent="0.2">
      <c r="A8" s="116"/>
      <c r="B8" s="72" t="s">
        <v>83</v>
      </c>
      <c r="C8" s="161" t="str">
        <f t="shared" si="0"/>
        <v>AM</v>
      </c>
      <c r="D8" s="161" t="str">
        <f t="shared" si="1"/>
        <v>3L</v>
      </c>
      <c r="E8" s="161" t="str">
        <f t="shared" si="7"/>
        <v>0D</v>
      </c>
      <c r="F8" s="161" t="str">
        <f t="shared" si="2"/>
        <v>12L</v>
      </c>
      <c r="G8" s="161" t="str">
        <f t="shared" si="3"/>
        <v>3L</v>
      </c>
      <c r="H8" s="200" t="str">
        <f t="shared" si="4"/>
        <v>USD12L3L6Y_Quote</v>
      </c>
      <c r="I8" s="100" t="str">
        <f t="shared" si="5"/>
        <v>UsdLiborSwapForBasisCalc6Y</v>
      </c>
      <c r="J8" s="199" t="str">
        <f t="shared" si="6"/>
        <v>USDAM3L6Y_S12L3L_Quote</v>
      </c>
      <c r="K8" s="199" t="e">
        <f>_xll.qlForwardSwapQuote(J8,I8,H8,E8,Permanent,Trigger,ObjectOverwrite)</f>
        <v>#NUM!</v>
      </c>
      <c r="L8" s="209" t="e">
        <f ca="1">_xll.ohRangeRetrieveError(K8)</f>
        <v>#NUM!</v>
      </c>
      <c r="M8" s="42"/>
    </row>
    <row r="9" spans="1:20" x14ac:dyDescent="0.2">
      <c r="A9" s="116"/>
      <c r="B9" s="72" t="s">
        <v>82</v>
      </c>
      <c r="C9" s="161" t="str">
        <f t="shared" si="0"/>
        <v>AM</v>
      </c>
      <c r="D9" s="161" t="str">
        <f t="shared" si="1"/>
        <v>3L</v>
      </c>
      <c r="E9" s="161" t="str">
        <f t="shared" si="7"/>
        <v>0D</v>
      </c>
      <c r="F9" s="161" t="str">
        <f t="shared" si="2"/>
        <v>12L</v>
      </c>
      <c r="G9" s="161" t="str">
        <f t="shared" si="3"/>
        <v>3L</v>
      </c>
      <c r="H9" s="200" t="str">
        <f t="shared" si="4"/>
        <v>USD12L3L7Y_Quote</v>
      </c>
      <c r="I9" s="100" t="str">
        <f t="shared" si="5"/>
        <v>UsdLiborSwapForBasisCalc7Y</v>
      </c>
      <c r="J9" s="199" t="str">
        <f t="shared" si="6"/>
        <v>USDAM3L7Y_S12L3L_Quote</v>
      </c>
      <c r="K9" s="199" t="e">
        <f>_xll.qlForwardSwapQuote(J9,I9,H9,E9,Permanent,Trigger,ObjectOverwrite)</f>
        <v>#NUM!</v>
      </c>
      <c r="L9" s="209" t="e">
        <f ca="1">_xll.ohRangeRetrieveError(K9)</f>
        <v>#NUM!</v>
      </c>
      <c r="M9" s="42"/>
    </row>
    <row r="10" spans="1:20" x14ac:dyDescent="0.2">
      <c r="A10" s="116"/>
      <c r="B10" s="72" t="s">
        <v>81</v>
      </c>
      <c r="C10" s="161" t="str">
        <f t="shared" si="0"/>
        <v>AM</v>
      </c>
      <c r="D10" s="161" t="str">
        <f t="shared" si="1"/>
        <v>3L</v>
      </c>
      <c r="E10" s="161" t="str">
        <f t="shared" si="7"/>
        <v>0D</v>
      </c>
      <c r="F10" s="161" t="str">
        <f t="shared" si="2"/>
        <v>12L</v>
      </c>
      <c r="G10" s="161" t="str">
        <f t="shared" si="3"/>
        <v>3L</v>
      </c>
      <c r="H10" s="200" t="str">
        <f t="shared" si="4"/>
        <v>USD12L3L8Y_Quote</v>
      </c>
      <c r="I10" s="100" t="str">
        <f t="shared" si="5"/>
        <v>UsdLiborSwapForBasisCalc8Y</v>
      </c>
      <c r="J10" s="199" t="str">
        <f t="shared" si="6"/>
        <v>USDAM3L8Y_S12L3L_Quote</v>
      </c>
      <c r="K10" s="199" t="e">
        <f>_xll.qlForwardSwapQuote(J10,I10,H10,E10,Permanent,Trigger,ObjectOverwrite)</f>
        <v>#NUM!</v>
      </c>
      <c r="L10" s="209" t="e">
        <f ca="1">_xll.ohRangeRetrieveError(K10)</f>
        <v>#NUM!</v>
      </c>
      <c r="M10" s="42"/>
    </row>
    <row r="11" spans="1:20" x14ac:dyDescent="0.2">
      <c r="A11" s="116"/>
      <c r="B11" s="72" t="s">
        <v>80</v>
      </c>
      <c r="C11" s="161" t="str">
        <f t="shared" si="0"/>
        <v>AM</v>
      </c>
      <c r="D11" s="161" t="str">
        <f t="shared" si="1"/>
        <v>3L</v>
      </c>
      <c r="E11" s="161" t="str">
        <f t="shared" si="7"/>
        <v>0D</v>
      </c>
      <c r="F11" s="161" t="str">
        <f t="shared" si="2"/>
        <v>12L</v>
      </c>
      <c r="G11" s="161" t="str">
        <f t="shared" si="3"/>
        <v>3L</v>
      </c>
      <c r="H11" s="200" t="str">
        <f t="shared" si="4"/>
        <v>USD12L3L9Y_Quote</v>
      </c>
      <c r="I11" s="100" t="str">
        <f t="shared" si="5"/>
        <v>UsdLiborSwapForBasisCalc9Y</v>
      </c>
      <c r="J11" s="199" t="str">
        <f t="shared" si="6"/>
        <v>USDAM3L9Y_S12L3L_Quote</v>
      </c>
      <c r="K11" s="199" t="e">
        <f>_xll.qlForwardSwapQuote(J11,I11,H11,E11,Permanent,Trigger,ObjectOverwrite)</f>
        <v>#NUM!</v>
      </c>
      <c r="L11" s="209" t="e">
        <f ca="1">_xll.ohRangeRetrieveError(K11)</f>
        <v>#NUM!</v>
      </c>
      <c r="M11" s="42"/>
    </row>
    <row r="12" spans="1:20" x14ac:dyDescent="0.2">
      <c r="A12" s="116"/>
      <c r="B12" s="72" t="s">
        <v>79</v>
      </c>
      <c r="C12" s="161" t="str">
        <f t="shared" si="0"/>
        <v>AM</v>
      </c>
      <c r="D12" s="161" t="str">
        <f t="shared" si="1"/>
        <v>3L</v>
      </c>
      <c r="E12" s="161" t="str">
        <f t="shared" si="7"/>
        <v>0D</v>
      </c>
      <c r="F12" s="161" t="str">
        <f t="shared" si="2"/>
        <v>12L</v>
      </c>
      <c r="G12" s="161" t="str">
        <f t="shared" si="3"/>
        <v>3L</v>
      </c>
      <c r="H12" s="200" t="str">
        <f t="shared" si="4"/>
        <v>USD12L3L10Y_Quote</v>
      </c>
      <c r="I12" s="100" t="str">
        <f t="shared" si="5"/>
        <v>UsdLiborSwapForBasisCalc10Y</v>
      </c>
      <c r="J12" s="199" t="str">
        <f t="shared" si="6"/>
        <v>USDAM3L10Y_S12L3L_Quote</v>
      </c>
      <c r="K12" s="199" t="e">
        <f>_xll.qlForwardSwapQuote(J12,I12,H12,E12,Permanent,Trigger,ObjectOverwrite)</f>
        <v>#NUM!</v>
      </c>
      <c r="L12" s="209" t="e">
        <f ca="1">_xll.ohRangeRetrieveError(K12)</f>
        <v>#NUM!</v>
      </c>
      <c r="M12" s="42"/>
    </row>
    <row r="13" spans="1:20" x14ac:dyDescent="0.2">
      <c r="A13" s="116"/>
      <c r="B13" s="72" t="s">
        <v>78</v>
      </c>
      <c r="C13" s="161" t="str">
        <f t="shared" si="0"/>
        <v>AM</v>
      </c>
      <c r="D13" s="161" t="str">
        <f t="shared" si="1"/>
        <v>3L</v>
      </c>
      <c r="E13" s="161" t="str">
        <f t="shared" si="7"/>
        <v>0D</v>
      </c>
      <c r="F13" s="161" t="str">
        <f t="shared" si="2"/>
        <v>12L</v>
      </c>
      <c r="G13" s="161" t="str">
        <f t="shared" si="3"/>
        <v>3L</v>
      </c>
      <c r="H13" s="200" t="str">
        <f t="shared" si="4"/>
        <v>USD12L3L11Y_Quote</v>
      </c>
      <c r="I13" s="100" t="str">
        <f t="shared" si="5"/>
        <v>UsdLiborSwapForBasisCalc11Y</v>
      </c>
      <c r="J13" s="199" t="str">
        <f t="shared" si="6"/>
        <v>USDAM3L11Y_S12L3L_Quote</v>
      </c>
      <c r="K13" s="199" t="e">
        <f>_xll.qlForwardSwapQuote(J13,I13,H13,E13,Permanent,Trigger,ObjectOverwrite)</f>
        <v>#NUM!</v>
      </c>
      <c r="L13" s="209" t="e">
        <f ca="1">_xll.ohRangeRetrieveError(K13)</f>
        <v>#NUM!</v>
      </c>
      <c r="M13" s="42"/>
    </row>
    <row r="14" spans="1:20" x14ac:dyDescent="0.2">
      <c r="A14" s="116"/>
      <c r="B14" s="72" t="s">
        <v>77</v>
      </c>
      <c r="C14" s="161" t="str">
        <f t="shared" si="0"/>
        <v>AM</v>
      </c>
      <c r="D14" s="161" t="str">
        <f t="shared" si="1"/>
        <v>3L</v>
      </c>
      <c r="E14" s="161" t="str">
        <f t="shared" si="7"/>
        <v>0D</v>
      </c>
      <c r="F14" s="161" t="str">
        <f t="shared" si="2"/>
        <v>12L</v>
      </c>
      <c r="G14" s="161" t="str">
        <f t="shared" si="3"/>
        <v>3L</v>
      </c>
      <c r="H14" s="200" t="str">
        <f t="shared" si="4"/>
        <v>USD12L3L12Y_Quote</v>
      </c>
      <c r="I14" s="100" t="str">
        <f t="shared" si="5"/>
        <v>UsdLiborSwapForBasisCalc12Y</v>
      </c>
      <c r="J14" s="199" t="str">
        <f t="shared" si="6"/>
        <v>USDAM3L12Y_S12L3L_Quote</v>
      </c>
      <c r="K14" s="199" t="e">
        <f>_xll.qlForwardSwapQuote(J14,I14,H14,E14,Permanent,Trigger,ObjectOverwrite)</f>
        <v>#NUM!</v>
      </c>
      <c r="L14" s="209" t="e">
        <f ca="1">_xll.ohRangeRetrieveError(K14)</f>
        <v>#NUM!</v>
      </c>
      <c r="M14" s="42"/>
    </row>
    <row r="15" spans="1:20" x14ac:dyDescent="0.2">
      <c r="A15" s="116"/>
      <c r="B15" s="72" t="s">
        <v>76</v>
      </c>
      <c r="C15" s="161" t="str">
        <f t="shared" si="0"/>
        <v>AM</v>
      </c>
      <c r="D15" s="161" t="str">
        <f t="shared" si="1"/>
        <v>3L</v>
      </c>
      <c r="E15" s="161" t="str">
        <f t="shared" si="7"/>
        <v>0D</v>
      </c>
      <c r="F15" s="161" t="str">
        <f t="shared" si="2"/>
        <v>12L</v>
      </c>
      <c r="G15" s="161" t="str">
        <f t="shared" si="3"/>
        <v>3L</v>
      </c>
      <c r="H15" s="200" t="str">
        <f t="shared" si="4"/>
        <v>USD12L3L13Y_Quote</v>
      </c>
      <c r="I15" s="100" t="str">
        <f t="shared" si="5"/>
        <v>UsdLiborSwapForBasisCalc13Y</v>
      </c>
      <c r="J15" s="199" t="str">
        <f t="shared" si="6"/>
        <v>USDAM3L13Y_S12L3L_Quote</v>
      </c>
      <c r="K15" s="199" t="e">
        <f>_xll.qlForwardSwapQuote(J15,I15,H15,E15,Permanent,Trigger,ObjectOverwrite)</f>
        <v>#NUM!</v>
      </c>
      <c r="L15" s="209" t="e">
        <f ca="1">_xll.ohRangeRetrieveError(K15)</f>
        <v>#NUM!</v>
      </c>
      <c r="M15" s="42"/>
    </row>
    <row r="16" spans="1:20" x14ac:dyDescent="0.2">
      <c r="A16" s="116"/>
      <c r="B16" s="72" t="s">
        <v>75</v>
      </c>
      <c r="C16" s="161" t="str">
        <f t="shared" si="0"/>
        <v>AM</v>
      </c>
      <c r="D16" s="161" t="str">
        <f t="shared" si="1"/>
        <v>3L</v>
      </c>
      <c r="E16" s="161" t="str">
        <f t="shared" si="7"/>
        <v>0D</v>
      </c>
      <c r="F16" s="161" t="str">
        <f t="shared" si="2"/>
        <v>12L</v>
      </c>
      <c r="G16" s="161" t="str">
        <f t="shared" si="3"/>
        <v>3L</v>
      </c>
      <c r="H16" s="200" t="str">
        <f t="shared" si="4"/>
        <v>USD12L3L14Y_Quote</v>
      </c>
      <c r="I16" s="100" t="str">
        <f t="shared" si="5"/>
        <v>UsdLiborSwapForBasisCalc14Y</v>
      </c>
      <c r="J16" s="199" t="str">
        <f t="shared" si="6"/>
        <v>USDAM3L14Y_S12L3L_Quote</v>
      </c>
      <c r="K16" s="199" t="e">
        <f>_xll.qlForwardSwapQuote(J16,I16,H16,E16,Permanent,Trigger,ObjectOverwrite)</f>
        <v>#NUM!</v>
      </c>
      <c r="L16" s="209" t="e">
        <f ca="1">_xll.ohRangeRetrieveError(K16)</f>
        <v>#NUM!</v>
      </c>
      <c r="M16" s="42"/>
    </row>
    <row r="17" spans="1:13" x14ac:dyDescent="0.2">
      <c r="A17" s="116"/>
      <c r="B17" s="72" t="s">
        <v>74</v>
      </c>
      <c r="C17" s="161" t="str">
        <f t="shared" si="0"/>
        <v>AM</v>
      </c>
      <c r="D17" s="161" t="str">
        <f t="shared" si="1"/>
        <v>3L</v>
      </c>
      <c r="E17" s="161" t="str">
        <f t="shared" si="7"/>
        <v>0D</v>
      </c>
      <c r="F17" s="161" t="str">
        <f t="shared" si="2"/>
        <v>12L</v>
      </c>
      <c r="G17" s="161" t="str">
        <f t="shared" si="3"/>
        <v>3L</v>
      </c>
      <c r="H17" s="200" t="str">
        <f t="shared" si="4"/>
        <v>USD12L3L15Y_Quote</v>
      </c>
      <c r="I17" s="100" t="str">
        <f t="shared" si="5"/>
        <v>UsdLiborSwapForBasisCalc15Y</v>
      </c>
      <c r="J17" s="199" t="str">
        <f t="shared" si="6"/>
        <v>USDAM3L15Y_S12L3L_Quote</v>
      </c>
      <c r="K17" s="199" t="e">
        <f>_xll.qlForwardSwapQuote(J17,I17,H17,E17,Permanent,Trigger,ObjectOverwrite)</f>
        <v>#NUM!</v>
      </c>
      <c r="L17" s="209" t="e">
        <f ca="1">_xll.ohRangeRetrieveError(K17)</f>
        <v>#NUM!</v>
      </c>
      <c r="M17" s="42"/>
    </row>
    <row r="18" spans="1:13" x14ac:dyDescent="0.2">
      <c r="A18" s="116"/>
      <c r="B18" s="72" t="s">
        <v>73</v>
      </c>
      <c r="C18" s="161" t="str">
        <f t="shared" si="0"/>
        <v>AM</v>
      </c>
      <c r="D18" s="161" t="str">
        <f t="shared" si="1"/>
        <v>3L</v>
      </c>
      <c r="E18" s="161" t="str">
        <f t="shared" si="7"/>
        <v>0D</v>
      </c>
      <c r="F18" s="161" t="str">
        <f t="shared" si="2"/>
        <v>12L</v>
      </c>
      <c r="G18" s="161" t="str">
        <f t="shared" si="3"/>
        <v>3L</v>
      </c>
      <c r="H18" s="200" t="str">
        <f t="shared" si="4"/>
        <v>USD12L3L16Y_Quote</v>
      </c>
      <c r="I18" s="100" t="str">
        <f t="shared" si="5"/>
        <v>UsdLiborSwapForBasisCalc16Y</v>
      </c>
      <c r="J18" s="199" t="str">
        <f t="shared" si="6"/>
        <v>USDAM3L16Y_S12L3L_Quote</v>
      </c>
      <c r="K18" s="199" t="e">
        <f>_xll.qlForwardSwapQuote(J18,I18,H18,E18,Permanent,Trigger,ObjectOverwrite)</f>
        <v>#NUM!</v>
      </c>
      <c r="L18" s="209" t="e">
        <f ca="1">_xll.ohRangeRetrieveError(K18)</f>
        <v>#NUM!</v>
      </c>
      <c r="M18" s="42"/>
    </row>
    <row r="19" spans="1:13" x14ac:dyDescent="0.2">
      <c r="A19" s="116"/>
      <c r="B19" s="72" t="s">
        <v>72</v>
      </c>
      <c r="C19" s="161" t="str">
        <f t="shared" si="0"/>
        <v>AM</v>
      </c>
      <c r="D19" s="161" t="str">
        <f t="shared" si="1"/>
        <v>3L</v>
      </c>
      <c r="E19" s="161" t="str">
        <f t="shared" si="7"/>
        <v>0D</v>
      </c>
      <c r="F19" s="161" t="str">
        <f t="shared" si="2"/>
        <v>12L</v>
      </c>
      <c r="G19" s="161" t="str">
        <f t="shared" si="3"/>
        <v>3L</v>
      </c>
      <c r="H19" s="200" t="str">
        <f t="shared" si="4"/>
        <v>USD12L3L17Y_Quote</v>
      </c>
      <c r="I19" s="100" t="str">
        <f t="shared" si="5"/>
        <v>UsdLiborSwapForBasisCalc17Y</v>
      </c>
      <c r="J19" s="199" t="str">
        <f t="shared" si="6"/>
        <v>USDAM3L17Y_S12L3L_Quote</v>
      </c>
      <c r="K19" s="199" t="e">
        <f>_xll.qlForwardSwapQuote(J19,I19,H19,E19,Permanent,Trigger,ObjectOverwrite)</f>
        <v>#NUM!</v>
      </c>
      <c r="L19" s="209" t="e">
        <f ca="1">_xll.ohRangeRetrieveError(K19)</f>
        <v>#NUM!</v>
      </c>
      <c r="M19" s="42"/>
    </row>
    <row r="20" spans="1:13" x14ac:dyDescent="0.2">
      <c r="A20" s="116"/>
      <c r="B20" s="72" t="s">
        <v>71</v>
      </c>
      <c r="C20" s="161" t="str">
        <f t="shared" si="0"/>
        <v>AM</v>
      </c>
      <c r="D20" s="161" t="str">
        <f t="shared" si="1"/>
        <v>3L</v>
      </c>
      <c r="E20" s="161" t="str">
        <f t="shared" si="7"/>
        <v>0D</v>
      </c>
      <c r="F20" s="161" t="str">
        <f t="shared" si="2"/>
        <v>12L</v>
      </c>
      <c r="G20" s="161" t="str">
        <f t="shared" si="3"/>
        <v>3L</v>
      </c>
      <c r="H20" s="200" t="str">
        <f t="shared" si="4"/>
        <v>USD12L3L18Y_Quote</v>
      </c>
      <c r="I20" s="100" t="str">
        <f t="shared" si="5"/>
        <v>UsdLiborSwapForBasisCalc18Y</v>
      </c>
      <c r="J20" s="199" t="str">
        <f t="shared" si="6"/>
        <v>USDAM3L18Y_S12L3L_Quote</v>
      </c>
      <c r="K20" s="199" t="e">
        <f>_xll.qlForwardSwapQuote(J20,I20,H20,E20,Permanent,Trigger,ObjectOverwrite)</f>
        <v>#NUM!</v>
      </c>
      <c r="L20" s="209" t="e">
        <f ca="1">_xll.ohRangeRetrieveError(K20)</f>
        <v>#NUM!</v>
      </c>
      <c r="M20" s="42"/>
    </row>
    <row r="21" spans="1:13" x14ac:dyDescent="0.2">
      <c r="A21" s="116"/>
      <c r="B21" s="72" t="s">
        <v>70</v>
      </c>
      <c r="C21" s="161" t="str">
        <f t="shared" si="0"/>
        <v>AM</v>
      </c>
      <c r="D21" s="161" t="str">
        <f t="shared" si="1"/>
        <v>3L</v>
      </c>
      <c r="E21" s="161" t="str">
        <f t="shared" si="7"/>
        <v>0D</v>
      </c>
      <c r="F21" s="161" t="str">
        <f t="shared" si="2"/>
        <v>12L</v>
      </c>
      <c r="G21" s="161" t="str">
        <f t="shared" si="3"/>
        <v>3L</v>
      </c>
      <c r="H21" s="200" t="str">
        <f t="shared" si="4"/>
        <v>USD12L3L19Y_Quote</v>
      </c>
      <c r="I21" s="100" t="str">
        <f t="shared" si="5"/>
        <v>UsdLiborSwapForBasisCalc19Y</v>
      </c>
      <c r="J21" s="199" t="str">
        <f t="shared" si="6"/>
        <v>USDAM3L19Y_S12L3L_Quote</v>
      </c>
      <c r="K21" s="199" t="e">
        <f>_xll.qlForwardSwapQuote(J21,I21,H21,E21,Permanent,Trigger,ObjectOverwrite)</f>
        <v>#NUM!</v>
      </c>
      <c r="L21" s="209" t="e">
        <f ca="1">_xll.ohRangeRetrieveError(K21)</f>
        <v>#NUM!</v>
      </c>
      <c r="M21" s="42"/>
    </row>
    <row r="22" spans="1:13" x14ac:dyDescent="0.2">
      <c r="A22" s="116"/>
      <c r="B22" s="72" t="s">
        <v>69</v>
      </c>
      <c r="C22" s="161" t="str">
        <f t="shared" si="0"/>
        <v>AM</v>
      </c>
      <c r="D22" s="161" t="str">
        <f t="shared" si="1"/>
        <v>3L</v>
      </c>
      <c r="E22" s="161" t="str">
        <f t="shared" si="7"/>
        <v>0D</v>
      </c>
      <c r="F22" s="161" t="str">
        <f t="shared" si="2"/>
        <v>12L</v>
      </c>
      <c r="G22" s="161" t="str">
        <f t="shared" si="3"/>
        <v>3L</v>
      </c>
      <c r="H22" s="200" t="str">
        <f t="shared" si="4"/>
        <v>USD12L3L20Y_Quote</v>
      </c>
      <c r="I22" s="100" t="str">
        <f t="shared" si="5"/>
        <v>UsdLiborSwapForBasisCalc20Y</v>
      </c>
      <c r="J22" s="199" t="str">
        <f t="shared" si="6"/>
        <v>USDAM3L20Y_S12L3L_Quote</v>
      </c>
      <c r="K22" s="199" t="e">
        <f>_xll.qlForwardSwapQuote(J22,I22,H22,E22,Permanent,Trigger,ObjectOverwrite)</f>
        <v>#NUM!</v>
      </c>
      <c r="L22" s="209" t="e">
        <f ca="1">_xll.ohRangeRetrieveError(K22)</f>
        <v>#NUM!</v>
      </c>
      <c r="M22" s="42"/>
    </row>
    <row r="23" spans="1:13" x14ac:dyDescent="0.2">
      <c r="A23" s="116"/>
      <c r="B23" s="72" t="s">
        <v>68</v>
      </c>
      <c r="C23" s="161" t="str">
        <f t="shared" si="0"/>
        <v>AM</v>
      </c>
      <c r="D23" s="161" t="str">
        <f t="shared" si="1"/>
        <v>3L</v>
      </c>
      <c r="E23" s="161" t="str">
        <f t="shared" si="7"/>
        <v>0D</v>
      </c>
      <c r="F23" s="161" t="str">
        <f t="shared" si="2"/>
        <v>12L</v>
      </c>
      <c r="G23" s="161" t="str">
        <f t="shared" si="3"/>
        <v>3L</v>
      </c>
      <c r="H23" s="200" t="str">
        <f t="shared" si="4"/>
        <v>USD12L3L21Y_Quote</v>
      </c>
      <c r="I23" s="100" t="str">
        <f t="shared" si="5"/>
        <v>UsdLiborSwapForBasisCalc21Y</v>
      </c>
      <c r="J23" s="199" t="str">
        <f t="shared" si="6"/>
        <v>USDAM3L21Y_S12L3L_Quote</v>
      </c>
      <c r="K23" s="199" t="e">
        <f>_xll.qlForwardSwapQuote(J23,I23,H23,E23,Permanent,Trigger,ObjectOverwrite)</f>
        <v>#NUM!</v>
      </c>
      <c r="L23" s="209" t="e">
        <f ca="1">_xll.ohRangeRetrieveError(K23)</f>
        <v>#NUM!</v>
      </c>
      <c r="M23" s="42"/>
    </row>
    <row r="24" spans="1:13" x14ac:dyDescent="0.2">
      <c r="A24" s="116"/>
      <c r="B24" s="72" t="s">
        <v>67</v>
      </c>
      <c r="C24" s="161" t="str">
        <f t="shared" si="0"/>
        <v>AM</v>
      </c>
      <c r="D24" s="161" t="str">
        <f t="shared" si="1"/>
        <v>3L</v>
      </c>
      <c r="E24" s="161" t="str">
        <f t="shared" si="7"/>
        <v>0D</v>
      </c>
      <c r="F24" s="161" t="str">
        <f t="shared" si="2"/>
        <v>12L</v>
      </c>
      <c r="G24" s="161" t="str">
        <f t="shared" si="3"/>
        <v>3L</v>
      </c>
      <c r="H24" s="200" t="str">
        <f t="shared" si="4"/>
        <v>USD12L3L22Y_Quote</v>
      </c>
      <c r="I24" s="100" t="str">
        <f t="shared" si="5"/>
        <v>UsdLiborSwapForBasisCalc22Y</v>
      </c>
      <c r="J24" s="199" t="str">
        <f t="shared" si="6"/>
        <v>USDAM3L22Y_S12L3L_Quote</v>
      </c>
      <c r="K24" s="199" t="e">
        <f>_xll.qlForwardSwapQuote(J24,I24,H24,E24,Permanent,Trigger,ObjectOverwrite)</f>
        <v>#NUM!</v>
      </c>
      <c r="L24" s="209" t="e">
        <f ca="1">_xll.ohRangeRetrieveError(K24)</f>
        <v>#NUM!</v>
      </c>
      <c r="M24" s="42"/>
    </row>
    <row r="25" spans="1:13" x14ac:dyDescent="0.2">
      <c r="A25" s="116"/>
      <c r="B25" s="72" t="s">
        <v>66</v>
      </c>
      <c r="C25" s="161" t="str">
        <f t="shared" si="0"/>
        <v>AM</v>
      </c>
      <c r="D25" s="161" t="str">
        <f t="shared" si="1"/>
        <v>3L</v>
      </c>
      <c r="E25" s="161" t="str">
        <f t="shared" si="7"/>
        <v>0D</v>
      </c>
      <c r="F25" s="161" t="str">
        <f t="shared" si="2"/>
        <v>12L</v>
      </c>
      <c r="G25" s="161" t="str">
        <f t="shared" si="3"/>
        <v>3L</v>
      </c>
      <c r="H25" s="200" t="str">
        <f t="shared" si="4"/>
        <v>USD12L3L23Y_Quote</v>
      </c>
      <c r="I25" s="100" t="str">
        <f t="shared" si="5"/>
        <v>UsdLiborSwapForBasisCalc23Y</v>
      </c>
      <c r="J25" s="199" t="str">
        <f t="shared" si="6"/>
        <v>USDAM3L23Y_S12L3L_Quote</v>
      </c>
      <c r="K25" s="199" t="e">
        <f>_xll.qlForwardSwapQuote(J25,I25,H25,E25,Permanent,Trigger,ObjectOverwrite)</f>
        <v>#NUM!</v>
      </c>
      <c r="L25" s="209" t="e">
        <f ca="1">_xll.ohRangeRetrieveError(K25)</f>
        <v>#NUM!</v>
      </c>
      <c r="M25" s="42"/>
    </row>
    <row r="26" spans="1:13" x14ac:dyDescent="0.2">
      <c r="A26" s="116"/>
      <c r="B26" s="72" t="s">
        <v>65</v>
      </c>
      <c r="C26" s="161" t="str">
        <f t="shared" si="0"/>
        <v>AM</v>
      </c>
      <c r="D26" s="161" t="str">
        <f t="shared" si="1"/>
        <v>3L</v>
      </c>
      <c r="E26" s="161" t="str">
        <f t="shared" si="7"/>
        <v>0D</v>
      </c>
      <c r="F26" s="161" t="str">
        <f t="shared" si="2"/>
        <v>12L</v>
      </c>
      <c r="G26" s="161" t="str">
        <f t="shared" si="3"/>
        <v>3L</v>
      </c>
      <c r="H26" s="200" t="str">
        <f t="shared" si="4"/>
        <v>USD12L3L24Y_Quote</v>
      </c>
      <c r="I26" s="100" t="str">
        <f t="shared" si="5"/>
        <v>UsdLiborSwapForBasisCalc24Y</v>
      </c>
      <c r="J26" s="199" t="str">
        <f t="shared" si="6"/>
        <v>USDAM3L24Y_S12L3L_Quote</v>
      </c>
      <c r="K26" s="199" t="e">
        <f>_xll.qlForwardSwapQuote(J26,I26,H26,E26,Permanent,Trigger,ObjectOverwrite)</f>
        <v>#NUM!</v>
      </c>
      <c r="L26" s="209" t="e">
        <f ca="1">_xll.ohRangeRetrieveError(K26)</f>
        <v>#NUM!</v>
      </c>
      <c r="M26" s="42"/>
    </row>
    <row r="27" spans="1:13" x14ac:dyDescent="0.2">
      <c r="A27" s="116"/>
      <c r="B27" s="72" t="s">
        <v>64</v>
      </c>
      <c r="C27" s="161" t="str">
        <f t="shared" si="0"/>
        <v>AM</v>
      </c>
      <c r="D27" s="161" t="str">
        <f t="shared" si="1"/>
        <v>3L</v>
      </c>
      <c r="E27" s="161" t="str">
        <f t="shared" si="7"/>
        <v>0D</v>
      </c>
      <c r="F27" s="161" t="str">
        <f t="shared" si="2"/>
        <v>12L</v>
      </c>
      <c r="G27" s="161" t="str">
        <f t="shared" si="3"/>
        <v>3L</v>
      </c>
      <c r="H27" s="200" t="str">
        <f t="shared" si="4"/>
        <v>USD12L3L25Y_Quote</v>
      </c>
      <c r="I27" s="100" t="str">
        <f t="shared" si="5"/>
        <v>UsdLiborSwapForBasisCalc25Y</v>
      </c>
      <c r="J27" s="199" t="str">
        <f t="shared" si="6"/>
        <v>USDAM3L25Y_S12L3L_Quote</v>
      </c>
      <c r="K27" s="199" t="e">
        <f>_xll.qlForwardSwapQuote(J27,I27,H27,E27,Permanent,Trigger,ObjectOverwrite)</f>
        <v>#NUM!</v>
      </c>
      <c r="L27" s="209" t="e">
        <f ca="1">_xll.ohRangeRetrieveError(K27)</f>
        <v>#NUM!</v>
      </c>
      <c r="M27" s="42"/>
    </row>
    <row r="28" spans="1:13" x14ac:dyDescent="0.2">
      <c r="A28" s="116"/>
      <c r="B28" s="72" t="s">
        <v>63</v>
      </c>
      <c r="C28" s="161" t="str">
        <f t="shared" si="0"/>
        <v>AM</v>
      </c>
      <c r="D28" s="161" t="str">
        <f t="shared" si="1"/>
        <v>3L</v>
      </c>
      <c r="E28" s="161" t="str">
        <f t="shared" si="7"/>
        <v>0D</v>
      </c>
      <c r="F28" s="161" t="str">
        <f t="shared" si="2"/>
        <v>12L</v>
      </c>
      <c r="G28" s="161" t="str">
        <f t="shared" si="3"/>
        <v>3L</v>
      </c>
      <c r="H28" s="200" t="str">
        <f t="shared" si="4"/>
        <v>USD12L3L26Y_Quote</v>
      </c>
      <c r="I28" s="100" t="str">
        <f t="shared" si="5"/>
        <v>UsdLiborSwapForBasisCalc26Y</v>
      </c>
      <c r="J28" s="199" t="str">
        <f t="shared" si="6"/>
        <v>USDAM3L26Y_S12L3L_Quote</v>
      </c>
      <c r="K28" s="199" t="e">
        <f>_xll.qlForwardSwapQuote(J28,I28,H28,E28,Permanent,Trigger,ObjectOverwrite)</f>
        <v>#NUM!</v>
      </c>
      <c r="L28" s="209" t="e">
        <f ca="1">_xll.ohRangeRetrieveError(K28)</f>
        <v>#NUM!</v>
      </c>
      <c r="M28" s="42"/>
    </row>
    <row r="29" spans="1:13" x14ac:dyDescent="0.2">
      <c r="A29" s="116"/>
      <c r="B29" s="72" t="s">
        <v>62</v>
      </c>
      <c r="C29" s="161" t="str">
        <f t="shared" si="0"/>
        <v>AM</v>
      </c>
      <c r="D29" s="161" t="str">
        <f t="shared" si="1"/>
        <v>3L</v>
      </c>
      <c r="E29" s="161" t="str">
        <f t="shared" si="7"/>
        <v>0D</v>
      </c>
      <c r="F29" s="161" t="str">
        <f t="shared" si="2"/>
        <v>12L</v>
      </c>
      <c r="G29" s="161" t="str">
        <f t="shared" si="3"/>
        <v>3L</v>
      </c>
      <c r="H29" s="200" t="str">
        <f t="shared" si="4"/>
        <v>USD12L3L27Y_Quote</v>
      </c>
      <c r="I29" s="100" t="str">
        <f t="shared" si="5"/>
        <v>UsdLiborSwapForBasisCalc27Y</v>
      </c>
      <c r="J29" s="199" t="str">
        <f t="shared" si="6"/>
        <v>USDAM3L27Y_S12L3L_Quote</v>
      </c>
      <c r="K29" s="199" t="e">
        <f>_xll.qlForwardSwapQuote(J29,I29,H29,E29,Permanent,Trigger,ObjectOverwrite)</f>
        <v>#NUM!</v>
      </c>
      <c r="L29" s="209" t="e">
        <f ca="1">_xll.ohRangeRetrieveError(K29)</f>
        <v>#NUM!</v>
      </c>
      <c r="M29" s="42"/>
    </row>
    <row r="30" spans="1:13" x14ac:dyDescent="0.2">
      <c r="A30" s="116"/>
      <c r="B30" s="72" t="s">
        <v>61</v>
      </c>
      <c r="C30" s="161" t="str">
        <f t="shared" si="0"/>
        <v>AM</v>
      </c>
      <c r="D30" s="161" t="str">
        <f t="shared" si="1"/>
        <v>3L</v>
      </c>
      <c r="E30" s="161" t="str">
        <f t="shared" si="7"/>
        <v>0D</v>
      </c>
      <c r="F30" s="161" t="str">
        <f t="shared" si="2"/>
        <v>12L</v>
      </c>
      <c r="G30" s="161" t="str">
        <f t="shared" si="3"/>
        <v>3L</v>
      </c>
      <c r="H30" s="200" t="str">
        <f t="shared" si="4"/>
        <v>USD12L3L28Y_Quote</v>
      </c>
      <c r="I30" s="100" t="str">
        <f t="shared" si="5"/>
        <v>UsdLiborSwapForBasisCalc28Y</v>
      </c>
      <c r="J30" s="199" t="str">
        <f t="shared" si="6"/>
        <v>USDAM3L28Y_S12L3L_Quote</v>
      </c>
      <c r="K30" s="199" t="e">
        <f>_xll.qlForwardSwapQuote(J30,I30,H30,E30,Permanent,Trigger,ObjectOverwrite)</f>
        <v>#NUM!</v>
      </c>
      <c r="L30" s="209" t="e">
        <f ca="1">_xll.ohRangeRetrieveError(K30)</f>
        <v>#NUM!</v>
      </c>
      <c r="M30" s="42"/>
    </row>
    <row r="31" spans="1:13" x14ac:dyDescent="0.2">
      <c r="A31" s="116"/>
      <c r="B31" s="72" t="s">
        <v>60</v>
      </c>
      <c r="C31" s="161" t="str">
        <f t="shared" si="0"/>
        <v>AM</v>
      </c>
      <c r="D31" s="161" t="str">
        <f t="shared" si="1"/>
        <v>3L</v>
      </c>
      <c r="E31" s="161" t="str">
        <f t="shared" si="7"/>
        <v>0D</v>
      </c>
      <c r="F31" s="161" t="str">
        <f t="shared" si="2"/>
        <v>12L</v>
      </c>
      <c r="G31" s="161" t="str">
        <f t="shared" si="3"/>
        <v>3L</v>
      </c>
      <c r="H31" s="200" t="str">
        <f t="shared" si="4"/>
        <v>USD12L3L29Y_Quote</v>
      </c>
      <c r="I31" s="100" t="str">
        <f t="shared" si="5"/>
        <v>UsdLiborSwapForBasisCalc29Y</v>
      </c>
      <c r="J31" s="199" t="str">
        <f t="shared" si="6"/>
        <v>USDAM3L29Y_S12L3L_Quote</v>
      </c>
      <c r="K31" s="199" t="e">
        <f>_xll.qlForwardSwapQuote(J31,I31,H31,E31,Permanent,Trigger,ObjectOverwrite)</f>
        <v>#NUM!</v>
      </c>
      <c r="L31" s="209" t="e">
        <f ca="1">_xll.ohRangeRetrieveError(K31)</f>
        <v>#NUM!</v>
      </c>
      <c r="M31" s="42"/>
    </row>
    <row r="32" spans="1:13" x14ac:dyDescent="0.2">
      <c r="A32" s="116"/>
      <c r="B32" s="72" t="s">
        <v>59</v>
      </c>
      <c r="C32" s="161" t="str">
        <f t="shared" si="0"/>
        <v>AM</v>
      </c>
      <c r="D32" s="161" t="str">
        <f t="shared" si="1"/>
        <v>3L</v>
      </c>
      <c r="E32" s="161" t="str">
        <f t="shared" si="7"/>
        <v>0D</v>
      </c>
      <c r="F32" s="161" t="str">
        <f t="shared" si="2"/>
        <v>12L</v>
      </c>
      <c r="G32" s="161" t="str">
        <f t="shared" si="3"/>
        <v>3L</v>
      </c>
      <c r="H32" s="200" t="str">
        <f t="shared" si="4"/>
        <v>USD12L3L30Y_Quote</v>
      </c>
      <c r="I32" s="100" t="str">
        <f t="shared" si="5"/>
        <v>UsdLiborSwapForBasisCalc30Y</v>
      </c>
      <c r="J32" s="199" t="str">
        <f t="shared" si="6"/>
        <v>USDAM3L30Y_S12L3L_Quote</v>
      </c>
      <c r="K32" s="199" t="e">
        <f>_xll.qlForwardSwapQuote(J32,I32,H32,E32,Permanent,Trigger,ObjectOverwrite)</f>
        <v>#NUM!</v>
      </c>
      <c r="L32" s="209" t="e">
        <f ca="1">_xll.ohRangeRetrieveError(K32)</f>
        <v>#NUM!</v>
      </c>
      <c r="M32" s="42"/>
    </row>
    <row r="33" spans="1:13" x14ac:dyDescent="0.2">
      <c r="A33" s="116"/>
      <c r="B33" s="72" t="s">
        <v>54</v>
      </c>
      <c r="C33" s="161" t="str">
        <f t="shared" si="0"/>
        <v>AM</v>
      </c>
      <c r="D33" s="161" t="str">
        <f t="shared" si="1"/>
        <v>3L</v>
      </c>
      <c r="E33" s="161" t="str">
        <f t="shared" si="7"/>
        <v>0D</v>
      </c>
      <c r="F33" s="161" t="str">
        <f t="shared" si="2"/>
        <v>12L</v>
      </c>
      <c r="G33" s="161" t="str">
        <f t="shared" si="3"/>
        <v>3L</v>
      </c>
      <c r="H33" s="200" t="str">
        <f t="shared" si="4"/>
        <v>USD12L3L35Y_Quote</v>
      </c>
      <c r="I33" s="100" t="str">
        <f t="shared" si="5"/>
        <v>UsdLiborSwapForBasisCalc35Y</v>
      </c>
      <c r="J33" s="199" t="str">
        <f t="shared" si="6"/>
        <v>USDAM3L35Y_S12L3L_Quote</v>
      </c>
      <c r="K33" s="199" t="e">
        <f>_xll.qlForwardSwapQuote(J33,I33,H33,E33,Permanent,Trigger,ObjectOverwrite)</f>
        <v>#NUM!</v>
      </c>
      <c r="L33" s="209" t="e">
        <f ca="1">_xll.ohRangeRetrieveError(K33)</f>
        <v>#NUM!</v>
      </c>
      <c r="M33" s="42"/>
    </row>
    <row r="34" spans="1:13" x14ac:dyDescent="0.2">
      <c r="A34" s="116"/>
      <c r="B34" s="72" t="s">
        <v>49</v>
      </c>
      <c r="C34" s="161" t="str">
        <f t="shared" si="0"/>
        <v>AM</v>
      </c>
      <c r="D34" s="161" t="str">
        <f t="shared" si="1"/>
        <v>3L</v>
      </c>
      <c r="E34" s="161" t="str">
        <f t="shared" si="7"/>
        <v>0D</v>
      </c>
      <c r="F34" s="161" t="str">
        <f t="shared" si="2"/>
        <v>12L</v>
      </c>
      <c r="G34" s="161" t="str">
        <f t="shared" si="3"/>
        <v>3L</v>
      </c>
      <c r="H34" s="200" t="str">
        <f t="shared" si="4"/>
        <v>USD12L3L40Y_Quote</v>
      </c>
      <c r="I34" s="100" t="str">
        <f t="shared" si="5"/>
        <v>UsdLiborSwapForBasisCalc40Y</v>
      </c>
      <c r="J34" s="199" t="str">
        <f t="shared" si="6"/>
        <v>USDAM3L40Y_S12L3L_Quote</v>
      </c>
      <c r="K34" s="199" t="e">
        <f>_xll.qlForwardSwapQuote(J34,I34,H34,E34,Permanent,Trigger,ObjectOverwrite)</f>
        <v>#NUM!</v>
      </c>
      <c r="L34" s="209" t="e">
        <f ca="1">_xll.ohRangeRetrieveError(K34)</f>
        <v>#NUM!</v>
      </c>
      <c r="M34" s="42"/>
    </row>
    <row r="35" spans="1:13" x14ac:dyDescent="0.2">
      <c r="A35" s="116"/>
      <c r="B35" s="72" t="s">
        <v>39</v>
      </c>
      <c r="C35" s="161" t="str">
        <f t="shared" si="0"/>
        <v>AM</v>
      </c>
      <c r="D35" s="161" t="str">
        <f t="shared" si="1"/>
        <v>3L</v>
      </c>
      <c r="E35" s="161" t="str">
        <f t="shared" si="7"/>
        <v>0D</v>
      </c>
      <c r="F35" s="161" t="str">
        <f t="shared" si="2"/>
        <v>12L</v>
      </c>
      <c r="G35" s="161" t="str">
        <f t="shared" si="3"/>
        <v>3L</v>
      </c>
      <c r="H35" s="200" t="str">
        <f t="shared" si="4"/>
        <v>USD12L3L50Y_Quote</v>
      </c>
      <c r="I35" s="100" t="str">
        <f t="shared" si="5"/>
        <v>UsdLiborSwapForBasisCalc50Y</v>
      </c>
      <c r="J35" s="199" t="str">
        <f t="shared" si="6"/>
        <v>USDAM3L50Y_S12L3L_Quote</v>
      </c>
      <c r="K35" s="199" t="e">
        <f>_xll.qlForwardSwapQuote(J35,I35,H35,E35,Permanent,Trigger,ObjectOverwrite)</f>
        <v>#NUM!</v>
      </c>
      <c r="L35" s="209" t="e">
        <f ca="1">_xll.ohRangeRetrieveError(K35)</f>
        <v>#NUM!</v>
      </c>
      <c r="M35" s="42"/>
    </row>
    <row r="36" spans="1:13" x14ac:dyDescent="0.2">
      <c r="A36" s="116"/>
      <c r="B36" s="72" t="s">
        <v>29</v>
      </c>
      <c r="C36" s="161" t="str">
        <f t="shared" si="0"/>
        <v>AM</v>
      </c>
      <c r="D36" s="161" t="str">
        <f t="shared" si="1"/>
        <v>3L</v>
      </c>
      <c r="E36" s="161" t="str">
        <f t="shared" si="7"/>
        <v>0D</v>
      </c>
      <c r="F36" s="161" t="str">
        <f t="shared" si="2"/>
        <v>12L</v>
      </c>
      <c r="G36" s="161" t="str">
        <f t="shared" si="3"/>
        <v>3L</v>
      </c>
      <c r="H36" s="200" t="str">
        <f t="shared" si="4"/>
        <v>USD12L3L60Y_Quote</v>
      </c>
      <c r="I36" s="100" t="str">
        <f t="shared" si="5"/>
        <v>UsdLiborSwapForBasisCalc60Y</v>
      </c>
      <c r="J36" s="199" t="str">
        <f t="shared" si="6"/>
        <v>USDAM3L60Y_S12L3L_Quote</v>
      </c>
      <c r="K36" s="199" t="e">
        <f>_xll.qlForwardSwapQuote(J36,I36,H36,E36,Permanent,Trigger,ObjectOverwrite)</f>
        <v>#NUM!</v>
      </c>
      <c r="L36" s="209" t="e">
        <f ca="1">_xll.ohRangeRetrieveError(K36)</f>
        <v>#NUM!</v>
      </c>
      <c r="M36" s="42"/>
    </row>
    <row r="37" spans="1:13" ht="12" thickBot="1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110"/>
      <c r="L37" s="110"/>
      <c r="M37" s="39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8" customWidth="1"/>
    <col min="2" max="2" width="3.7109375" style="18" bestFit="1" customWidth="1"/>
    <col min="3" max="3" width="1.85546875" style="18" bestFit="1" customWidth="1"/>
    <col min="4" max="4" width="2.85546875" style="18" bestFit="1" customWidth="1"/>
    <col min="5" max="5" width="9.42578125" style="18" bestFit="1" customWidth="1"/>
    <col min="6" max="6" width="13.7109375" style="18" bestFit="1" customWidth="1"/>
    <col min="7" max="9" width="5.7109375" style="18" bestFit="1" customWidth="1"/>
    <col min="10" max="10" width="10" style="18" bestFit="1" customWidth="1"/>
    <col min="11" max="11" width="9" style="18" customWidth="1"/>
    <col min="12" max="12" width="2.7109375" style="18" customWidth="1"/>
    <col min="13" max="13" width="5.7109375" style="18" bestFit="1" customWidth="1"/>
    <col min="14" max="14" width="2.7109375" style="18" customWidth="1"/>
    <col min="15" max="15" width="14.5703125" style="18" bestFit="1" customWidth="1"/>
    <col min="16" max="16" width="7.7109375" style="18" bestFit="1" customWidth="1"/>
    <col min="17" max="17" width="7" style="18" bestFit="1" customWidth="1"/>
    <col min="18" max="18" width="2.7109375" style="18" customWidth="1"/>
    <col min="19" max="19" width="5.140625" style="18" customWidth="1"/>
    <col min="20" max="16384" width="9.140625" style="18"/>
  </cols>
  <sheetData>
    <row r="1" spans="1:18" x14ac:dyDescent="0.2">
      <c r="A1" s="287" t="s">
        <v>286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67"/>
    </row>
    <row r="2" spans="1:18" x14ac:dyDescent="0.2">
      <c r="A2" s="256"/>
      <c r="B2" s="131"/>
      <c r="C2" s="131"/>
      <c r="D2" s="131"/>
      <c r="E2" s="131"/>
      <c r="F2" s="138" t="s">
        <v>220</v>
      </c>
      <c r="G2" s="131"/>
      <c r="H2" s="131"/>
      <c r="I2" s="131"/>
      <c r="J2" s="131"/>
      <c r="K2" s="131"/>
      <c r="L2" s="223"/>
      <c r="M2" s="223"/>
      <c r="N2" s="223"/>
      <c r="O2" s="286" t="s">
        <v>238</v>
      </c>
      <c r="P2" s="138" t="s">
        <v>120</v>
      </c>
      <c r="Q2" s="131"/>
      <c r="R2" s="42"/>
    </row>
    <row r="3" spans="1:18" x14ac:dyDescent="0.2">
      <c r="A3" s="116"/>
      <c r="B3" s="223"/>
      <c r="C3" s="131"/>
      <c r="D3" s="131"/>
      <c r="E3" s="131"/>
      <c r="F3" s="131"/>
      <c r="G3" s="131"/>
      <c r="H3" s="131"/>
      <c r="I3" s="131"/>
      <c r="J3" s="131"/>
      <c r="K3" s="131"/>
      <c r="L3" s="223"/>
      <c r="M3" s="223"/>
      <c r="N3" s="223"/>
      <c r="O3" s="131"/>
      <c r="P3" s="131"/>
      <c r="Q3" s="253">
        <f>_xll.ohTrigger(Q5:Q10)</f>
        <v>0</v>
      </c>
      <c r="R3" s="189"/>
    </row>
    <row r="4" spans="1:18" ht="22.5" x14ac:dyDescent="0.2">
      <c r="A4" s="116"/>
      <c r="B4" s="285"/>
      <c r="C4" s="165"/>
      <c r="D4" s="165"/>
      <c r="E4" s="165"/>
      <c r="F4" s="218" t="str">
        <f>_xll.RData(F5:F10,G4:J4,"RTFEED:IDN",ReutersRtMode,,G5)</f>
        <v>Paused at 15:28:02</v>
      </c>
      <c r="G4" s="284" t="s">
        <v>207</v>
      </c>
      <c r="H4" s="284" t="s">
        <v>206</v>
      </c>
      <c r="I4" s="284" t="s">
        <v>224</v>
      </c>
      <c r="J4" s="284" t="s">
        <v>242</v>
      </c>
      <c r="K4" s="249" t="s">
        <v>263</v>
      </c>
      <c r="L4" s="223"/>
      <c r="M4" s="251" t="s">
        <v>237</v>
      </c>
      <c r="N4" s="223"/>
      <c r="O4" s="250" t="s">
        <v>236</v>
      </c>
      <c r="P4" s="283" t="s">
        <v>235</v>
      </c>
      <c r="Q4" s="87" t="s">
        <v>234</v>
      </c>
      <c r="R4" s="189"/>
    </row>
    <row r="5" spans="1:18" x14ac:dyDescent="0.2">
      <c r="A5" s="116"/>
      <c r="B5" s="245" t="s">
        <v>181</v>
      </c>
      <c r="C5" s="281" t="s">
        <v>267</v>
      </c>
      <c r="D5" s="281" t="s">
        <v>273</v>
      </c>
      <c r="E5" s="279" t="str">
        <f t="shared" ref="E5:E10" si="0">Currency&amp;$C5&amp;$D5&amp;$B5</f>
        <v>USDE1X2S</v>
      </c>
      <c r="F5" s="279" t="str">
        <f t="array" ref="F5:F10">Instruments&amp;"="&amp;VLOOKUP(Contributor,ContributorTable,2,FALSE)</f>
        <v>USDE1X2S=ICAP</v>
      </c>
      <c r="G5" s="241" t="s">
        <v>219</v>
      </c>
      <c r="H5" s="241" t="s">
        <v>219</v>
      </c>
      <c r="I5" s="241" t="s">
        <v>219</v>
      </c>
      <c r="J5" s="241" t="s">
        <v>219</v>
      </c>
      <c r="K5" s="243" t="e">
        <f>_xll.qlMidEquivalent($G5,$H5,$I5,$J5)</f>
        <v>#NUM!</v>
      </c>
      <c r="L5" s="223"/>
      <c r="M5" s="242">
        <v>0</v>
      </c>
      <c r="N5" s="223"/>
      <c r="O5" s="277" t="str">
        <f t="shared" ref="O5:O10" si="1">$E5&amp;$P$2</f>
        <v>USDE1X2S_Quote</v>
      </c>
      <c r="P5" s="241" t="e">
        <f t="array" ref="P5:P10">QuoteLive</f>
        <v>#NUM!</v>
      </c>
      <c r="Q5" s="240"/>
      <c r="R5" s="189"/>
    </row>
    <row r="6" spans="1:18" x14ac:dyDescent="0.2">
      <c r="A6" s="116"/>
      <c r="B6" s="227" t="s">
        <v>182</v>
      </c>
      <c r="C6" s="276" t="s">
        <v>267</v>
      </c>
      <c r="D6" s="276" t="s">
        <v>273</v>
      </c>
      <c r="E6" s="274" t="str">
        <f t="shared" si="0"/>
        <v>USDE1X4S</v>
      </c>
      <c r="F6" s="274" t="str">
        <v>USDE1X4S=ICAP</v>
      </c>
      <c r="G6" s="221" t="s">
        <v>219</v>
      </c>
      <c r="H6" s="221" t="s">
        <v>219</v>
      </c>
      <c r="I6" s="221" t="s">
        <v>219</v>
      </c>
      <c r="J6" s="221" t="s">
        <v>219</v>
      </c>
      <c r="K6" s="225" t="e">
        <f>_xll.qlMidEquivalent($G6,$H6,$I6,$J6)</f>
        <v>#NUM!</v>
      </c>
      <c r="L6" s="223"/>
      <c r="M6" s="224">
        <v>0</v>
      </c>
      <c r="N6" s="223"/>
      <c r="O6" s="272" t="str">
        <f t="shared" si="1"/>
        <v>USDE1X4S_Quote</v>
      </c>
      <c r="P6" s="221" t="e">
        <v>#NUM!</v>
      </c>
      <c r="Q6" s="220"/>
      <c r="R6" s="189"/>
    </row>
    <row r="7" spans="1:18" x14ac:dyDescent="0.2">
      <c r="A7" s="116"/>
      <c r="B7" s="227" t="s">
        <v>183</v>
      </c>
      <c r="C7" s="276" t="s">
        <v>267</v>
      </c>
      <c r="D7" s="276" t="s">
        <v>271</v>
      </c>
      <c r="E7" s="274" t="str">
        <f t="shared" si="0"/>
        <v>USDE2X3S</v>
      </c>
      <c r="F7" s="274" t="str">
        <v>USDE2X3S=ICAP</v>
      </c>
      <c r="G7" s="221" t="s">
        <v>219</v>
      </c>
      <c r="H7" s="221" t="s">
        <v>219</v>
      </c>
      <c r="I7" s="221" t="s">
        <v>219</v>
      </c>
      <c r="J7" s="221" t="s">
        <v>219</v>
      </c>
      <c r="K7" s="225" t="e">
        <f>_xll.qlMidEquivalent($G7,$H7,$I7,$J7)</f>
        <v>#NUM!</v>
      </c>
      <c r="L7" s="223"/>
      <c r="M7" s="224">
        <v>0</v>
      </c>
      <c r="N7" s="223"/>
      <c r="O7" s="272" t="str">
        <f t="shared" si="1"/>
        <v>USDE2X3S_Quote</v>
      </c>
      <c r="P7" s="221" t="e">
        <v>#NUM!</v>
      </c>
      <c r="Q7" s="220"/>
      <c r="R7" s="189"/>
    </row>
    <row r="8" spans="1:18" x14ac:dyDescent="0.2">
      <c r="A8" s="116"/>
      <c r="B8" s="227" t="s">
        <v>272</v>
      </c>
      <c r="C8" s="276" t="s">
        <v>267</v>
      </c>
      <c r="D8" s="276" t="s">
        <v>271</v>
      </c>
      <c r="E8" s="274" t="str">
        <f t="shared" si="0"/>
        <v>USDE2X5S</v>
      </c>
      <c r="F8" s="274" t="str">
        <v>USDE2X5S=ICAP</v>
      </c>
      <c r="G8" s="221" t="s">
        <v>219</v>
      </c>
      <c r="H8" s="221" t="s">
        <v>219</v>
      </c>
      <c r="I8" s="221" t="s">
        <v>219</v>
      </c>
      <c r="J8" s="221" t="s">
        <v>219</v>
      </c>
      <c r="K8" s="225" t="e">
        <f>_xll.qlMidEquivalent($G8,$H8,$I8,$J8)</f>
        <v>#NUM!</v>
      </c>
      <c r="L8" s="223"/>
      <c r="M8" s="224">
        <v>0</v>
      </c>
      <c r="N8" s="223"/>
      <c r="O8" s="272" t="str">
        <f t="shared" si="1"/>
        <v>USDE2X5S_Quote</v>
      </c>
      <c r="P8" s="221" t="e">
        <v>#NUM!</v>
      </c>
      <c r="Q8" s="220"/>
      <c r="R8" s="189"/>
    </row>
    <row r="9" spans="1:18" x14ac:dyDescent="0.2">
      <c r="A9" s="116"/>
      <c r="B9" s="227" t="s">
        <v>270</v>
      </c>
      <c r="C9" s="276" t="s">
        <v>267</v>
      </c>
      <c r="D9" s="276" t="s">
        <v>269</v>
      </c>
      <c r="E9" s="274" t="str">
        <f t="shared" si="0"/>
        <v>USDE3X6S</v>
      </c>
      <c r="F9" s="274" t="str">
        <v>USDE3X6S=ICAP</v>
      </c>
      <c r="G9" s="221" t="s">
        <v>219</v>
      </c>
      <c r="H9" s="221" t="s">
        <v>219</v>
      </c>
      <c r="I9" s="221" t="s">
        <v>219</v>
      </c>
      <c r="J9" s="221" t="s">
        <v>219</v>
      </c>
      <c r="K9" s="225" t="e">
        <f>_xll.qlMidEquivalent($G9,$H9,$I9,$J9)</f>
        <v>#NUM!</v>
      </c>
      <c r="L9" s="223"/>
      <c r="M9" s="224">
        <v>0</v>
      </c>
      <c r="N9" s="223"/>
      <c r="O9" s="272" t="str">
        <f t="shared" si="1"/>
        <v>USDE3X6S_Quote</v>
      </c>
      <c r="P9" s="221" t="e">
        <v>#NUM!</v>
      </c>
      <c r="Q9" s="220"/>
      <c r="R9" s="189"/>
    </row>
    <row r="10" spans="1:18" x14ac:dyDescent="0.2">
      <c r="A10" s="116"/>
      <c r="B10" s="239" t="s">
        <v>268</v>
      </c>
      <c r="C10" s="271" t="s">
        <v>267</v>
      </c>
      <c r="D10" s="271" t="s">
        <v>266</v>
      </c>
      <c r="E10" s="269" t="str">
        <f t="shared" si="0"/>
        <v>USDE6X12S</v>
      </c>
      <c r="F10" s="269" t="str">
        <v>USDE6X12S=ICAP</v>
      </c>
      <c r="G10" s="234" t="s">
        <v>219</v>
      </c>
      <c r="H10" s="234" t="s">
        <v>219</v>
      </c>
      <c r="I10" s="234" t="s">
        <v>219</v>
      </c>
      <c r="J10" s="234" t="s">
        <v>219</v>
      </c>
      <c r="K10" s="237" t="e">
        <f>_xll.qlMidEquivalent($G10,$H10,$I10,$J10)</f>
        <v>#NUM!</v>
      </c>
      <c r="L10" s="223"/>
      <c r="M10" s="236">
        <v>0</v>
      </c>
      <c r="N10" s="223"/>
      <c r="O10" s="267" t="str">
        <f t="shared" si="1"/>
        <v>USDE6X12S_Quote</v>
      </c>
      <c r="P10" s="234" t="e">
        <v>#NUM!</v>
      </c>
      <c r="Q10" s="233"/>
      <c r="R10" s="189"/>
    </row>
    <row r="11" spans="1:18" ht="13.5" thickBot="1" x14ac:dyDescent="0.25">
      <c r="A11" s="41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259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73" customWidth="1"/>
    <col min="3" max="3" width="5.7109375" style="373" bestFit="1" customWidth="1"/>
    <col min="4" max="4" width="9.28515625" style="373" bestFit="1" customWidth="1"/>
    <col min="5" max="5" width="26.42578125" style="373" bestFit="1" customWidth="1"/>
    <col min="6" max="6" width="9.85546875" style="373" customWidth="1"/>
    <col min="7" max="7" width="6" style="373" bestFit="1" customWidth="1"/>
    <col min="8" max="8" width="5.5703125" style="373" bestFit="1" customWidth="1"/>
    <col min="9" max="9" width="2.7109375" style="373" customWidth="1"/>
    <col min="10" max="10" width="7.85546875" style="373" bestFit="1" customWidth="1"/>
    <col min="11" max="11" width="11.42578125" style="373" bestFit="1" customWidth="1"/>
    <col min="12" max="12" width="8.7109375" style="373" bestFit="1" customWidth="1"/>
    <col min="13" max="13" width="7.140625" style="373" bestFit="1" customWidth="1"/>
    <col min="14" max="14" width="10" style="373" bestFit="1" customWidth="1"/>
    <col min="15" max="15" width="7.140625" style="373" bestFit="1" customWidth="1"/>
    <col min="16" max="16" width="2.7109375" style="373" customWidth="1"/>
    <col min="17" max="17" width="3.5703125" style="373" customWidth="1"/>
    <col min="18" max="18" width="4" style="373" bestFit="1" customWidth="1"/>
    <col min="19" max="19" width="5.28515625" style="373" bestFit="1" customWidth="1"/>
    <col min="20" max="20" width="16" style="373" bestFit="1" customWidth="1"/>
    <col min="21" max="16384" width="9.140625" style="373"/>
  </cols>
  <sheetData>
    <row r="1" spans="1:30" ht="12" thickBot="1" x14ac:dyDescent="0.25">
      <c r="A1" s="448" t="s">
        <v>313</v>
      </c>
      <c r="B1" s="374"/>
      <c r="C1" s="374"/>
      <c r="D1" s="379"/>
      <c r="E1" s="387"/>
      <c r="F1" s="433"/>
      <c r="G1" s="433"/>
      <c r="H1" s="374"/>
      <c r="I1" s="379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ht="19.5" x14ac:dyDescent="0.4">
      <c r="A2" s="374"/>
      <c r="B2" s="432"/>
      <c r="C2" s="426"/>
      <c r="D2" s="431" t="str">
        <f>VLOOKUP(Currency,Traits,2,FALSE)</f>
        <v>-</v>
      </c>
      <c r="E2" s="430"/>
      <c r="F2" s="429"/>
      <c r="G2" s="429"/>
      <c r="H2" s="426"/>
      <c r="I2" s="426"/>
      <c r="J2" s="428" t="str">
        <f>VLOOKUP(Currency,Traits,3,FALSE)</f>
        <v>-</v>
      </c>
      <c r="K2" s="426"/>
      <c r="L2" s="426"/>
      <c r="M2" s="427">
        <f>MAX(O4:O19)</f>
        <v>0</v>
      </c>
      <c r="N2" s="426"/>
      <c r="O2" s="426"/>
      <c r="P2" s="425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ht="22.5" x14ac:dyDescent="0.2">
      <c r="A3" s="374"/>
      <c r="B3" s="403"/>
      <c r="C3" s="423" t="s">
        <v>26</v>
      </c>
      <c r="D3" s="422" t="str">
        <f>_xll.RData(D4:D18,E3:F3,"RTFEED:IDN",,,E4)</f>
        <v>Paused at 15:28:02</v>
      </c>
      <c r="E3" s="422" t="s">
        <v>295</v>
      </c>
      <c r="F3" s="422" t="s">
        <v>301</v>
      </c>
      <c r="G3" s="422" t="s">
        <v>294</v>
      </c>
      <c r="H3" s="421" t="s">
        <v>293</v>
      </c>
      <c r="I3" s="424"/>
      <c r="J3" s="423" t="s">
        <v>236</v>
      </c>
      <c r="K3" s="422" t="s">
        <v>292</v>
      </c>
      <c r="L3" s="422" t="s">
        <v>291</v>
      </c>
      <c r="M3" s="422" t="s">
        <v>290</v>
      </c>
      <c r="N3" s="421" t="s">
        <v>289</v>
      </c>
      <c r="O3" s="420" t="s">
        <v>309</v>
      </c>
      <c r="P3" s="393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</row>
    <row r="4" spans="1:30" x14ac:dyDescent="0.2">
      <c r="A4" s="374"/>
      <c r="B4" s="403"/>
      <c r="C4" s="419" t="s">
        <v>9</v>
      </c>
      <c r="D4" s="414" t="str">
        <f t="shared" ref="D4:D18" si="0">Currency&amp;$D$2&amp;$C4&amp;"="</f>
        <v>USD-1Y=</v>
      </c>
      <c r="E4" s="418" t="s">
        <v>219</v>
      </c>
      <c r="F4" s="417" t="s">
        <v>219</v>
      </c>
      <c r="G4" s="417" t="b">
        <f t="shared" ref="G4:G18" si="1">IF(AND(ISNUMBER($F4),$F4&lt;&gt;0%),TRUE,FALSE)</f>
        <v>0</v>
      </c>
      <c r="H4" s="416" t="e">
        <f>IF($G4,_xll.qlIndexAddFixings($J4,$E4,$F4/100,TRUE,ISERROR($K4)),NA())</f>
        <v>#N/A</v>
      </c>
      <c r="I4" s="398"/>
      <c r="J4" s="415" t="str">
        <f t="shared" ref="J4:J18" si="2">PROPER(Currency)&amp;$J$2&amp;$C4</f>
        <v>Usd-1Y</v>
      </c>
      <c r="K4" s="414" t="e">
        <f>_xll.qlIndexFixing($J4,$E4,TRUE,$G4)</f>
        <v>#NUM!</v>
      </c>
      <c r="L4" s="414" t="e">
        <f>IF($H4,_xll.qlIndexFixing($J4,$E4,FALSE,$G4),"-")</f>
        <v>#N/A</v>
      </c>
      <c r="M4" s="414" t="e">
        <f t="shared" ref="M4:M18" si="3">K4-L4</f>
        <v>#NUM!</v>
      </c>
      <c r="N4" s="413" t="e">
        <f>_xll.qlIndexFixing($J4,$E4,TRUE,$L4)</f>
        <v>#NUM!</v>
      </c>
      <c r="O4" s="437">
        <f t="shared" ref="O4:O18" si="4">IF(ISERROR(M4),0,ABS(M4))</f>
        <v>0</v>
      </c>
      <c r="P4" s="393"/>
      <c r="Q4" s="374"/>
      <c r="R4" s="374"/>
      <c r="S4" s="374"/>
      <c r="T4" s="374"/>
      <c r="U4" s="374"/>
      <c r="V4" s="374"/>
      <c r="W4" s="374"/>
      <c r="X4" s="374"/>
      <c r="Y4" s="374"/>
      <c r="Z4" s="374"/>
      <c r="AA4" s="374"/>
      <c r="AB4" s="374"/>
      <c r="AC4" s="374"/>
      <c r="AD4" s="374"/>
    </row>
    <row r="5" spans="1:30" x14ac:dyDescent="0.2">
      <c r="A5" s="374"/>
      <c r="B5" s="403"/>
      <c r="C5" s="411" t="s">
        <v>87</v>
      </c>
      <c r="D5" s="406" t="str">
        <f t="shared" si="0"/>
        <v>USD-2Y=</v>
      </c>
      <c r="E5" s="410" t="s">
        <v>219</v>
      </c>
      <c r="F5" s="409" t="s">
        <v>219</v>
      </c>
      <c r="G5" s="409" t="b">
        <f t="shared" si="1"/>
        <v>0</v>
      </c>
      <c r="H5" s="408" t="e">
        <f>IF($G5,_xll.qlIndexAddFixings($J5,$E5,$F5/100,TRUE,ISERROR($K5)),NA())</f>
        <v>#N/A</v>
      </c>
      <c r="I5" s="398"/>
      <c r="J5" s="407" t="str">
        <f t="shared" si="2"/>
        <v>Usd-2Y</v>
      </c>
      <c r="K5" s="406" t="e">
        <f>_xll.qlIndexFixing($J5,$E5,TRUE,$G5)</f>
        <v>#NUM!</v>
      </c>
      <c r="L5" s="406" t="e">
        <f>IF($H5,_xll.qlIndexFixing($J5,$E5,FALSE,$G5),"-")</f>
        <v>#N/A</v>
      </c>
      <c r="M5" s="406" t="e">
        <f t="shared" si="3"/>
        <v>#NUM!</v>
      </c>
      <c r="N5" s="405" t="e">
        <f>_xll.qlIndexFixing($J5,$E5,TRUE,$L5)</f>
        <v>#NUM!</v>
      </c>
      <c r="O5" s="437">
        <f t="shared" si="4"/>
        <v>0</v>
      </c>
      <c r="P5" s="393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</row>
    <row r="6" spans="1:30" x14ac:dyDescent="0.2">
      <c r="A6" s="374"/>
      <c r="B6" s="403"/>
      <c r="C6" s="411" t="s">
        <v>86</v>
      </c>
      <c r="D6" s="406" t="str">
        <f t="shared" si="0"/>
        <v>USD-3Y=</v>
      </c>
      <c r="E6" s="410" t="s">
        <v>219</v>
      </c>
      <c r="F6" s="409" t="s">
        <v>219</v>
      </c>
      <c r="G6" s="409" t="b">
        <f t="shared" si="1"/>
        <v>0</v>
      </c>
      <c r="H6" s="408" t="e">
        <f>IF($G6,_xll.qlIndexAddFixings($J6,$E6,$F6/100,TRUE,ISERROR($K6)),NA())</f>
        <v>#N/A</v>
      </c>
      <c r="I6" s="398"/>
      <c r="J6" s="407" t="str">
        <f t="shared" si="2"/>
        <v>Usd-3Y</v>
      </c>
      <c r="K6" s="406" t="e">
        <f>_xll.qlIndexFixing($J6,$E6,TRUE,$G6)</f>
        <v>#NUM!</v>
      </c>
      <c r="L6" s="406" t="e">
        <f>IF($H6,_xll.qlIndexFixing($J6,$E6,FALSE,$G6),"-")</f>
        <v>#N/A</v>
      </c>
      <c r="M6" s="406" t="e">
        <f t="shared" si="3"/>
        <v>#NUM!</v>
      </c>
      <c r="N6" s="405" t="e">
        <f>_xll.qlIndexFixing($J6,$E6,TRUE,$L6)</f>
        <v>#NUM!</v>
      </c>
      <c r="O6" s="437">
        <f t="shared" si="4"/>
        <v>0</v>
      </c>
      <c r="P6" s="393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</row>
    <row r="7" spans="1:30" x14ac:dyDescent="0.2">
      <c r="A7" s="374"/>
      <c r="B7" s="403"/>
      <c r="C7" s="411" t="s">
        <v>85</v>
      </c>
      <c r="D7" s="406" t="str">
        <f t="shared" si="0"/>
        <v>USD-4Y=</v>
      </c>
      <c r="E7" s="410" t="s">
        <v>219</v>
      </c>
      <c r="F7" s="409" t="s">
        <v>219</v>
      </c>
      <c r="G7" s="409" t="b">
        <f t="shared" si="1"/>
        <v>0</v>
      </c>
      <c r="H7" s="408" t="e">
        <f>IF($G7,_xll.qlIndexAddFixings($J7,$E7,$F7/100,TRUE,ISERROR($K7)),NA())</f>
        <v>#N/A</v>
      </c>
      <c r="I7" s="398"/>
      <c r="J7" s="407" t="str">
        <f t="shared" si="2"/>
        <v>Usd-4Y</v>
      </c>
      <c r="K7" s="406" t="e">
        <f>_xll.qlIndexFixing($J7,$E7,TRUE,$G7)</f>
        <v>#NUM!</v>
      </c>
      <c r="L7" s="406" t="e">
        <f>IF($H7,_xll.qlIndexFixing($J7,$E7,FALSE,$G7),"-")</f>
        <v>#N/A</v>
      </c>
      <c r="M7" s="406" t="e">
        <f t="shared" si="3"/>
        <v>#NUM!</v>
      </c>
      <c r="N7" s="405" t="e">
        <f>_xll.qlIndexFixing($J7,$E7,TRUE,$L7)</f>
        <v>#NUM!</v>
      </c>
      <c r="O7" s="437">
        <f t="shared" si="4"/>
        <v>0</v>
      </c>
      <c r="P7" s="393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</row>
    <row r="8" spans="1:30" x14ac:dyDescent="0.2">
      <c r="A8" s="374"/>
      <c r="B8" s="403"/>
      <c r="C8" s="411" t="s">
        <v>84</v>
      </c>
      <c r="D8" s="406" t="str">
        <f t="shared" si="0"/>
        <v>USD-5Y=</v>
      </c>
      <c r="E8" s="410" t="s">
        <v>219</v>
      </c>
      <c r="F8" s="409" t="s">
        <v>219</v>
      </c>
      <c r="G8" s="409" t="b">
        <f t="shared" si="1"/>
        <v>0</v>
      </c>
      <c r="H8" s="408" t="e">
        <f>IF($G8,_xll.qlIndexAddFixings($J8,$E8,$F8/100,TRUE,ISERROR($K8)),NA())</f>
        <v>#N/A</v>
      </c>
      <c r="I8" s="398"/>
      <c r="J8" s="407" t="str">
        <f t="shared" si="2"/>
        <v>Usd-5Y</v>
      </c>
      <c r="K8" s="406" t="e">
        <f>_xll.qlIndexFixing($J8,$E8,TRUE,$G8)</f>
        <v>#NUM!</v>
      </c>
      <c r="L8" s="406" t="e">
        <f>IF($H8,_xll.qlIndexFixing($J8,$E8,FALSE,$G8),"-")</f>
        <v>#N/A</v>
      </c>
      <c r="M8" s="406" t="e">
        <f t="shared" si="3"/>
        <v>#NUM!</v>
      </c>
      <c r="N8" s="405" t="e">
        <f>_xll.qlIndexFixing($J8,$E8,TRUE,$L8)</f>
        <v>#NUM!</v>
      </c>
      <c r="O8" s="437">
        <f t="shared" si="4"/>
        <v>0</v>
      </c>
      <c r="P8" s="393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</row>
    <row r="9" spans="1:30" x14ac:dyDescent="0.2">
      <c r="A9" s="374"/>
      <c r="B9" s="403"/>
      <c r="C9" s="411" t="s">
        <v>83</v>
      </c>
      <c r="D9" s="406" t="str">
        <f t="shared" si="0"/>
        <v>USD-6Y=</v>
      </c>
      <c r="E9" s="410" t="s">
        <v>219</v>
      </c>
      <c r="F9" s="409" t="s">
        <v>219</v>
      </c>
      <c r="G9" s="409" t="b">
        <f t="shared" si="1"/>
        <v>0</v>
      </c>
      <c r="H9" s="408" t="e">
        <f>IF($G9,_xll.qlIndexAddFixings($J9,$E9,$F9/100,TRUE,ISERROR($K9)),NA())</f>
        <v>#N/A</v>
      </c>
      <c r="I9" s="398"/>
      <c r="J9" s="407" t="str">
        <f t="shared" si="2"/>
        <v>Usd-6Y</v>
      </c>
      <c r="K9" s="406" t="e">
        <f>_xll.qlIndexFixing($J9,$E9,TRUE,$G9)</f>
        <v>#NUM!</v>
      </c>
      <c r="L9" s="406" t="e">
        <f>IF($H9,_xll.qlIndexFixing($J9,$E9,FALSE,$G9),"-")</f>
        <v>#N/A</v>
      </c>
      <c r="M9" s="406" t="e">
        <f t="shared" si="3"/>
        <v>#NUM!</v>
      </c>
      <c r="N9" s="405" t="e">
        <f>_xll.qlIndexFixing($J9,$E9,TRUE,$L9)</f>
        <v>#NUM!</v>
      </c>
      <c r="O9" s="437">
        <f t="shared" si="4"/>
        <v>0</v>
      </c>
      <c r="P9" s="393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</row>
    <row r="10" spans="1:30" x14ac:dyDescent="0.2">
      <c r="A10" s="374"/>
      <c r="B10" s="403"/>
      <c r="C10" s="411" t="s">
        <v>82</v>
      </c>
      <c r="D10" s="406" t="str">
        <f t="shared" si="0"/>
        <v>USD-7Y=</v>
      </c>
      <c r="E10" s="410" t="s">
        <v>219</v>
      </c>
      <c r="F10" s="409" t="s">
        <v>219</v>
      </c>
      <c r="G10" s="409" t="b">
        <f t="shared" si="1"/>
        <v>0</v>
      </c>
      <c r="H10" s="408" t="e">
        <f>IF($G10,_xll.qlIndexAddFixings($J10,$E10,$F10/100,TRUE,ISERROR($K10)),NA())</f>
        <v>#N/A</v>
      </c>
      <c r="I10" s="398"/>
      <c r="J10" s="407" t="str">
        <f t="shared" si="2"/>
        <v>Usd-7Y</v>
      </c>
      <c r="K10" s="406" t="e">
        <f>_xll.qlIndexFixing($J10,$E10,TRUE,$G10)</f>
        <v>#NUM!</v>
      </c>
      <c r="L10" s="406" t="e">
        <f>IF($H10,_xll.qlIndexFixing($J10,$E10,FALSE,$G10),"-")</f>
        <v>#N/A</v>
      </c>
      <c r="M10" s="406" t="e">
        <f t="shared" si="3"/>
        <v>#NUM!</v>
      </c>
      <c r="N10" s="405" t="e">
        <f>_xll.qlIndexFixing($J10,$E10,TRUE,$L10)</f>
        <v>#NUM!</v>
      </c>
      <c r="O10" s="437">
        <f t="shared" si="4"/>
        <v>0</v>
      </c>
      <c r="P10" s="393"/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</row>
    <row r="11" spans="1:30" x14ac:dyDescent="0.2">
      <c r="A11" s="374"/>
      <c r="B11" s="403"/>
      <c r="C11" s="411" t="s">
        <v>81</v>
      </c>
      <c r="D11" s="406" t="str">
        <f t="shared" si="0"/>
        <v>USD-8Y=</v>
      </c>
      <c r="E11" s="410" t="s">
        <v>219</v>
      </c>
      <c r="F11" s="409" t="s">
        <v>219</v>
      </c>
      <c r="G11" s="409" t="b">
        <f t="shared" si="1"/>
        <v>0</v>
      </c>
      <c r="H11" s="408" t="e">
        <f>IF($G11,_xll.qlIndexAddFixings($J11,$E11,$F11/100,TRUE,ISERROR($K11)),NA())</f>
        <v>#N/A</v>
      </c>
      <c r="I11" s="398"/>
      <c r="J11" s="407" t="str">
        <f t="shared" si="2"/>
        <v>Usd-8Y</v>
      </c>
      <c r="K11" s="406" t="e">
        <f>_xll.qlIndexFixing($J11,$E11,TRUE,$G11)</f>
        <v>#NUM!</v>
      </c>
      <c r="L11" s="406" t="e">
        <f>IF($H11,_xll.qlIndexFixing($J11,$E11,FALSE,$G11),"-")</f>
        <v>#N/A</v>
      </c>
      <c r="M11" s="406" t="e">
        <f t="shared" si="3"/>
        <v>#NUM!</v>
      </c>
      <c r="N11" s="405" t="e">
        <f>_xll.qlIndexFixing($J11,$E11,TRUE,$L11)</f>
        <v>#NUM!</v>
      </c>
      <c r="O11" s="437">
        <f t="shared" si="4"/>
        <v>0</v>
      </c>
      <c r="P11" s="393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</row>
    <row r="12" spans="1:30" x14ac:dyDescent="0.2">
      <c r="A12" s="374"/>
      <c r="B12" s="403"/>
      <c r="C12" s="411" t="s">
        <v>80</v>
      </c>
      <c r="D12" s="406" t="str">
        <f t="shared" si="0"/>
        <v>USD-9Y=</v>
      </c>
      <c r="E12" s="410" t="s">
        <v>219</v>
      </c>
      <c r="F12" s="409" t="s">
        <v>219</v>
      </c>
      <c r="G12" s="409" t="b">
        <f t="shared" si="1"/>
        <v>0</v>
      </c>
      <c r="H12" s="408" t="e">
        <f>IF($G12,_xll.qlIndexAddFixings($J12,$E12,$F12/100,TRUE,ISERROR($K12)),NA())</f>
        <v>#N/A</v>
      </c>
      <c r="I12" s="398"/>
      <c r="J12" s="407" t="str">
        <f t="shared" si="2"/>
        <v>Usd-9Y</v>
      </c>
      <c r="K12" s="406" t="e">
        <f>_xll.qlIndexFixing($J12,$E12,TRUE,$G12)</f>
        <v>#NUM!</v>
      </c>
      <c r="L12" s="406" t="e">
        <f>IF($H12,_xll.qlIndexFixing($J12,$E12,FALSE,$G12),"-")</f>
        <v>#N/A</v>
      </c>
      <c r="M12" s="406" t="e">
        <f t="shared" si="3"/>
        <v>#NUM!</v>
      </c>
      <c r="N12" s="405" t="e">
        <f>_xll.qlIndexFixing($J12,$E12,TRUE,$L12)</f>
        <v>#NUM!</v>
      </c>
      <c r="O12" s="437">
        <f t="shared" si="4"/>
        <v>0</v>
      </c>
      <c r="P12" s="393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</row>
    <row r="13" spans="1:30" x14ac:dyDescent="0.2">
      <c r="A13" s="374"/>
      <c r="B13" s="403"/>
      <c r="C13" s="411" t="s">
        <v>79</v>
      </c>
      <c r="D13" s="406" t="str">
        <f t="shared" si="0"/>
        <v>USD-10Y=</v>
      </c>
      <c r="E13" s="410" t="s">
        <v>219</v>
      </c>
      <c r="F13" s="409" t="s">
        <v>219</v>
      </c>
      <c r="G13" s="409" t="b">
        <f t="shared" si="1"/>
        <v>0</v>
      </c>
      <c r="H13" s="408" t="e">
        <f>IF($G13,_xll.qlIndexAddFixings($J13,$E13,$F13/100,TRUE,ISERROR($K13)),NA())</f>
        <v>#N/A</v>
      </c>
      <c r="I13" s="398"/>
      <c r="J13" s="407" t="str">
        <f t="shared" si="2"/>
        <v>Usd-10Y</v>
      </c>
      <c r="K13" s="406" t="e">
        <f>_xll.qlIndexFixing($J13,$E13,TRUE,$G13)</f>
        <v>#NUM!</v>
      </c>
      <c r="L13" s="406" t="e">
        <f>IF($H13,_xll.qlIndexFixing($J13,$E13,FALSE,$G13),"-")</f>
        <v>#N/A</v>
      </c>
      <c r="M13" s="406" t="e">
        <f t="shared" si="3"/>
        <v>#NUM!</v>
      </c>
      <c r="N13" s="405" t="e">
        <f>_xll.qlIndexFixing($J13,$E13,TRUE,$L13)</f>
        <v>#NUM!</v>
      </c>
      <c r="O13" s="437">
        <f t="shared" si="4"/>
        <v>0</v>
      </c>
      <c r="P13" s="393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</row>
    <row r="14" spans="1:30" x14ac:dyDescent="0.2">
      <c r="A14" s="374"/>
      <c r="B14" s="403"/>
      <c r="C14" s="411" t="s">
        <v>77</v>
      </c>
      <c r="D14" s="406" t="str">
        <f t="shared" si="0"/>
        <v>USD-12Y=</v>
      </c>
      <c r="E14" s="410" t="s">
        <v>219</v>
      </c>
      <c r="F14" s="409" t="s">
        <v>219</v>
      </c>
      <c r="G14" s="409" t="b">
        <f t="shared" si="1"/>
        <v>0</v>
      </c>
      <c r="H14" s="408" t="e">
        <f>IF($G14,_xll.qlIndexAddFixings($J14,$E14,$F14/100,TRUE,ISERROR($K14)),NA())</f>
        <v>#N/A</v>
      </c>
      <c r="I14" s="398"/>
      <c r="J14" s="407" t="str">
        <f t="shared" si="2"/>
        <v>Usd-12Y</v>
      </c>
      <c r="K14" s="406" t="e">
        <f>_xll.qlIndexFixing($J14,$E14,TRUE,$G14)</f>
        <v>#NUM!</v>
      </c>
      <c r="L14" s="406" t="e">
        <f>IF($H14,_xll.qlIndexFixing($J14,$E14,FALSE,$G14),"-")</f>
        <v>#N/A</v>
      </c>
      <c r="M14" s="406" t="e">
        <f t="shared" si="3"/>
        <v>#NUM!</v>
      </c>
      <c r="N14" s="405" t="e">
        <f>_xll.qlIndexFixing($J14,$E14,TRUE,$L14)</f>
        <v>#NUM!</v>
      </c>
      <c r="O14" s="437">
        <f t="shared" si="4"/>
        <v>0</v>
      </c>
      <c r="P14" s="393"/>
      <c r="Q14" s="374"/>
      <c r="R14" s="374"/>
      <c r="S14" s="374"/>
      <c r="T14" s="374"/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</row>
    <row r="15" spans="1:30" x14ac:dyDescent="0.2">
      <c r="A15" s="374"/>
      <c r="B15" s="403"/>
      <c r="C15" s="411" t="s">
        <v>74</v>
      </c>
      <c r="D15" s="406" t="str">
        <f t="shared" si="0"/>
        <v>USD-15Y=</v>
      </c>
      <c r="E15" s="410" t="s">
        <v>219</v>
      </c>
      <c r="F15" s="409" t="s">
        <v>219</v>
      </c>
      <c r="G15" s="409" t="b">
        <f t="shared" si="1"/>
        <v>0</v>
      </c>
      <c r="H15" s="408" t="e">
        <f>IF($G15,_xll.qlIndexAddFixings($J15,$E15,$F15/100,TRUE,ISERROR($K15)),NA())</f>
        <v>#N/A</v>
      </c>
      <c r="I15" s="398"/>
      <c r="J15" s="407" t="str">
        <f t="shared" si="2"/>
        <v>Usd-15Y</v>
      </c>
      <c r="K15" s="406" t="e">
        <f>_xll.qlIndexFixing($J15,$E15,TRUE,$G15)</f>
        <v>#NUM!</v>
      </c>
      <c r="L15" s="406" t="e">
        <f>IF($H15,_xll.qlIndexFixing($J15,$E15,FALSE,$G15),"-")</f>
        <v>#N/A</v>
      </c>
      <c r="M15" s="406" t="e">
        <f t="shared" si="3"/>
        <v>#NUM!</v>
      </c>
      <c r="N15" s="405" t="e">
        <f>_xll.qlIndexFixing($J15,$E15,TRUE,$L15)</f>
        <v>#NUM!</v>
      </c>
      <c r="O15" s="437">
        <f t="shared" si="4"/>
        <v>0</v>
      </c>
      <c r="P15" s="393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</row>
    <row r="16" spans="1:30" x14ac:dyDescent="0.2">
      <c r="A16" s="374"/>
      <c r="B16" s="403"/>
      <c r="C16" s="411" t="s">
        <v>69</v>
      </c>
      <c r="D16" s="406" t="str">
        <f t="shared" si="0"/>
        <v>USD-20Y=</v>
      </c>
      <c r="E16" s="410" t="s">
        <v>219</v>
      </c>
      <c r="F16" s="409" t="s">
        <v>219</v>
      </c>
      <c r="G16" s="409" t="b">
        <f t="shared" si="1"/>
        <v>0</v>
      </c>
      <c r="H16" s="408" t="e">
        <f>IF($G16,_xll.qlIndexAddFixings($J16,$E16,$F16/100,TRUE,ISERROR($K16)),NA())</f>
        <v>#N/A</v>
      </c>
      <c r="I16" s="398"/>
      <c r="J16" s="407" t="str">
        <f t="shared" si="2"/>
        <v>Usd-20Y</v>
      </c>
      <c r="K16" s="406" t="e">
        <f>_xll.qlIndexFixing($J16,$E16,TRUE,$G16)</f>
        <v>#NUM!</v>
      </c>
      <c r="L16" s="406" t="e">
        <f>IF($H16,_xll.qlIndexFixing($J16,$E16,FALSE,$G16),"-")</f>
        <v>#N/A</v>
      </c>
      <c r="M16" s="406" t="e">
        <f t="shared" si="3"/>
        <v>#NUM!</v>
      </c>
      <c r="N16" s="405" t="e">
        <f>_xll.qlIndexFixing($J16,$E16,TRUE,$L16)</f>
        <v>#NUM!</v>
      </c>
      <c r="O16" s="437">
        <f t="shared" si="4"/>
        <v>0</v>
      </c>
      <c r="P16" s="393"/>
      <c r="Q16" s="374"/>
      <c r="R16" s="374"/>
      <c r="S16" s="374"/>
      <c r="T16" s="374"/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</row>
    <row r="17" spans="1:30" x14ac:dyDescent="0.2">
      <c r="A17" s="374"/>
      <c r="B17" s="403"/>
      <c r="C17" s="411" t="s">
        <v>64</v>
      </c>
      <c r="D17" s="406" t="str">
        <f t="shared" si="0"/>
        <v>USD-25Y=</v>
      </c>
      <c r="E17" s="410" t="s">
        <v>219</v>
      </c>
      <c r="F17" s="409" t="s">
        <v>219</v>
      </c>
      <c r="G17" s="409" t="b">
        <f t="shared" si="1"/>
        <v>0</v>
      </c>
      <c r="H17" s="408" t="e">
        <f>IF($G17,_xll.qlIndexAddFixings($J17,$E17,$F17/100,TRUE,ISERROR($K17)),NA())</f>
        <v>#N/A</v>
      </c>
      <c r="I17" s="398"/>
      <c r="J17" s="407" t="str">
        <f t="shared" si="2"/>
        <v>Usd-25Y</v>
      </c>
      <c r="K17" s="406" t="e">
        <f>_xll.qlIndexFixing($J17,$E17,TRUE,$G17)</f>
        <v>#NUM!</v>
      </c>
      <c r="L17" s="406" t="e">
        <f>IF($H17,_xll.qlIndexFixing($J17,$E17,FALSE,$G17),"-")</f>
        <v>#N/A</v>
      </c>
      <c r="M17" s="406" t="e">
        <f t="shared" si="3"/>
        <v>#NUM!</v>
      </c>
      <c r="N17" s="405" t="e">
        <f>_xll.qlIndexFixing($J17,$E17,TRUE,$L17)</f>
        <v>#NUM!</v>
      </c>
      <c r="O17" s="437">
        <f t="shared" si="4"/>
        <v>0</v>
      </c>
      <c r="P17" s="393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</row>
    <row r="18" spans="1:30" x14ac:dyDescent="0.2">
      <c r="A18" s="374"/>
      <c r="B18" s="403"/>
      <c r="C18" s="402" t="s">
        <v>59</v>
      </c>
      <c r="D18" s="396" t="str">
        <f t="shared" si="0"/>
        <v>USD-30Y=</v>
      </c>
      <c r="E18" s="401" t="s">
        <v>219</v>
      </c>
      <c r="F18" s="400" t="s">
        <v>219</v>
      </c>
      <c r="G18" s="400" t="b">
        <f t="shared" si="1"/>
        <v>0</v>
      </c>
      <c r="H18" s="399" t="e">
        <f>IF($G18,_xll.qlIndexAddFixings($J18,$E18,$F18/100,TRUE,ISERROR($K18)),NA())</f>
        <v>#N/A</v>
      </c>
      <c r="I18" s="398"/>
      <c r="J18" s="397" t="str">
        <f t="shared" si="2"/>
        <v>Usd-30Y</v>
      </c>
      <c r="K18" s="396" t="e">
        <f>_xll.qlIndexFixing($J18,$E18,TRUE,$G18)</f>
        <v>#NUM!</v>
      </c>
      <c r="L18" s="396" t="e">
        <f>IF($H18,_xll.qlIndexFixing($J18,$E18,FALSE,$G18),"-")</f>
        <v>#N/A</v>
      </c>
      <c r="M18" s="396" t="e">
        <f t="shared" si="3"/>
        <v>#NUM!</v>
      </c>
      <c r="N18" s="395" t="e">
        <f>_xll.qlIndexFixing($J18,$E18,TRUE,$L18)</f>
        <v>#NUM!</v>
      </c>
      <c r="O18" s="436">
        <f t="shared" si="4"/>
        <v>0</v>
      </c>
      <c r="P18" s="393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</row>
    <row r="19" spans="1:30" ht="12" thickBot="1" x14ac:dyDescent="0.25">
      <c r="A19" s="374"/>
      <c r="B19" s="392"/>
      <c r="C19" s="390"/>
      <c r="D19" s="390"/>
      <c r="E19" s="390"/>
      <c r="F19" s="390"/>
      <c r="G19" s="390"/>
      <c r="H19" s="390"/>
      <c r="I19" s="389"/>
      <c r="J19" s="389"/>
      <c r="K19" s="389"/>
      <c r="L19" s="389"/>
      <c r="M19" s="389"/>
      <c r="N19" s="389"/>
      <c r="O19" s="389"/>
      <c r="P19" s="388"/>
      <c r="Q19" s="374"/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</row>
    <row r="20" spans="1:30" ht="12" thickBot="1" x14ac:dyDescent="0.25">
      <c r="A20" s="374"/>
      <c r="B20" s="374"/>
      <c r="C20" s="374"/>
      <c r="D20" s="374"/>
      <c r="E20" s="387"/>
      <c r="F20" s="386"/>
      <c r="G20" s="386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</row>
    <row r="21" spans="1:30" s="374" customFormat="1" x14ac:dyDescent="0.2">
      <c r="C21" s="385" t="s">
        <v>110</v>
      </c>
      <c r="D21" s="384" t="s">
        <v>304</v>
      </c>
      <c r="E21" s="383" t="s">
        <v>304</v>
      </c>
    </row>
    <row r="22" spans="1:30" s="374" customFormat="1" x14ac:dyDescent="0.2">
      <c r="C22" s="380" t="s">
        <v>109</v>
      </c>
      <c r="D22" s="379" t="s">
        <v>308</v>
      </c>
      <c r="E22" s="378" t="s">
        <v>307</v>
      </c>
    </row>
    <row r="23" spans="1:30" s="374" customFormat="1" x14ac:dyDescent="0.2">
      <c r="C23" s="380" t="s">
        <v>288</v>
      </c>
      <c r="D23" s="379" t="s">
        <v>304</v>
      </c>
      <c r="E23" s="378" t="s">
        <v>304</v>
      </c>
    </row>
    <row r="24" spans="1:30" s="374" customFormat="1" x14ac:dyDescent="0.2">
      <c r="C24" s="380" t="s">
        <v>287</v>
      </c>
      <c r="D24" s="379" t="s">
        <v>304</v>
      </c>
      <c r="E24" s="378" t="s">
        <v>304</v>
      </c>
    </row>
    <row r="25" spans="1:30" s="374" customFormat="1" x14ac:dyDescent="0.2">
      <c r="C25" s="380" t="s">
        <v>106</v>
      </c>
      <c r="D25" s="379" t="s">
        <v>304</v>
      </c>
      <c r="E25" s="378" t="s">
        <v>304</v>
      </c>
    </row>
    <row r="26" spans="1:30" s="374" customFormat="1" x14ac:dyDescent="0.2">
      <c r="C26" s="380" t="s">
        <v>105</v>
      </c>
      <c r="D26" s="379" t="s">
        <v>304</v>
      </c>
      <c r="E26" s="378" t="s">
        <v>304</v>
      </c>
    </row>
    <row r="27" spans="1:30" s="374" customFormat="1" ht="12" thickBot="1" x14ac:dyDescent="0.25">
      <c r="C27" s="377" t="s">
        <v>100</v>
      </c>
      <c r="D27" s="435" t="s">
        <v>304</v>
      </c>
      <c r="E27" s="434" t="s">
        <v>304</v>
      </c>
    </row>
    <row r="28" spans="1:30" s="374" customFormat="1" x14ac:dyDescent="0.2"/>
    <row r="29" spans="1:30" s="374" customFormat="1" x14ac:dyDescent="0.2"/>
    <row r="30" spans="1:30" s="374" customFormat="1" x14ac:dyDescent="0.2"/>
    <row r="31" spans="1:30" s="374" customFormat="1" x14ac:dyDescent="0.2"/>
    <row r="32" spans="1:30" s="374" customFormat="1" x14ac:dyDescent="0.2"/>
    <row r="33" s="374" customFormat="1" x14ac:dyDescent="0.2"/>
    <row r="34" s="374" customFormat="1" x14ac:dyDescent="0.2"/>
    <row r="35" s="374" customFormat="1" x14ac:dyDescent="0.2"/>
    <row r="36" s="374" customFormat="1" x14ac:dyDescent="0.2"/>
    <row r="37" s="374" customFormat="1" x14ac:dyDescent="0.2"/>
    <row r="38" s="374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73" customWidth="1"/>
    <col min="3" max="3" width="5.7109375" style="373" bestFit="1" customWidth="1"/>
    <col min="4" max="4" width="12.140625" style="373" bestFit="1" customWidth="1"/>
    <col min="5" max="5" width="12.85546875" style="373" customWidth="1"/>
    <col min="6" max="6" width="7.42578125" style="373" customWidth="1"/>
    <col min="7" max="7" width="6" style="373" bestFit="1" customWidth="1"/>
    <col min="8" max="8" width="5.5703125" style="373" bestFit="1" customWidth="1"/>
    <col min="9" max="9" width="2.7109375" style="373" customWidth="1"/>
    <col min="10" max="10" width="12" style="373" bestFit="1" customWidth="1"/>
    <col min="11" max="11" width="11.42578125" style="373" bestFit="1" customWidth="1"/>
    <col min="12" max="12" width="8.7109375" style="373" bestFit="1" customWidth="1"/>
    <col min="13" max="13" width="7.7109375" style="373" bestFit="1" customWidth="1"/>
    <col min="14" max="14" width="10" style="373" bestFit="1" customWidth="1"/>
    <col min="15" max="15" width="7.140625" style="373" hidden="1" customWidth="1"/>
    <col min="16" max="16" width="2.7109375" style="373" customWidth="1"/>
    <col min="17" max="17" width="4.28515625" style="373" customWidth="1"/>
    <col min="18" max="18" width="4" style="373" bestFit="1" customWidth="1"/>
    <col min="19" max="19" width="5.28515625" style="373" bestFit="1" customWidth="1"/>
    <col min="20" max="20" width="6.140625" style="373" bestFit="1" customWidth="1"/>
    <col min="21" max="16384" width="9.140625" style="373"/>
  </cols>
  <sheetData>
    <row r="1" spans="1:30" ht="12" thickBot="1" x14ac:dyDescent="0.25">
      <c r="A1" s="448" t="s">
        <v>313</v>
      </c>
      <c r="B1" s="374"/>
      <c r="C1" s="374"/>
      <c r="D1" s="379"/>
      <c r="E1" s="387"/>
      <c r="F1" s="433"/>
      <c r="G1" s="433"/>
      <c r="H1" s="374"/>
      <c r="I1" s="379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ht="22.5" customHeight="1" x14ac:dyDescent="0.4">
      <c r="A2" s="374"/>
      <c r="B2" s="432"/>
      <c r="C2" s="426"/>
      <c r="D2" s="431" t="str">
        <f>VLOOKUP(Currency,Traits,2,FALSE)</f>
        <v>-</v>
      </c>
      <c r="E2" s="430"/>
      <c r="F2" s="429"/>
      <c r="G2" s="429"/>
      <c r="H2" s="426"/>
      <c r="I2" s="426"/>
      <c r="J2" s="428" t="str">
        <f>VLOOKUP(Currency,Traits,3,FALSE)</f>
        <v>-</v>
      </c>
      <c r="K2" s="426"/>
      <c r="L2" s="426"/>
      <c r="M2" s="427">
        <f>MAX(O4:O21)</f>
        <v>0</v>
      </c>
      <c r="N2" s="426"/>
      <c r="O2" s="426"/>
      <c r="P2" s="425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ht="22.5" x14ac:dyDescent="0.2">
      <c r="A3" s="374"/>
      <c r="B3" s="403"/>
      <c r="C3" s="423" t="s">
        <v>26</v>
      </c>
      <c r="D3" s="422" t="str">
        <f>_xll.RData(D4:D21,E3:F3,"RTFEED:IDN",,,E4)</f>
        <v>Paused at 15:28:02</v>
      </c>
      <c r="E3" s="422" t="s">
        <v>295</v>
      </c>
      <c r="F3" s="422" t="s">
        <v>224</v>
      </c>
      <c r="G3" s="422" t="s">
        <v>294</v>
      </c>
      <c r="H3" s="421" t="s">
        <v>293</v>
      </c>
      <c r="I3" s="424"/>
      <c r="J3" s="423" t="s">
        <v>236</v>
      </c>
      <c r="K3" s="422" t="s">
        <v>292</v>
      </c>
      <c r="L3" s="422" t="s">
        <v>291</v>
      </c>
      <c r="M3" s="422" t="s">
        <v>290</v>
      </c>
      <c r="N3" s="421" t="s">
        <v>289</v>
      </c>
      <c r="O3" s="420"/>
      <c r="P3" s="393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</row>
    <row r="4" spans="1:30" x14ac:dyDescent="0.2">
      <c r="A4" s="374"/>
      <c r="B4" s="403"/>
      <c r="C4" s="419" t="s">
        <v>194</v>
      </c>
      <c r="D4" s="414" t="str">
        <f t="shared" ref="D4:D21" si="0">Currency&amp;$D$2&amp;$C4&amp;"D="</f>
        <v>USD-OND=</v>
      </c>
      <c r="E4" s="418" t="s">
        <v>219</v>
      </c>
      <c r="F4" s="443" t="s">
        <v>219</v>
      </c>
      <c r="G4" s="417" t="b">
        <f t="shared" ref="G4:G21" si="1">IF(AND(ISNUMBER($F4),$F4&lt;&gt;0%),TRUE,FALSE)</f>
        <v>0</v>
      </c>
      <c r="H4" s="416" t="e">
        <f>IF($G4,_xll.qlIndexAddFixings($J4,$E4,$F4/100,TRUE,ISERROR($K4)),NA())</f>
        <v>#N/A</v>
      </c>
      <c r="I4" s="398"/>
      <c r="J4" s="415" t="str">
        <f t="shared" ref="J4:J21" si="2">PROPER(Currency)&amp;$J$2&amp;$C4</f>
        <v>Usd-ON</v>
      </c>
      <c r="K4" s="414" t="e">
        <f>_xll.qlIndexFixing($J4,$E4,TRUE,$G4)</f>
        <v>#NUM!</v>
      </c>
      <c r="L4" s="414" t="e">
        <f>IF($H4,_xll.qlIndexFixing($J4,$E4,FALSE,$G4),"-")</f>
        <v>#N/A</v>
      </c>
      <c r="M4" s="414" t="e">
        <f t="shared" ref="M4:M21" si="3">K4-L4</f>
        <v>#NUM!</v>
      </c>
      <c r="N4" s="413" t="e">
        <f>_xll.qlIndexFixing($J4,$E4,TRUE,$L4)</f>
        <v>#NUM!</v>
      </c>
      <c r="O4" s="412">
        <f>IF(ISERROR(M4),0,ABS(M4))</f>
        <v>0</v>
      </c>
      <c r="P4" s="393"/>
      <c r="Q4" s="374"/>
      <c r="R4" s="374"/>
      <c r="S4" s="374"/>
      <c r="T4" s="374"/>
      <c r="U4" s="374"/>
      <c r="V4" s="374"/>
      <c r="W4" s="374"/>
      <c r="X4" s="374"/>
      <c r="Y4" s="374"/>
      <c r="Z4" s="374"/>
      <c r="AA4" s="374"/>
      <c r="AB4" s="374"/>
      <c r="AC4" s="374"/>
      <c r="AD4" s="374"/>
    </row>
    <row r="5" spans="1:30" x14ac:dyDescent="0.2">
      <c r="A5" s="374"/>
      <c r="B5" s="403"/>
      <c r="C5" s="411" t="s">
        <v>226</v>
      </c>
      <c r="D5" s="406" t="str">
        <f t="shared" si="0"/>
        <v>USD-TND=</v>
      </c>
      <c r="E5" s="410" t="s">
        <v>219</v>
      </c>
      <c r="F5" s="442" t="s">
        <v>219</v>
      </c>
      <c r="G5" s="409" t="b">
        <f t="shared" si="1"/>
        <v>0</v>
      </c>
      <c r="H5" s="408" t="e">
        <f>IF($G5,_xll.qlIndexAddFixings($J5,$E5,$F5/100,TRUE,ISERROR($K5)),NA())</f>
        <v>#N/A</v>
      </c>
      <c r="I5" s="398"/>
      <c r="J5" s="407" t="str">
        <f t="shared" si="2"/>
        <v>Usd-TN</v>
      </c>
      <c r="K5" s="406" t="e">
        <f>_xll.qlIndexFixing($J5,$E5,TRUE,$G5)</f>
        <v>#NUM!</v>
      </c>
      <c r="L5" s="406" t="e">
        <f>IF($H5,_xll.qlIndexFixing($J5,$E5,FALSE,$G5),"-")</f>
        <v>#N/A</v>
      </c>
      <c r="M5" s="406" t="e">
        <f t="shared" si="3"/>
        <v>#NUM!</v>
      </c>
      <c r="N5" s="405" t="e">
        <f>_xll.qlIndexFixing($J5,$E5,TRUE,$L5)</f>
        <v>#NUM!</v>
      </c>
      <c r="O5" s="404"/>
      <c r="P5" s="393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</row>
    <row r="6" spans="1:30" x14ac:dyDescent="0.2">
      <c r="A6" s="374"/>
      <c r="B6" s="403"/>
      <c r="C6" s="411" t="s">
        <v>223</v>
      </c>
      <c r="D6" s="406" t="str">
        <f t="shared" si="0"/>
        <v>USD-SND=</v>
      </c>
      <c r="E6" s="410" t="s">
        <v>219</v>
      </c>
      <c r="F6" s="442" t="s">
        <v>219</v>
      </c>
      <c r="G6" s="409" t="b">
        <f t="shared" si="1"/>
        <v>0</v>
      </c>
      <c r="H6" s="408" t="e">
        <f>IF($G6,_xll.qlIndexAddFixings($J6,$E6,$F6/100,TRUE,ISERROR($K6)),NA())</f>
        <v>#N/A</v>
      </c>
      <c r="I6" s="398"/>
      <c r="J6" s="407" t="str">
        <f t="shared" si="2"/>
        <v>Usd-SN</v>
      </c>
      <c r="K6" s="406" t="e">
        <f>_xll.qlIndexFixing($J6,$E6,TRUE,$G6)</f>
        <v>#NUM!</v>
      </c>
      <c r="L6" s="406" t="e">
        <f>IF($H6,_xll.qlIndexFixing($J6,$E6,FALSE,$G6),"-")</f>
        <v>#N/A</v>
      </c>
      <c r="M6" s="406" t="e">
        <f t="shared" si="3"/>
        <v>#NUM!</v>
      </c>
      <c r="N6" s="405" t="e">
        <f>_xll.qlIndexFixing($J6,$E6,TRUE,$L6)</f>
        <v>#NUM!</v>
      </c>
      <c r="O6" s="404"/>
      <c r="P6" s="393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</row>
    <row r="7" spans="1:30" x14ac:dyDescent="0.2">
      <c r="A7" s="374"/>
      <c r="B7" s="403"/>
      <c r="C7" s="411" t="s">
        <v>23</v>
      </c>
      <c r="D7" s="406" t="str">
        <f t="shared" si="0"/>
        <v>USD-SWD=</v>
      </c>
      <c r="E7" s="410" t="s">
        <v>219</v>
      </c>
      <c r="F7" s="409" t="s">
        <v>219</v>
      </c>
      <c r="G7" s="409" t="b">
        <f t="shared" si="1"/>
        <v>0</v>
      </c>
      <c r="H7" s="408" t="e">
        <f>IF($G7,_xll.qlIndexAddFixings($J7,$E7,$F7/100,TRUE,ISERROR($K7)),NA())</f>
        <v>#N/A</v>
      </c>
      <c r="I7" s="398"/>
      <c r="J7" s="407" t="str">
        <f t="shared" si="2"/>
        <v>Usd-SW</v>
      </c>
      <c r="K7" s="406" t="e">
        <f>_xll.qlIndexFixing($J7,$E7,TRUE,$G7)</f>
        <v>#NUM!</v>
      </c>
      <c r="L7" s="406" t="e">
        <f>IF($H7,_xll.qlIndexFixing($J7,$E7,FALSE,$G7),"-")</f>
        <v>#N/A</v>
      </c>
      <c r="M7" s="406" t="e">
        <f t="shared" si="3"/>
        <v>#NUM!</v>
      </c>
      <c r="N7" s="405" t="e">
        <f>_xll.qlIndexFixing($J7,$E7,TRUE,$L7)</f>
        <v>#NUM!</v>
      </c>
      <c r="O7" s="404">
        <f t="shared" ref="O7:O21" si="4">IF(ISERROR(M7),0,ABS(M7))</f>
        <v>0</v>
      </c>
      <c r="P7" s="393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</row>
    <row r="8" spans="1:30" x14ac:dyDescent="0.2">
      <c r="A8" s="374"/>
      <c r="B8" s="403"/>
      <c r="C8" s="411" t="s">
        <v>22</v>
      </c>
      <c r="D8" s="406" t="str">
        <f t="shared" si="0"/>
        <v>USD-2WD=</v>
      </c>
      <c r="E8" s="410" t="s">
        <v>219</v>
      </c>
      <c r="F8" s="409" t="s">
        <v>219</v>
      </c>
      <c r="G8" s="409" t="b">
        <f t="shared" si="1"/>
        <v>0</v>
      </c>
      <c r="H8" s="408" t="e">
        <f>IF($G8,_xll.qlIndexAddFixings($J8,$E8,$F8/100,TRUE,ISERROR($K8)),NA())</f>
        <v>#N/A</v>
      </c>
      <c r="I8" s="398"/>
      <c r="J8" s="407" t="str">
        <f t="shared" si="2"/>
        <v>Usd-2W</v>
      </c>
      <c r="K8" s="406" t="e">
        <f>_xll.qlIndexFixing($J8,$E8,TRUE,$G8)</f>
        <v>#NUM!</v>
      </c>
      <c r="L8" s="406" t="e">
        <f>IF($H8,_xll.qlIndexFixing($J8,$E8,FALSE,$G8),"-")</f>
        <v>#N/A</v>
      </c>
      <c r="M8" s="406" t="e">
        <f t="shared" si="3"/>
        <v>#NUM!</v>
      </c>
      <c r="N8" s="405" t="e">
        <f>_xll.qlIndexFixing($J8,$E8,TRUE,$L8)</f>
        <v>#NUM!</v>
      </c>
      <c r="O8" s="404">
        <f t="shared" si="4"/>
        <v>0</v>
      </c>
      <c r="P8" s="393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</row>
    <row r="9" spans="1:30" x14ac:dyDescent="0.2">
      <c r="A9" s="374"/>
      <c r="B9" s="403"/>
      <c r="C9" s="411" t="s">
        <v>21</v>
      </c>
      <c r="D9" s="406" t="str">
        <f t="shared" si="0"/>
        <v>USD-3WD=</v>
      </c>
      <c r="E9" s="410" t="s">
        <v>219</v>
      </c>
      <c r="F9" s="409" t="s">
        <v>219</v>
      </c>
      <c r="G9" s="409" t="b">
        <f t="shared" si="1"/>
        <v>0</v>
      </c>
      <c r="H9" s="408" t="e">
        <f>IF($G9,_xll.qlIndexAddFixings($J9,$E9,$F9/100,TRUE,ISERROR($K9)),NA())</f>
        <v>#N/A</v>
      </c>
      <c r="I9" s="398"/>
      <c r="J9" s="407" t="str">
        <f t="shared" si="2"/>
        <v>Usd-3W</v>
      </c>
      <c r="K9" s="406" t="e">
        <f>_xll.qlIndexFixing($J9,$E9,TRUE,$G9)</f>
        <v>#NUM!</v>
      </c>
      <c r="L9" s="406" t="e">
        <f>IF($H9,_xll.qlIndexFixing($J9,$E9,FALSE,$G9),"-")</f>
        <v>#N/A</v>
      </c>
      <c r="M9" s="406" t="e">
        <f t="shared" si="3"/>
        <v>#NUM!</v>
      </c>
      <c r="N9" s="405" t="e">
        <f>_xll.qlIndexFixing($J9,$E9,TRUE,$L9)</f>
        <v>#NUM!</v>
      </c>
      <c r="O9" s="404">
        <f t="shared" si="4"/>
        <v>0</v>
      </c>
      <c r="P9" s="393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</row>
    <row r="10" spans="1:30" x14ac:dyDescent="0.2">
      <c r="A10" s="374"/>
      <c r="B10" s="403"/>
      <c r="C10" s="411" t="s">
        <v>20</v>
      </c>
      <c r="D10" s="406" t="str">
        <f t="shared" si="0"/>
        <v>USD-1MD=</v>
      </c>
      <c r="E10" s="410" t="s">
        <v>219</v>
      </c>
      <c r="F10" s="409" t="s">
        <v>219</v>
      </c>
      <c r="G10" s="409" t="b">
        <f t="shared" si="1"/>
        <v>0</v>
      </c>
      <c r="H10" s="408" t="e">
        <f>IF($G10,_xll.qlIndexAddFixings($J10,$E10,$F10/100,TRUE,ISERROR($K10)),NA())</f>
        <v>#N/A</v>
      </c>
      <c r="I10" s="398"/>
      <c r="J10" s="407" t="str">
        <f t="shared" si="2"/>
        <v>Usd-1M</v>
      </c>
      <c r="K10" s="406" t="e">
        <f>_xll.qlIndexFixing($J10,$E10,TRUE,$G10)</f>
        <v>#NUM!</v>
      </c>
      <c r="L10" s="406" t="e">
        <f>IF($H10,_xll.qlIndexFixing($J10,$E10,FALSE,$G10),"-")</f>
        <v>#N/A</v>
      </c>
      <c r="M10" s="406" t="e">
        <f t="shared" si="3"/>
        <v>#NUM!</v>
      </c>
      <c r="N10" s="405" t="e">
        <f>_xll.qlIndexFixing($J10,$E10,TRUE,$L10)</f>
        <v>#NUM!</v>
      </c>
      <c r="O10" s="404">
        <f t="shared" si="4"/>
        <v>0</v>
      </c>
      <c r="P10" s="393"/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</row>
    <row r="11" spans="1:30" x14ac:dyDescent="0.2">
      <c r="A11" s="374"/>
      <c r="B11" s="403"/>
      <c r="C11" s="411" t="s">
        <v>19</v>
      </c>
      <c r="D11" s="406" t="str">
        <f t="shared" si="0"/>
        <v>USD-2MD=</v>
      </c>
      <c r="E11" s="410" t="s">
        <v>219</v>
      </c>
      <c r="F11" s="409" t="s">
        <v>219</v>
      </c>
      <c r="G11" s="409" t="b">
        <f t="shared" si="1"/>
        <v>0</v>
      </c>
      <c r="H11" s="408" t="e">
        <f>IF($G11,_xll.qlIndexAddFixings($J11,$E11,$F11/100,TRUE,ISERROR($K11)),NA())</f>
        <v>#N/A</v>
      </c>
      <c r="I11" s="398"/>
      <c r="J11" s="407" t="str">
        <f t="shared" si="2"/>
        <v>Usd-2M</v>
      </c>
      <c r="K11" s="406" t="e">
        <f>_xll.qlIndexFixing($J11,$E11,TRUE,$G11)</f>
        <v>#NUM!</v>
      </c>
      <c r="L11" s="406" t="e">
        <f>IF($H11,_xll.qlIndexFixing($J11,$E11,FALSE,$G11),"-")</f>
        <v>#N/A</v>
      </c>
      <c r="M11" s="406" t="e">
        <f t="shared" si="3"/>
        <v>#NUM!</v>
      </c>
      <c r="N11" s="405" t="e">
        <f>_xll.qlIndexFixing($J11,$E11,TRUE,$L11)</f>
        <v>#NUM!</v>
      </c>
      <c r="O11" s="404">
        <f t="shared" si="4"/>
        <v>0</v>
      </c>
      <c r="P11" s="393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</row>
    <row r="12" spans="1:30" x14ac:dyDescent="0.2">
      <c r="A12" s="374"/>
      <c r="B12" s="403"/>
      <c r="C12" s="411" t="s">
        <v>18</v>
      </c>
      <c r="D12" s="406" t="str">
        <f t="shared" si="0"/>
        <v>USD-3MD=</v>
      </c>
      <c r="E12" s="410" t="s">
        <v>219</v>
      </c>
      <c r="F12" s="409" t="s">
        <v>219</v>
      </c>
      <c r="G12" s="409" t="b">
        <f t="shared" si="1"/>
        <v>0</v>
      </c>
      <c r="H12" s="408" t="e">
        <f>IF($G12,_xll.qlIndexAddFixings($J12,$E12,$F12/100,TRUE,ISERROR($K12)),NA())</f>
        <v>#N/A</v>
      </c>
      <c r="I12" s="398"/>
      <c r="J12" s="407" t="str">
        <f t="shared" si="2"/>
        <v>Usd-3M</v>
      </c>
      <c r="K12" s="406" t="e">
        <f>_xll.qlIndexFixing($J12,$E12,TRUE,$G12)</f>
        <v>#NUM!</v>
      </c>
      <c r="L12" s="406" t="e">
        <f>IF($H12,_xll.qlIndexFixing($J12,$E12,FALSE,$G12),"-")</f>
        <v>#N/A</v>
      </c>
      <c r="M12" s="406" t="e">
        <f t="shared" si="3"/>
        <v>#NUM!</v>
      </c>
      <c r="N12" s="405" t="e">
        <f>_xll.qlIndexFixing($J12,$E12,TRUE,$L12)</f>
        <v>#NUM!</v>
      </c>
      <c r="O12" s="404">
        <f t="shared" si="4"/>
        <v>0</v>
      </c>
      <c r="P12" s="393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</row>
    <row r="13" spans="1:30" x14ac:dyDescent="0.2">
      <c r="A13" s="374"/>
      <c r="B13" s="403"/>
      <c r="C13" s="411" t="s">
        <v>17</v>
      </c>
      <c r="D13" s="406" t="str">
        <f t="shared" si="0"/>
        <v>USD-4MD=</v>
      </c>
      <c r="E13" s="410" t="s">
        <v>219</v>
      </c>
      <c r="F13" s="409" t="s">
        <v>219</v>
      </c>
      <c r="G13" s="409" t="b">
        <f t="shared" si="1"/>
        <v>0</v>
      </c>
      <c r="H13" s="408" t="e">
        <f>IF($G13,_xll.qlIndexAddFixings($J13,$E13,$F13/100,TRUE,ISERROR($K13)),NA())</f>
        <v>#N/A</v>
      </c>
      <c r="I13" s="398"/>
      <c r="J13" s="407" t="str">
        <f t="shared" si="2"/>
        <v>Usd-4M</v>
      </c>
      <c r="K13" s="406" t="e">
        <f>_xll.qlIndexFixing($J13,$E13,TRUE,$G13)</f>
        <v>#NUM!</v>
      </c>
      <c r="L13" s="406" t="e">
        <f>IF($H13,_xll.qlIndexFixing($J13,$E13,FALSE,$G13),"-")</f>
        <v>#N/A</v>
      </c>
      <c r="M13" s="406" t="e">
        <f t="shared" si="3"/>
        <v>#NUM!</v>
      </c>
      <c r="N13" s="405" t="e">
        <f>_xll.qlIndexFixing($J13,$E13,TRUE,$L13)</f>
        <v>#NUM!</v>
      </c>
      <c r="O13" s="404">
        <f t="shared" si="4"/>
        <v>0</v>
      </c>
      <c r="P13" s="393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</row>
    <row r="14" spans="1:30" x14ac:dyDescent="0.2">
      <c r="A14" s="374"/>
      <c r="B14" s="403"/>
      <c r="C14" s="411" t="s">
        <v>16</v>
      </c>
      <c r="D14" s="406" t="str">
        <f t="shared" si="0"/>
        <v>USD-5MD=</v>
      </c>
      <c r="E14" s="410" t="s">
        <v>219</v>
      </c>
      <c r="F14" s="409" t="s">
        <v>219</v>
      </c>
      <c r="G14" s="409" t="b">
        <f t="shared" si="1"/>
        <v>0</v>
      </c>
      <c r="H14" s="408" t="e">
        <f>IF($G14,_xll.qlIndexAddFixings($J14,$E14,$F14/100,TRUE,ISERROR($K14)),NA())</f>
        <v>#N/A</v>
      </c>
      <c r="I14" s="398"/>
      <c r="J14" s="407" t="str">
        <f t="shared" si="2"/>
        <v>Usd-5M</v>
      </c>
      <c r="K14" s="406" t="e">
        <f>_xll.qlIndexFixing($J14,$E14,TRUE,$G14)</f>
        <v>#NUM!</v>
      </c>
      <c r="L14" s="406" t="e">
        <f>IF($H14,_xll.qlIndexFixing($J14,$E14,FALSE,$G14),"-")</f>
        <v>#N/A</v>
      </c>
      <c r="M14" s="406" t="e">
        <f t="shared" si="3"/>
        <v>#NUM!</v>
      </c>
      <c r="N14" s="405" t="e">
        <f>_xll.qlIndexFixing($J14,$E14,TRUE,$L14)</f>
        <v>#NUM!</v>
      </c>
      <c r="O14" s="404">
        <f t="shared" si="4"/>
        <v>0</v>
      </c>
      <c r="P14" s="393"/>
      <c r="Q14" s="374"/>
      <c r="R14" s="374"/>
      <c r="S14" s="374"/>
      <c r="T14" s="374"/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</row>
    <row r="15" spans="1:30" x14ac:dyDescent="0.2">
      <c r="A15" s="374"/>
      <c r="B15" s="403"/>
      <c r="C15" s="411" t="s">
        <v>15</v>
      </c>
      <c r="D15" s="406" t="str">
        <f t="shared" si="0"/>
        <v>USD-6MD=</v>
      </c>
      <c r="E15" s="410" t="s">
        <v>219</v>
      </c>
      <c r="F15" s="409" t="s">
        <v>219</v>
      </c>
      <c r="G15" s="409" t="b">
        <f t="shared" si="1"/>
        <v>0</v>
      </c>
      <c r="H15" s="408" t="e">
        <f>IF($G15,_xll.qlIndexAddFixings($J15,$E15,$F15/100,TRUE,ISERROR($K15)),NA())</f>
        <v>#N/A</v>
      </c>
      <c r="I15" s="398"/>
      <c r="J15" s="407" t="str">
        <f t="shared" si="2"/>
        <v>Usd-6M</v>
      </c>
      <c r="K15" s="406" t="e">
        <f>_xll.qlIndexFixing($J15,$E15,TRUE,$G15)</f>
        <v>#NUM!</v>
      </c>
      <c r="L15" s="406" t="e">
        <f>IF($H15,_xll.qlIndexFixing($J15,$E15,FALSE,$G15),"-")</f>
        <v>#N/A</v>
      </c>
      <c r="M15" s="406" t="e">
        <f t="shared" si="3"/>
        <v>#NUM!</v>
      </c>
      <c r="N15" s="405" t="e">
        <f>_xll.qlIndexFixing($J15,$E15,TRUE,$L15)</f>
        <v>#NUM!</v>
      </c>
      <c r="O15" s="404">
        <f t="shared" si="4"/>
        <v>0</v>
      </c>
      <c r="P15" s="393"/>
      <c r="Q15" s="374"/>
      <c r="R15" s="374"/>
      <c r="S15" s="374"/>
      <c r="T15" s="374"/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</row>
    <row r="16" spans="1:30" x14ac:dyDescent="0.2">
      <c r="A16" s="374"/>
      <c r="B16" s="403"/>
      <c r="C16" s="411" t="s">
        <v>14</v>
      </c>
      <c r="D16" s="406" t="str">
        <f t="shared" si="0"/>
        <v>USD-7MD=</v>
      </c>
      <c r="E16" s="410" t="s">
        <v>219</v>
      </c>
      <c r="F16" s="409" t="s">
        <v>219</v>
      </c>
      <c r="G16" s="409" t="b">
        <f t="shared" si="1"/>
        <v>0</v>
      </c>
      <c r="H16" s="408" t="e">
        <f>IF($G16,_xll.qlIndexAddFixings($J16,$E16,$F16/100,TRUE,ISERROR($K16)),NA())</f>
        <v>#N/A</v>
      </c>
      <c r="I16" s="398"/>
      <c r="J16" s="407" t="str">
        <f t="shared" si="2"/>
        <v>Usd-7M</v>
      </c>
      <c r="K16" s="406" t="e">
        <f>_xll.qlIndexFixing($J16,$E16,TRUE,$G16)</f>
        <v>#NUM!</v>
      </c>
      <c r="L16" s="406" t="e">
        <f>IF($H16,_xll.qlIndexFixing($J16,$E16,FALSE,$G16),"-")</f>
        <v>#N/A</v>
      </c>
      <c r="M16" s="406" t="e">
        <f t="shared" si="3"/>
        <v>#NUM!</v>
      </c>
      <c r="N16" s="405" t="e">
        <f>_xll.qlIndexFixing($J16,$E16,TRUE,$L16)</f>
        <v>#NUM!</v>
      </c>
      <c r="O16" s="404">
        <f t="shared" si="4"/>
        <v>0</v>
      </c>
      <c r="P16" s="393"/>
      <c r="Q16" s="374"/>
      <c r="R16" s="374"/>
      <c r="S16" s="374"/>
      <c r="T16" s="374"/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</row>
    <row r="17" spans="1:30" x14ac:dyDescent="0.2">
      <c r="A17" s="374"/>
      <c r="B17" s="403"/>
      <c r="C17" s="411" t="s">
        <v>13</v>
      </c>
      <c r="D17" s="406" t="str">
        <f t="shared" si="0"/>
        <v>USD-8MD=</v>
      </c>
      <c r="E17" s="410" t="s">
        <v>219</v>
      </c>
      <c r="F17" s="409" t="s">
        <v>219</v>
      </c>
      <c r="G17" s="409" t="b">
        <f t="shared" si="1"/>
        <v>0</v>
      </c>
      <c r="H17" s="408" t="e">
        <f>IF($G17,_xll.qlIndexAddFixings($J17,$E17,$F17/100,TRUE,ISERROR($K17)),NA())</f>
        <v>#N/A</v>
      </c>
      <c r="I17" s="398"/>
      <c r="J17" s="407" t="str">
        <f t="shared" si="2"/>
        <v>Usd-8M</v>
      </c>
      <c r="K17" s="406" t="e">
        <f>_xll.qlIndexFixing($J17,$E17,TRUE,$G17)</f>
        <v>#NUM!</v>
      </c>
      <c r="L17" s="406" t="e">
        <f>IF($H17,_xll.qlIndexFixing($J17,$E17,FALSE,$G17),"-")</f>
        <v>#N/A</v>
      </c>
      <c r="M17" s="406" t="e">
        <f t="shared" si="3"/>
        <v>#NUM!</v>
      </c>
      <c r="N17" s="405" t="e">
        <f>_xll.qlIndexFixing($J17,$E17,TRUE,$L17)</f>
        <v>#NUM!</v>
      </c>
      <c r="O17" s="404">
        <f t="shared" si="4"/>
        <v>0</v>
      </c>
      <c r="P17" s="393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</row>
    <row r="18" spans="1:30" x14ac:dyDescent="0.2">
      <c r="A18" s="374"/>
      <c r="B18" s="403"/>
      <c r="C18" s="411" t="s">
        <v>12</v>
      </c>
      <c r="D18" s="406" t="str">
        <f t="shared" si="0"/>
        <v>USD-9MD=</v>
      </c>
      <c r="E18" s="410" t="s">
        <v>219</v>
      </c>
      <c r="F18" s="409" t="s">
        <v>219</v>
      </c>
      <c r="G18" s="409" t="b">
        <f t="shared" si="1"/>
        <v>0</v>
      </c>
      <c r="H18" s="408" t="e">
        <f>IF($G18,_xll.qlIndexAddFixings($J18,$E18,$F18/100,TRUE,ISERROR($K18)),NA())</f>
        <v>#N/A</v>
      </c>
      <c r="I18" s="398"/>
      <c r="J18" s="407" t="str">
        <f t="shared" si="2"/>
        <v>Usd-9M</v>
      </c>
      <c r="K18" s="406" t="e">
        <f>_xll.qlIndexFixing($J18,$E18,TRUE,$G18)</f>
        <v>#NUM!</v>
      </c>
      <c r="L18" s="406" t="e">
        <f>IF($H18,_xll.qlIndexFixing($J18,$E18,FALSE,$G18),"-")</f>
        <v>#N/A</v>
      </c>
      <c r="M18" s="406" t="e">
        <f t="shared" si="3"/>
        <v>#NUM!</v>
      </c>
      <c r="N18" s="405" t="e">
        <f>_xll.qlIndexFixing($J18,$E18,TRUE,$L18)</f>
        <v>#NUM!</v>
      </c>
      <c r="O18" s="404">
        <f t="shared" si="4"/>
        <v>0</v>
      </c>
      <c r="P18" s="393"/>
      <c r="Q18" s="374"/>
      <c r="R18" s="374"/>
      <c r="S18" s="374"/>
      <c r="T18" s="374"/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</row>
    <row r="19" spans="1:30" x14ac:dyDescent="0.2">
      <c r="A19" s="374"/>
      <c r="B19" s="403"/>
      <c r="C19" s="411" t="s">
        <v>11</v>
      </c>
      <c r="D19" s="406" t="str">
        <f t="shared" si="0"/>
        <v>USD-10MD=</v>
      </c>
      <c r="E19" s="410" t="s">
        <v>219</v>
      </c>
      <c r="F19" s="409" t="s">
        <v>219</v>
      </c>
      <c r="G19" s="409" t="b">
        <f t="shared" si="1"/>
        <v>0</v>
      </c>
      <c r="H19" s="408" t="e">
        <f>IF($G19,_xll.qlIndexAddFixings($J19,$E19,$F19/100,TRUE,ISERROR($K19)),NA())</f>
        <v>#N/A</v>
      </c>
      <c r="I19" s="398"/>
      <c r="J19" s="407" t="str">
        <f t="shared" si="2"/>
        <v>Usd-10M</v>
      </c>
      <c r="K19" s="406" t="e">
        <f>_xll.qlIndexFixing($J19,$E19,TRUE,$G19)</f>
        <v>#NUM!</v>
      </c>
      <c r="L19" s="406" t="e">
        <f>IF($H19,_xll.qlIndexFixing($J19,$E19,FALSE,$G19),"-")</f>
        <v>#N/A</v>
      </c>
      <c r="M19" s="406" t="e">
        <f t="shared" si="3"/>
        <v>#NUM!</v>
      </c>
      <c r="N19" s="405" t="e">
        <f>_xll.qlIndexFixing($J19,$E19,TRUE,$L19)</f>
        <v>#NUM!</v>
      </c>
      <c r="O19" s="404">
        <f t="shared" si="4"/>
        <v>0</v>
      </c>
      <c r="P19" s="393"/>
      <c r="Q19" s="374"/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</row>
    <row r="20" spans="1:30" x14ac:dyDescent="0.2">
      <c r="A20" s="374"/>
      <c r="B20" s="403"/>
      <c r="C20" s="411" t="s">
        <v>10</v>
      </c>
      <c r="D20" s="406" t="str">
        <f t="shared" si="0"/>
        <v>USD-11MD=</v>
      </c>
      <c r="E20" s="410" t="s">
        <v>219</v>
      </c>
      <c r="F20" s="409" t="s">
        <v>219</v>
      </c>
      <c r="G20" s="409" t="b">
        <f t="shared" si="1"/>
        <v>0</v>
      </c>
      <c r="H20" s="408" t="e">
        <f>IF($G20,_xll.qlIndexAddFixings($J20,$E20,$F20/100,TRUE,ISERROR($K20)),NA())</f>
        <v>#N/A</v>
      </c>
      <c r="I20" s="398"/>
      <c r="J20" s="407" t="str">
        <f t="shared" si="2"/>
        <v>Usd-11M</v>
      </c>
      <c r="K20" s="406" t="e">
        <f>_xll.qlIndexFixing($J20,$E20,TRUE,$G20)</f>
        <v>#NUM!</v>
      </c>
      <c r="L20" s="406" t="e">
        <f>IF($H20,_xll.qlIndexFixing($J20,$E20,FALSE,$G20),"-")</f>
        <v>#N/A</v>
      </c>
      <c r="M20" s="406" t="e">
        <f t="shared" si="3"/>
        <v>#NUM!</v>
      </c>
      <c r="N20" s="405" t="e">
        <f>_xll.qlIndexFixing($J20,$E20,TRUE,$L20)</f>
        <v>#NUM!</v>
      </c>
      <c r="O20" s="404">
        <f t="shared" si="4"/>
        <v>0</v>
      </c>
      <c r="P20" s="393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</row>
    <row r="21" spans="1:30" x14ac:dyDescent="0.2">
      <c r="A21" s="374"/>
      <c r="B21" s="403"/>
      <c r="C21" s="402" t="s">
        <v>9</v>
      </c>
      <c r="D21" s="396" t="str">
        <f t="shared" si="0"/>
        <v>USD-1YD=</v>
      </c>
      <c r="E21" s="401" t="s">
        <v>219</v>
      </c>
      <c r="F21" s="400" t="s">
        <v>219</v>
      </c>
      <c r="G21" s="400" t="b">
        <f t="shared" si="1"/>
        <v>0</v>
      </c>
      <c r="H21" s="399" t="e">
        <f>IF($G21,_xll.qlIndexAddFixings($J21,$E21,$F21/100,TRUE,ISERROR($K21)),NA())</f>
        <v>#N/A</v>
      </c>
      <c r="I21" s="398"/>
      <c r="J21" s="397" t="str">
        <f t="shared" si="2"/>
        <v>Usd-1Y</v>
      </c>
      <c r="K21" s="396" t="e">
        <f>_xll.qlIndexFixing($J21,$E21,TRUE,$G21)</f>
        <v>#NUM!</v>
      </c>
      <c r="L21" s="396" t="e">
        <f>IF($H21,_xll.qlIndexFixing($J21,$E21,FALSE,$G21),"-")</f>
        <v>#N/A</v>
      </c>
      <c r="M21" s="396" t="e">
        <f t="shared" si="3"/>
        <v>#NUM!</v>
      </c>
      <c r="N21" s="395" t="e">
        <f>_xll.qlIndexFixing($J21,$E21,TRUE,$L21)</f>
        <v>#NUM!</v>
      </c>
      <c r="O21" s="394">
        <f t="shared" si="4"/>
        <v>0</v>
      </c>
      <c r="P21" s="393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</row>
    <row r="22" spans="1:30" ht="12" thickBot="1" x14ac:dyDescent="0.25">
      <c r="A22" s="374"/>
      <c r="B22" s="392"/>
      <c r="C22" s="389"/>
      <c r="D22" s="389"/>
      <c r="E22" s="391"/>
      <c r="F22" s="390"/>
      <c r="G22" s="390"/>
      <c r="H22" s="389"/>
      <c r="I22" s="389"/>
      <c r="J22" s="389"/>
      <c r="K22" s="389"/>
      <c r="L22" s="389"/>
      <c r="M22" s="389"/>
      <c r="N22" s="389"/>
      <c r="O22" s="389"/>
      <c r="P22" s="388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</row>
    <row r="23" spans="1:30" ht="12" thickBot="1" x14ac:dyDescent="0.25">
      <c r="A23" s="374"/>
      <c r="B23" s="374"/>
      <c r="C23" s="374"/>
      <c r="D23" s="374"/>
      <c r="E23" s="387"/>
      <c r="F23" s="386"/>
      <c r="G23" s="386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</row>
    <row r="24" spans="1:30" s="374" customFormat="1" x14ac:dyDescent="0.2">
      <c r="C24" s="385" t="s">
        <v>110</v>
      </c>
      <c r="D24" s="384" t="s">
        <v>304</v>
      </c>
      <c r="E24" s="383" t="s">
        <v>304</v>
      </c>
      <c r="F24" s="382"/>
    </row>
    <row r="25" spans="1:30" s="374" customFormat="1" x14ac:dyDescent="0.2">
      <c r="C25" s="380" t="s">
        <v>109</v>
      </c>
      <c r="D25" s="379" t="s">
        <v>311</v>
      </c>
      <c r="E25" s="378" t="s">
        <v>310</v>
      </c>
      <c r="J25" s="381"/>
    </row>
    <row r="26" spans="1:30" s="374" customFormat="1" x14ac:dyDescent="0.2">
      <c r="C26" s="380" t="s">
        <v>288</v>
      </c>
      <c r="D26" s="379" t="s">
        <v>304</v>
      </c>
      <c r="E26" s="378" t="s">
        <v>304</v>
      </c>
      <c r="J26" s="381"/>
    </row>
    <row r="27" spans="1:30" s="374" customFormat="1" x14ac:dyDescent="0.2">
      <c r="C27" s="380" t="s">
        <v>287</v>
      </c>
      <c r="D27" s="379" t="s">
        <v>304</v>
      </c>
      <c r="E27" s="378" t="s">
        <v>304</v>
      </c>
      <c r="J27" s="381"/>
    </row>
    <row r="28" spans="1:30" s="374" customFormat="1" x14ac:dyDescent="0.2">
      <c r="C28" s="380" t="s">
        <v>106</v>
      </c>
      <c r="D28" s="379" t="s">
        <v>304</v>
      </c>
      <c r="E28" s="378" t="s">
        <v>304</v>
      </c>
    </row>
    <row r="29" spans="1:30" s="374" customFormat="1" x14ac:dyDescent="0.2">
      <c r="C29" s="380" t="s">
        <v>105</v>
      </c>
      <c r="D29" s="379" t="s">
        <v>304</v>
      </c>
      <c r="E29" s="378" t="s">
        <v>304</v>
      </c>
    </row>
    <row r="30" spans="1:30" s="374" customFormat="1" ht="12" thickBot="1" x14ac:dyDescent="0.25">
      <c r="C30" s="377" t="s">
        <v>100</v>
      </c>
      <c r="D30" s="376" t="s">
        <v>304</v>
      </c>
      <c r="E30" s="375" t="s">
        <v>304</v>
      </c>
    </row>
    <row r="31" spans="1:30" s="374" customFormat="1" x14ac:dyDescent="0.2"/>
    <row r="32" spans="1:30" s="374" customFormat="1" x14ac:dyDescent="0.2"/>
    <row r="33" s="374" customFormat="1" x14ac:dyDescent="0.2"/>
    <row r="34" s="374" customFormat="1" x14ac:dyDescent="0.2"/>
    <row r="35" s="374" customFormat="1" x14ac:dyDescent="0.2"/>
    <row r="36" s="374" customFormat="1" x14ac:dyDescent="0.2"/>
    <row r="37" s="374" customFormat="1" x14ac:dyDescent="0.2"/>
    <row r="38" s="374" customFormat="1" x14ac:dyDescent="0.2"/>
    <row r="39" s="374" customFormat="1" x14ac:dyDescent="0.2"/>
    <row r="40" s="374" customFormat="1" x14ac:dyDescent="0.2"/>
    <row r="41" s="374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D11" sqref="D11"/>
    </sheetView>
  </sheetViews>
  <sheetFormatPr defaultRowHeight="11.25" x14ac:dyDescent="0.2"/>
  <cols>
    <col min="1" max="2" width="2.7109375" style="373" customWidth="1"/>
    <col min="3" max="3" width="5.7109375" style="373" bestFit="1" customWidth="1"/>
    <col min="4" max="4" width="12.140625" style="373" bestFit="1" customWidth="1"/>
    <col min="5" max="5" width="12.85546875" style="373" customWidth="1"/>
    <col min="6" max="6" width="7.42578125" style="373" customWidth="1"/>
    <col min="7" max="7" width="6" style="373" bestFit="1" customWidth="1"/>
    <col min="8" max="8" width="5.5703125" style="373" bestFit="1" customWidth="1"/>
    <col min="9" max="9" width="2.7109375" style="373" customWidth="1"/>
    <col min="10" max="10" width="9.5703125" style="373" bestFit="1" customWidth="1"/>
    <col min="11" max="11" width="11.42578125" style="373" bestFit="1" customWidth="1"/>
    <col min="12" max="12" width="8.7109375" style="373" bestFit="1" customWidth="1"/>
    <col min="13" max="13" width="7.7109375" style="373" bestFit="1" customWidth="1"/>
    <col min="14" max="14" width="10" style="373" bestFit="1" customWidth="1"/>
    <col min="15" max="15" width="7.140625" style="373" hidden="1" customWidth="1"/>
    <col min="16" max="17" width="2.7109375" style="373" customWidth="1"/>
    <col min="18" max="18" width="12.85546875" style="373" bestFit="1" customWidth="1"/>
    <col min="19" max="19" width="7.140625" style="373" bestFit="1" customWidth="1"/>
    <col min="20" max="20" width="6" style="373" bestFit="1" customWidth="1"/>
    <col min="21" max="16384" width="9.140625" style="373"/>
  </cols>
  <sheetData>
    <row r="1" spans="1:30" ht="12" thickBot="1" x14ac:dyDescent="0.25">
      <c r="A1" s="448" t="s">
        <v>313</v>
      </c>
      <c r="B1" s="374"/>
      <c r="C1" s="374"/>
      <c r="D1" s="379"/>
      <c r="E1" s="387"/>
      <c r="F1" s="433"/>
      <c r="G1" s="433"/>
      <c r="H1" s="374"/>
      <c r="I1" s="379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</row>
    <row r="2" spans="1:30" ht="22.5" customHeight="1" x14ac:dyDescent="0.4">
      <c r="A2" s="374"/>
      <c r="B2" s="432"/>
      <c r="C2" s="426"/>
      <c r="D2" s="431" t="str">
        <f>VLOOKUP(Currency,Traits,2,FALSE)</f>
        <v>-</v>
      </c>
      <c r="E2" s="430"/>
      <c r="F2" s="429"/>
      <c r="G2" s="429"/>
      <c r="H2" s="426"/>
      <c r="I2" s="426"/>
      <c r="J2" s="428" t="str">
        <f>VLOOKUP(Currency,Traits,3,FALSE)</f>
        <v>-</v>
      </c>
      <c r="K2" s="426"/>
      <c r="L2" s="426"/>
      <c r="M2" s="427">
        <f>MAX(O4:O21)</f>
        <v>0</v>
      </c>
      <c r="N2" s="426"/>
      <c r="O2" s="426"/>
      <c r="P2" s="425"/>
      <c r="Q2" s="374"/>
      <c r="R2" s="374" t="s">
        <v>120</v>
      </c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</row>
    <row r="3" spans="1:30" ht="22.5" x14ac:dyDescent="0.2">
      <c r="A3" s="374"/>
      <c r="B3" s="403"/>
      <c r="C3" s="423" t="s">
        <v>26</v>
      </c>
      <c r="D3" s="422" t="str">
        <f>_xll.RData(D4:D21,E3:F3,"RTFEED:IDN",,,E4)</f>
        <v>Paused at 15:28:02</v>
      </c>
      <c r="E3" s="422" t="s">
        <v>295</v>
      </c>
      <c r="F3" s="422" t="s">
        <v>224</v>
      </c>
      <c r="G3" s="422" t="s">
        <v>294</v>
      </c>
      <c r="H3" s="421" t="s">
        <v>293</v>
      </c>
      <c r="I3" s="424"/>
      <c r="J3" s="423" t="s">
        <v>236</v>
      </c>
      <c r="K3" s="422" t="s">
        <v>292</v>
      </c>
      <c r="L3" s="422" t="s">
        <v>291</v>
      </c>
      <c r="M3" s="422" t="s">
        <v>290</v>
      </c>
      <c r="N3" s="421" t="s">
        <v>289</v>
      </c>
      <c r="O3" s="420"/>
      <c r="P3" s="393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</row>
    <row r="4" spans="1:30" ht="15" x14ac:dyDescent="0.25">
      <c r="A4" s="374"/>
      <c r="B4" s="403"/>
      <c r="C4" s="419" t="s">
        <v>194</v>
      </c>
      <c r="D4" s="414" t="str">
        <f t="shared" ref="D4:D21" si="0">Currency&amp;$D$2&amp;$C4&amp;"D="</f>
        <v>USD-OND=</v>
      </c>
      <c r="E4" s="418" t="s">
        <v>219</v>
      </c>
      <c r="F4" s="443" t="s">
        <v>219</v>
      </c>
      <c r="G4" s="417" t="b">
        <f t="shared" ref="G4:G21" si="1">IF(AND(ISNUMBER($F4),$F4&lt;&gt;0%),TRUE,FALSE)</f>
        <v>0</v>
      </c>
      <c r="H4" s="416" t="e">
        <f>IF($G4,_xll.qlIndexAddFixings($J4,$E4,$F4/100,TRUE,ISERROR($K4)),NA())</f>
        <v>#N/A</v>
      </c>
      <c r="I4" s="398"/>
      <c r="J4" s="415" t="str">
        <f t="shared" ref="J4:J21" si="2">PROPER(Currency)&amp;$J$2&amp;$C4</f>
        <v>Usd-ON</v>
      </c>
      <c r="K4" s="414" t="e">
        <f>_xll.qlIndexFixing($J4,$E4,TRUE,$G4)</f>
        <v>#NUM!</v>
      </c>
      <c r="L4" s="414" t="e">
        <f>IF($H4,_xll.qlIndexFixing($J4,$E4,FALSE,$G4),"-")</f>
        <v>#N/A</v>
      </c>
      <c r="M4" s="414" t="e">
        <f t="shared" ref="M4:M21" si="3">K4-L4</f>
        <v>#NUM!</v>
      </c>
      <c r="N4" s="413" t="e">
        <f>_xll.qlIndexFixing($J4,$E4,TRUE,$L4)</f>
        <v>#NUM!</v>
      </c>
      <c r="O4" s="412">
        <f>IF(ISERROR(M4),0,ABS(M4))</f>
        <v>0</v>
      </c>
      <c r="P4" s="393"/>
      <c r="Q4" s="374"/>
      <c r="R4" s="374" t="str">
        <f>Currency&amp;$C4&amp;"D"&amp;$R$2</f>
        <v>USDOND_Quote</v>
      </c>
      <c r="S4" s="445">
        <f>_xll.qlQuoteValue(R4,ISERROR(H4))</f>
        <v>1.4000000000000002E-3</v>
      </c>
      <c r="T4" s="444" t="e">
        <f>IF(E4=EvaluationDate,S4-F4/100,NA())</f>
        <v>#N/A</v>
      </c>
      <c r="U4" s="374"/>
      <c r="V4" s="374"/>
      <c r="W4" s="374"/>
      <c r="X4" s="374"/>
      <c r="Y4" s="374"/>
      <c r="Z4" s="374"/>
      <c r="AA4" s="374"/>
      <c r="AB4" s="374"/>
      <c r="AC4" s="374"/>
      <c r="AD4" s="374"/>
    </row>
    <row r="5" spans="1:30" ht="15" x14ac:dyDescent="0.25">
      <c r="A5" s="374"/>
      <c r="B5" s="403"/>
      <c r="C5" s="411" t="s">
        <v>226</v>
      </c>
      <c r="D5" s="406" t="str">
        <f t="shared" si="0"/>
        <v>USD-TND=</v>
      </c>
      <c r="E5" s="410" t="s">
        <v>219</v>
      </c>
      <c r="F5" s="442" t="s">
        <v>219</v>
      </c>
      <c r="G5" s="409" t="b">
        <f t="shared" si="1"/>
        <v>0</v>
      </c>
      <c r="H5" s="408" t="e">
        <f>IF($G5,_xll.qlIndexAddFixings($J5,$E5,$F5/100,TRUE,ISERROR($K5)),NA())</f>
        <v>#N/A</v>
      </c>
      <c r="I5" s="398"/>
      <c r="J5" s="407" t="str">
        <f t="shared" si="2"/>
        <v>Usd-TN</v>
      </c>
      <c r="K5" s="406" t="e">
        <f>_xll.qlIndexFixing($J5,$E5,TRUE,$G5)</f>
        <v>#NUM!</v>
      </c>
      <c r="L5" s="406" t="e">
        <f>IF($H5,_xll.qlIndexFixing($J5,$E5,FALSE,$G5),"-")</f>
        <v>#N/A</v>
      </c>
      <c r="M5" s="406" t="e">
        <f t="shared" si="3"/>
        <v>#NUM!</v>
      </c>
      <c r="N5" s="405" t="e">
        <f>_xll.qlIndexFixing($J5,$E5,TRUE,$L5)</f>
        <v>#NUM!</v>
      </c>
      <c r="O5" s="404"/>
      <c r="P5" s="393"/>
      <c r="Q5" s="374"/>
      <c r="R5" s="374"/>
      <c r="S5" s="445"/>
      <c r="T5" s="444"/>
      <c r="U5" s="374"/>
      <c r="V5" s="374"/>
      <c r="W5" s="374"/>
      <c r="X5" s="374"/>
      <c r="Y5" s="374"/>
      <c r="Z5" s="374"/>
      <c r="AA5" s="374"/>
      <c r="AB5" s="374"/>
      <c r="AC5" s="374"/>
      <c r="AD5" s="374"/>
    </row>
    <row r="6" spans="1:30" ht="15" x14ac:dyDescent="0.25">
      <c r="A6" s="374"/>
      <c r="B6" s="403"/>
      <c r="C6" s="411" t="s">
        <v>223</v>
      </c>
      <c r="D6" s="406" t="str">
        <f t="shared" si="0"/>
        <v>USD-SND=</v>
      </c>
      <c r="E6" s="410" t="s">
        <v>219</v>
      </c>
      <c r="F6" s="442" t="s">
        <v>219</v>
      </c>
      <c r="G6" s="409" t="b">
        <f t="shared" si="1"/>
        <v>0</v>
      </c>
      <c r="H6" s="408" t="e">
        <f>IF($G6,_xll.qlIndexAddFixings($J6,$E6,$F6/100,TRUE,ISERROR($K6)),NA())</f>
        <v>#N/A</v>
      </c>
      <c r="I6" s="398"/>
      <c r="J6" s="407" t="str">
        <f t="shared" si="2"/>
        <v>Usd-SN</v>
      </c>
      <c r="K6" s="406" t="e">
        <f>_xll.qlIndexFixing($J6,$E6,TRUE,$G6)</f>
        <v>#NUM!</v>
      </c>
      <c r="L6" s="406" t="e">
        <f>IF($H6,_xll.qlIndexFixing($J6,$E6,FALSE,$G6),"-")</f>
        <v>#N/A</v>
      </c>
      <c r="M6" s="406" t="e">
        <f t="shared" si="3"/>
        <v>#NUM!</v>
      </c>
      <c r="N6" s="405" t="e">
        <f>_xll.qlIndexFixing($J6,$E6,TRUE,$L6)</f>
        <v>#NUM!</v>
      </c>
      <c r="O6" s="404"/>
      <c r="P6" s="393"/>
      <c r="Q6" s="374"/>
      <c r="R6" s="374"/>
      <c r="S6" s="445"/>
      <c r="T6" s="444"/>
      <c r="U6" s="374"/>
      <c r="V6" s="374"/>
      <c r="W6" s="374"/>
      <c r="X6" s="374"/>
      <c r="Y6" s="374"/>
      <c r="Z6" s="374"/>
      <c r="AA6" s="374"/>
      <c r="AB6" s="374"/>
      <c r="AC6" s="374"/>
      <c r="AD6" s="374"/>
    </row>
    <row r="7" spans="1:30" ht="15" x14ac:dyDescent="0.25">
      <c r="A7" s="374"/>
      <c r="B7" s="403"/>
      <c r="C7" s="411" t="s">
        <v>23</v>
      </c>
      <c r="D7" s="406" t="str">
        <f t="shared" si="0"/>
        <v>USD-SWD=</v>
      </c>
      <c r="E7" s="410" t="s">
        <v>219</v>
      </c>
      <c r="F7" s="409" t="s">
        <v>219</v>
      </c>
      <c r="G7" s="409" t="b">
        <f t="shared" si="1"/>
        <v>0</v>
      </c>
      <c r="H7" s="408" t="e">
        <f>IF($G7,_xll.qlIndexAddFixings($J7,$E7,$F7/100,TRUE,ISERROR($K7)),NA())</f>
        <v>#N/A</v>
      </c>
      <c r="I7" s="398"/>
      <c r="J7" s="407" t="str">
        <f t="shared" si="2"/>
        <v>Usd-SW</v>
      </c>
      <c r="K7" s="406" t="e">
        <f>_xll.qlIndexFixing($J7,$E7,TRUE,$G7)</f>
        <v>#NUM!</v>
      </c>
      <c r="L7" s="406" t="e">
        <f>IF($H7,_xll.qlIndexFixing($J7,$E7,FALSE,$G7),"-")</f>
        <v>#N/A</v>
      </c>
      <c r="M7" s="406" t="e">
        <f t="shared" si="3"/>
        <v>#NUM!</v>
      </c>
      <c r="N7" s="405" t="e">
        <f>_xll.qlIndexFixing($J7,$E7,TRUE,$L7)</f>
        <v>#NUM!</v>
      </c>
      <c r="O7" s="404">
        <f t="shared" ref="O7:O21" si="4">IF(ISERROR(M7),0,ABS(M7))</f>
        <v>0</v>
      </c>
      <c r="P7" s="393"/>
      <c r="Q7" s="374"/>
      <c r="R7" s="374" t="str">
        <f t="shared" ref="R7:R21" si="5">Currency&amp;$C7&amp;"D"&amp;$R$2</f>
        <v>USDSWD_Quote</v>
      </c>
      <c r="S7" s="445">
        <f>_xll.qlQuoteValue(R7,ISERROR(H7))</f>
        <v>1.2130000000000001E-3</v>
      </c>
      <c r="T7" s="444" t="e">
        <f t="shared" ref="T7:T21" si="6">IF(E7=EvaluationDate,S7-F7/100,NA())</f>
        <v>#N/A</v>
      </c>
      <c r="U7" s="374"/>
      <c r="V7" s="374"/>
      <c r="W7" s="374"/>
      <c r="X7" s="374"/>
      <c r="Y7" s="374"/>
      <c r="Z7" s="374"/>
      <c r="AA7" s="374"/>
      <c r="AB7" s="374"/>
      <c r="AC7" s="374"/>
      <c r="AD7" s="374"/>
    </row>
    <row r="8" spans="1:30" ht="15" x14ac:dyDescent="0.25">
      <c r="A8" s="374"/>
      <c r="B8" s="403"/>
      <c r="C8" s="411" t="s">
        <v>22</v>
      </c>
      <c r="D8" s="406" t="str">
        <f t="shared" si="0"/>
        <v>USD-2WD=</v>
      </c>
      <c r="E8" s="410" t="s">
        <v>219</v>
      </c>
      <c r="F8" s="409" t="s">
        <v>219</v>
      </c>
      <c r="G8" s="409" t="b">
        <f t="shared" si="1"/>
        <v>0</v>
      </c>
      <c r="H8" s="408" t="e">
        <f>IF($G8,_xll.qlIndexAddFixings($J8,$E8,$F8/100,TRUE,ISERROR($K8)),NA())</f>
        <v>#N/A</v>
      </c>
      <c r="I8" s="398"/>
      <c r="J8" s="407" t="str">
        <f t="shared" si="2"/>
        <v>Usd-2W</v>
      </c>
      <c r="K8" s="406" t="e">
        <f>_xll.qlIndexFixing($J8,$E8,TRUE,$G8)</f>
        <v>#NUM!</v>
      </c>
      <c r="L8" s="406" t="e">
        <f>IF($H8,_xll.qlIndexFixing($J8,$E8,FALSE,$G8),"-")</f>
        <v>#N/A</v>
      </c>
      <c r="M8" s="406" t="e">
        <f t="shared" si="3"/>
        <v>#NUM!</v>
      </c>
      <c r="N8" s="405" t="e">
        <f>_xll.qlIndexFixing($J8,$E8,TRUE,$L8)</f>
        <v>#NUM!</v>
      </c>
      <c r="O8" s="404">
        <f t="shared" si="4"/>
        <v>0</v>
      </c>
      <c r="P8" s="393"/>
      <c r="Q8" s="374"/>
      <c r="R8" s="374" t="str">
        <f t="shared" si="5"/>
        <v>USD2WD_Quote</v>
      </c>
      <c r="S8" s="445">
        <f>_xll.qlQuoteValue(R8,ISERROR(H8))</f>
        <v>0</v>
      </c>
      <c r="T8" s="444" t="e">
        <f t="shared" si="6"/>
        <v>#N/A</v>
      </c>
      <c r="U8" s="374"/>
      <c r="V8" s="374"/>
      <c r="W8" s="374"/>
      <c r="X8" s="374"/>
      <c r="Y8" s="374"/>
      <c r="Z8" s="374"/>
      <c r="AA8" s="374"/>
      <c r="AB8" s="374"/>
      <c r="AC8" s="374"/>
      <c r="AD8" s="374"/>
    </row>
    <row r="9" spans="1:30" ht="15" x14ac:dyDescent="0.25">
      <c r="A9" s="374"/>
      <c r="B9" s="403"/>
      <c r="C9" s="411" t="s">
        <v>21</v>
      </c>
      <c r="D9" s="406" t="str">
        <f t="shared" si="0"/>
        <v>USD-3WD=</v>
      </c>
      <c r="E9" s="410" t="s">
        <v>219</v>
      </c>
      <c r="F9" s="409" t="s">
        <v>219</v>
      </c>
      <c r="G9" s="409" t="b">
        <f t="shared" si="1"/>
        <v>0</v>
      </c>
      <c r="H9" s="408" t="e">
        <f>IF($G9,_xll.qlIndexAddFixings($J9,$E9,$F9/100,TRUE,ISERROR($K9)),NA())</f>
        <v>#N/A</v>
      </c>
      <c r="I9" s="398"/>
      <c r="J9" s="407" t="str">
        <f t="shared" si="2"/>
        <v>Usd-3W</v>
      </c>
      <c r="K9" s="406" t="e">
        <f>_xll.qlIndexFixing($J9,$E9,TRUE,$G9)</f>
        <v>#NUM!</v>
      </c>
      <c r="L9" s="406" t="e">
        <f>IF($H9,_xll.qlIndexFixing($J9,$E9,FALSE,$G9),"-")</f>
        <v>#N/A</v>
      </c>
      <c r="M9" s="406" t="e">
        <f t="shared" si="3"/>
        <v>#NUM!</v>
      </c>
      <c r="N9" s="405" t="e">
        <f>_xll.qlIndexFixing($J9,$E9,TRUE,$L9)</f>
        <v>#NUM!</v>
      </c>
      <c r="O9" s="404">
        <f t="shared" si="4"/>
        <v>0</v>
      </c>
      <c r="P9" s="393"/>
      <c r="Q9" s="374"/>
      <c r="R9" s="374" t="str">
        <f t="shared" si="5"/>
        <v>USD3WD_Quote</v>
      </c>
      <c r="S9" s="445" t="e">
        <f>_xll.qlQuoteValue(R9,ISERROR(H9))</f>
        <v>#NUM!</v>
      </c>
      <c r="T9" s="444" t="e">
        <f t="shared" si="6"/>
        <v>#N/A</v>
      </c>
      <c r="U9" s="374"/>
      <c r="V9" s="374"/>
      <c r="W9" s="374"/>
      <c r="X9" s="374"/>
      <c r="Y9" s="374"/>
      <c r="Z9" s="374"/>
      <c r="AA9" s="374"/>
      <c r="AB9" s="374"/>
      <c r="AC9" s="374"/>
      <c r="AD9" s="374"/>
    </row>
    <row r="10" spans="1:30" ht="15" x14ac:dyDescent="0.25">
      <c r="A10" s="374"/>
      <c r="B10" s="403"/>
      <c r="C10" s="411" t="s">
        <v>20</v>
      </c>
      <c r="D10" s="406" t="str">
        <f t="shared" si="0"/>
        <v>USD-1MD=</v>
      </c>
      <c r="E10" s="410" t="s">
        <v>219</v>
      </c>
      <c r="F10" s="409" t="s">
        <v>219</v>
      </c>
      <c r="G10" s="409" t="b">
        <f t="shared" si="1"/>
        <v>0</v>
      </c>
      <c r="H10" s="408" t="e">
        <f>IF($G10,_xll.qlIndexAddFixings($J10,$E10,$F10/100,TRUE,ISERROR($K10)),NA())</f>
        <v>#N/A</v>
      </c>
      <c r="I10" s="398"/>
      <c r="J10" s="407" t="str">
        <f t="shared" si="2"/>
        <v>Usd-1M</v>
      </c>
      <c r="K10" s="406" t="e">
        <f>_xll.qlIndexFixing($J10,$E10,TRUE,$G10)</f>
        <v>#NUM!</v>
      </c>
      <c r="L10" s="406" t="e">
        <f>IF($H10,_xll.qlIndexFixing($J10,$E10,FALSE,$G10),"-")</f>
        <v>#N/A</v>
      </c>
      <c r="M10" s="406" t="e">
        <f t="shared" si="3"/>
        <v>#NUM!</v>
      </c>
      <c r="N10" s="405" t="e">
        <f>_xll.qlIndexFixing($J10,$E10,TRUE,$L10)</f>
        <v>#NUM!</v>
      </c>
      <c r="O10" s="404">
        <f t="shared" si="4"/>
        <v>0</v>
      </c>
      <c r="P10" s="393"/>
      <c r="Q10" s="374"/>
      <c r="R10" s="374" t="str">
        <f t="shared" si="5"/>
        <v>USD1MD_Quote</v>
      </c>
      <c r="S10" s="445">
        <f>_xll.qlQuoteValue(R10,ISERROR(H10))</f>
        <v>1.5229999999999998E-3</v>
      </c>
      <c r="T10" s="444" t="e">
        <f t="shared" si="6"/>
        <v>#N/A</v>
      </c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</row>
    <row r="11" spans="1:30" ht="15" x14ac:dyDescent="0.25">
      <c r="A11" s="374"/>
      <c r="B11" s="403"/>
      <c r="C11" s="411" t="s">
        <v>19</v>
      </c>
      <c r="D11" s="406" t="str">
        <f t="shared" si="0"/>
        <v>USD-2MD=</v>
      </c>
      <c r="E11" s="410" t="s">
        <v>219</v>
      </c>
      <c r="F11" s="409" t="s">
        <v>219</v>
      </c>
      <c r="G11" s="409" t="b">
        <f t="shared" si="1"/>
        <v>0</v>
      </c>
      <c r="H11" s="408" t="e">
        <f>IF($G11,_xll.qlIndexAddFixings($J11,$E11,$F11/100,TRUE,ISERROR($K11)),NA())</f>
        <v>#N/A</v>
      </c>
      <c r="I11" s="398"/>
      <c r="J11" s="407" t="str">
        <f t="shared" si="2"/>
        <v>Usd-2M</v>
      </c>
      <c r="K11" s="406" t="e">
        <f>_xll.qlIndexFixing($J11,$E11,TRUE,$G11)</f>
        <v>#NUM!</v>
      </c>
      <c r="L11" s="406" t="e">
        <f>IF($H11,_xll.qlIndexFixing($J11,$E11,FALSE,$G11),"-")</f>
        <v>#N/A</v>
      </c>
      <c r="M11" s="406" t="e">
        <f t="shared" si="3"/>
        <v>#NUM!</v>
      </c>
      <c r="N11" s="405" t="e">
        <f>_xll.qlIndexFixing($J11,$E11,TRUE,$L11)</f>
        <v>#NUM!</v>
      </c>
      <c r="O11" s="404">
        <f t="shared" si="4"/>
        <v>0</v>
      </c>
      <c r="P11" s="393"/>
      <c r="Q11" s="374"/>
      <c r="R11" s="374" t="str">
        <f t="shared" si="5"/>
        <v>USD2MD_Quote</v>
      </c>
      <c r="S11" s="445">
        <f>_xll.qlQuoteValue(R11,ISERROR(H11))</f>
        <v>1.9300000000000001E-3</v>
      </c>
      <c r="T11" s="444" t="e">
        <f t="shared" si="6"/>
        <v>#N/A</v>
      </c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</row>
    <row r="12" spans="1:30" ht="15" x14ac:dyDescent="0.25">
      <c r="A12" s="374"/>
      <c r="B12" s="403"/>
      <c r="C12" s="411" t="s">
        <v>18</v>
      </c>
      <c r="D12" s="406" t="str">
        <f t="shared" si="0"/>
        <v>USD-3MD=</v>
      </c>
      <c r="E12" s="410" t="s">
        <v>219</v>
      </c>
      <c r="F12" s="409" t="s">
        <v>219</v>
      </c>
      <c r="G12" s="409" t="b">
        <f t="shared" si="1"/>
        <v>0</v>
      </c>
      <c r="H12" s="408" t="e">
        <f>IF($G12,_xll.qlIndexAddFixings($J12,$E12,$F12/100,TRUE,ISERROR($K12)),NA())</f>
        <v>#N/A</v>
      </c>
      <c r="I12" s="398"/>
      <c r="J12" s="407" t="str">
        <f t="shared" si="2"/>
        <v>Usd-3M</v>
      </c>
      <c r="K12" s="406" t="e">
        <f>_xll.qlIndexFixing($J12,$E12,TRUE,$G12)</f>
        <v>#NUM!</v>
      </c>
      <c r="L12" s="406" t="e">
        <f>IF($H12,_xll.qlIndexFixing($J12,$E12,FALSE,$G12),"-")</f>
        <v>#N/A</v>
      </c>
      <c r="M12" s="406" t="e">
        <f t="shared" si="3"/>
        <v>#NUM!</v>
      </c>
      <c r="N12" s="405" t="e">
        <f>_xll.qlIndexFixing($J12,$E12,TRUE,$L12)</f>
        <v>#NUM!</v>
      </c>
      <c r="O12" s="404">
        <f t="shared" si="4"/>
        <v>0</v>
      </c>
      <c r="P12" s="393"/>
      <c r="Q12" s="374"/>
      <c r="R12" s="374" t="str">
        <f t="shared" si="5"/>
        <v>USD3MD_Quote</v>
      </c>
      <c r="S12" s="445">
        <f>_xll.qlQuoteValue(R12,ISERROR(H12))</f>
        <v>2.2875E-3</v>
      </c>
      <c r="T12" s="444" t="e">
        <f t="shared" si="6"/>
        <v>#N/A</v>
      </c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</row>
    <row r="13" spans="1:30" ht="15" x14ac:dyDescent="0.25">
      <c r="A13" s="374"/>
      <c r="B13" s="403"/>
      <c r="C13" s="411" t="s">
        <v>17</v>
      </c>
      <c r="D13" s="406" t="str">
        <f t="shared" si="0"/>
        <v>USD-4MD=</v>
      </c>
      <c r="E13" s="410" t="s">
        <v>219</v>
      </c>
      <c r="F13" s="409" t="s">
        <v>219</v>
      </c>
      <c r="G13" s="409" t="b">
        <f t="shared" si="1"/>
        <v>0</v>
      </c>
      <c r="H13" s="408" t="e">
        <f>IF($G13,_xll.qlIndexAddFixings($J13,$E13,$F13/100,TRUE,ISERROR($K13)),NA())</f>
        <v>#N/A</v>
      </c>
      <c r="I13" s="398"/>
      <c r="J13" s="407" t="str">
        <f t="shared" si="2"/>
        <v>Usd-4M</v>
      </c>
      <c r="K13" s="406" t="e">
        <f>_xll.qlIndexFixing($J13,$E13,TRUE,$G13)</f>
        <v>#NUM!</v>
      </c>
      <c r="L13" s="406" t="e">
        <f>IF($H13,_xll.qlIndexFixing($J13,$E13,FALSE,$G13),"-")</f>
        <v>#N/A</v>
      </c>
      <c r="M13" s="406" t="e">
        <f t="shared" si="3"/>
        <v>#NUM!</v>
      </c>
      <c r="N13" s="405" t="e">
        <f>_xll.qlIndexFixing($J13,$E13,TRUE,$L13)</f>
        <v>#NUM!</v>
      </c>
      <c r="O13" s="404">
        <f t="shared" si="4"/>
        <v>0</v>
      </c>
      <c r="P13" s="393"/>
      <c r="Q13" s="374"/>
      <c r="R13" s="374" t="str">
        <f t="shared" si="5"/>
        <v>USD4MD_Quote</v>
      </c>
      <c r="S13" s="445">
        <f>_xll.qlQuoteValue(R13,ISERROR(H13))</f>
        <v>0</v>
      </c>
      <c r="T13" s="444" t="e">
        <f t="shared" si="6"/>
        <v>#N/A</v>
      </c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</row>
    <row r="14" spans="1:30" ht="15" x14ac:dyDescent="0.25">
      <c r="A14" s="374"/>
      <c r="B14" s="403"/>
      <c r="C14" s="411" t="s">
        <v>16</v>
      </c>
      <c r="D14" s="406" t="str">
        <f t="shared" si="0"/>
        <v>USD-5MD=</v>
      </c>
      <c r="E14" s="410" t="s">
        <v>219</v>
      </c>
      <c r="F14" s="409" t="s">
        <v>219</v>
      </c>
      <c r="G14" s="409" t="b">
        <f t="shared" si="1"/>
        <v>0</v>
      </c>
      <c r="H14" s="408" t="e">
        <f>IF($G14,_xll.qlIndexAddFixings($J14,$E14,$F14/100,TRUE,ISERROR($K14)),NA())</f>
        <v>#N/A</v>
      </c>
      <c r="I14" s="398"/>
      <c r="J14" s="407" t="str">
        <f t="shared" si="2"/>
        <v>Usd-5M</v>
      </c>
      <c r="K14" s="406" t="e">
        <f>_xll.qlIndexFixing($J14,$E14,TRUE,$G14)</f>
        <v>#NUM!</v>
      </c>
      <c r="L14" s="406" t="e">
        <f>IF($H14,_xll.qlIndexFixing($J14,$E14,FALSE,$G14),"-")</f>
        <v>#N/A</v>
      </c>
      <c r="M14" s="406" t="e">
        <f t="shared" si="3"/>
        <v>#NUM!</v>
      </c>
      <c r="N14" s="405" t="e">
        <f>_xll.qlIndexFixing($J14,$E14,TRUE,$L14)</f>
        <v>#NUM!</v>
      </c>
      <c r="O14" s="404">
        <f t="shared" si="4"/>
        <v>0</v>
      </c>
      <c r="P14" s="393"/>
      <c r="Q14" s="374"/>
      <c r="R14" s="374" t="str">
        <f t="shared" si="5"/>
        <v>USD5MD_Quote</v>
      </c>
      <c r="S14" s="445">
        <f>_xll.qlQuoteValue(R14,ISERROR(H14))</f>
        <v>0</v>
      </c>
      <c r="T14" s="444" t="e">
        <f t="shared" si="6"/>
        <v>#N/A</v>
      </c>
      <c r="U14" s="374"/>
      <c r="V14" s="374"/>
      <c r="W14" s="374"/>
      <c r="X14" s="374"/>
      <c r="Y14" s="374"/>
      <c r="Z14" s="374"/>
      <c r="AA14" s="374"/>
      <c r="AB14" s="374"/>
      <c r="AC14" s="374"/>
      <c r="AD14" s="374"/>
    </row>
    <row r="15" spans="1:30" ht="15" x14ac:dyDescent="0.25">
      <c r="A15" s="374"/>
      <c r="B15" s="403"/>
      <c r="C15" s="411" t="s">
        <v>15</v>
      </c>
      <c r="D15" s="406" t="str">
        <f t="shared" si="0"/>
        <v>USD-6MD=</v>
      </c>
      <c r="E15" s="410" t="s">
        <v>219</v>
      </c>
      <c r="F15" s="409" t="s">
        <v>219</v>
      </c>
      <c r="G15" s="409" t="b">
        <f t="shared" si="1"/>
        <v>0</v>
      </c>
      <c r="H15" s="408" t="e">
        <f>IF($G15,_xll.qlIndexAddFixings($J15,$E15,$F15/100,TRUE,ISERROR($K15)),NA())</f>
        <v>#N/A</v>
      </c>
      <c r="I15" s="398"/>
      <c r="J15" s="407" t="str">
        <f t="shared" si="2"/>
        <v>Usd-6M</v>
      </c>
      <c r="K15" s="406" t="e">
        <f>_xll.qlIndexFixing($J15,$E15,TRUE,$G15)</f>
        <v>#NUM!</v>
      </c>
      <c r="L15" s="406" t="e">
        <f>IF($H15,_xll.qlIndexFixing($J15,$E15,FALSE,$G15),"-")</f>
        <v>#N/A</v>
      </c>
      <c r="M15" s="406" t="e">
        <f t="shared" si="3"/>
        <v>#NUM!</v>
      </c>
      <c r="N15" s="405" t="e">
        <f>_xll.qlIndexFixing($J15,$E15,TRUE,$L15)</f>
        <v>#NUM!</v>
      </c>
      <c r="O15" s="404">
        <f t="shared" si="4"/>
        <v>0</v>
      </c>
      <c r="P15" s="393"/>
      <c r="Q15" s="374"/>
      <c r="R15" s="374" t="str">
        <f t="shared" si="5"/>
        <v>USD6MD_Quote</v>
      </c>
      <c r="S15" s="445">
        <f>_xll.qlQuoteValue(R15,ISERROR(H15))</f>
        <v>3.228E-3</v>
      </c>
      <c r="T15" s="444" t="e">
        <f t="shared" si="6"/>
        <v>#N/A</v>
      </c>
      <c r="U15" s="374"/>
      <c r="V15" s="374"/>
      <c r="W15" s="374"/>
      <c r="X15" s="374"/>
      <c r="Y15" s="374"/>
      <c r="Z15" s="374"/>
      <c r="AA15" s="374"/>
      <c r="AB15" s="374"/>
      <c r="AC15" s="374"/>
      <c r="AD15" s="374"/>
    </row>
    <row r="16" spans="1:30" ht="15" x14ac:dyDescent="0.25">
      <c r="A16" s="374"/>
      <c r="B16" s="403"/>
      <c r="C16" s="411" t="s">
        <v>14</v>
      </c>
      <c r="D16" s="406" t="str">
        <f t="shared" si="0"/>
        <v>USD-7MD=</v>
      </c>
      <c r="E16" s="410" t="s">
        <v>219</v>
      </c>
      <c r="F16" s="409" t="s">
        <v>219</v>
      </c>
      <c r="G16" s="409" t="b">
        <f t="shared" si="1"/>
        <v>0</v>
      </c>
      <c r="H16" s="408" t="e">
        <f>IF($G16,_xll.qlIndexAddFixings($J16,$E16,$F16/100,TRUE,ISERROR($K16)),NA())</f>
        <v>#N/A</v>
      </c>
      <c r="I16" s="398"/>
      <c r="J16" s="407" t="str">
        <f t="shared" si="2"/>
        <v>Usd-7M</v>
      </c>
      <c r="K16" s="406" t="e">
        <f>_xll.qlIndexFixing($J16,$E16,TRUE,$G16)</f>
        <v>#NUM!</v>
      </c>
      <c r="L16" s="406" t="e">
        <f>IF($H16,_xll.qlIndexFixing($J16,$E16,FALSE,$G16),"-")</f>
        <v>#N/A</v>
      </c>
      <c r="M16" s="406" t="e">
        <f t="shared" si="3"/>
        <v>#NUM!</v>
      </c>
      <c r="N16" s="405" t="e">
        <f>_xll.qlIndexFixing($J16,$E16,TRUE,$L16)</f>
        <v>#NUM!</v>
      </c>
      <c r="O16" s="404">
        <f t="shared" si="4"/>
        <v>0</v>
      </c>
      <c r="P16" s="393"/>
      <c r="Q16" s="374"/>
      <c r="R16" s="374" t="str">
        <f t="shared" si="5"/>
        <v>USD7MD_Quote</v>
      </c>
      <c r="S16" s="445">
        <f>_xll.qlQuoteValue(R16,ISERROR(H16))</f>
        <v>0</v>
      </c>
      <c r="T16" s="444" t="e">
        <f t="shared" si="6"/>
        <v>#N/A</v>
      </c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</row>
    <row r="17" spans="1:30" ht="15" x14ac:dyDescent="0.25">
      <c r="A17" s="374"/>
      <c r="B17" s="403"/>
      <c r="C17" s="411" t="s">
        <v>13</v>
      </c>
      <c r="D17" s="406" t="str">
        <f t="shared" si="0"/>
        <v>USD-8MD=</v>
      </c>
      <c r="E17" s="410" t="s">
        <v>219</v>
      </c>
      <c r="F17" s="409" t="s">
        <v>219</v>
      </c>
      <c r="G17" s="409" t="b">
        <f t="shared" si="1"/>
        <v>0</v>
      </c>
      <c r="H17" s="408" t="e">
        <f>IF($G17,_xll.qlIndexAddFixings($J17,$E17,$F17/100,TRUE,ISERROR($K17)),NA())</f>
        <v>#N/A</v>
      </c>
      <c r="I17" s="398"/>
      <c r="J17" s="407" t="str">
        <f t="shared" si="2"/>
        <v>Usd-8M</v>
      </c>
      <c r="K17" s="406" t="e">
        <f>_xll.qlIndexFixing($J17,$E17,TRUE,$G17)</f>
        <v>#NUM!</v>
      </c>
      <c r="L17" s="406" t="e">
        <f>IF($H17,_xll.qlIndexFixing($J17,$E17,FALSE,$G17),"-")</f>
        <v>#N/A</v>
      </c>
      <c r="M17" s="406" t="e">
        <f t="shared" si="3"/>
        <v>#NUM!</v>
      </c>
      <c r="N17" s="405" t="e">
        <f>_xll.qlIndexFixing($J17,$E17,TRUE,$L17)</f>
        <v>#NUM!</v>
      </c>
      <c r="O17" s="404">
        <f t="shared" si="4"/>
        <v>0</v>
      </c>
      <c r="P17" s="393"/>
      <c r="Q17" s="374"/>
      <c r="R17" s="374" t="str">
        <f t="shared" si="5"/>
        <v>USD8MD_Quote</v>
      </c>
      <c r="S17" s="445">
        <f>_xll.qlQuoteValue(R17,ISERROR(H17))</f>
        <v>0</v>
      </c>
      <c r="T17" s="444" t="e">
        <f t="shared" si="6"/>
        <v>#N/A</v>
      </c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</row>
    <row r="18" spans="1:30" ht="15" x14ac:dyDescent="0.25">
      <c r="A18" s="374"/>
      <c r="B18" s="403"/>
      <c r="C18" s="411" t="s">
        <v>12</v>
      </c>
      <c r="D18" s="406" t="str">
        <f t="shared" si="0"/>
        <v>USD-9MD=</v>
      </c>
      <c r="E18" s="410" t="s">
        <v>219</v>
      </c>
      <c r="F18" s="409" t="s">
        <v>219</v>
      </c>
      <c r="G18" s="409" t="b">
        <f t="shared" si="1"/>
        <v>0</v>
      </c>
      <c r="H18" s="408" t="e">
        <f>IF($G18,_xll.qlIndexAddFixings($J18,$E18,$F18/100,TRUE,ISERROR($K18)),NA())</f>
        <v>#N/A</v>
      </c>
      <c r="I18" s="398"/>
      <c r="J18" s="407" t="str">
        <f t="shared" si="2"/>
        <v>Usd-9M</v>
      </c>
      <c r="K18" s="406" t="e">
        <f>_xll.qlIndexFixing($J18,$E18,TRUE,$G18)</f>
        <v>#NUM!</v>
      </c>
      <c r="L18" s="406" t="e">
        <f>IF($H18,_xll.qlIndexFixing($J18,$E18,FALSE,$G18),"-")</f>
        <v>#N/A</v>
      </c>
      <c r="M18" s="406" t="e">
        <f t="shared" si="3"/>
        <v>#NUM!</v>
      </c>
      <c r="N18" s="405" t="e">
        <f>_xll.qlIndexFixing($J18,$E18,TRUE,$L18)</f>
        <v>#NUM!</v>
      </c>
      <c r="O18" s="404">
        <f t="shared" si="4"/>
        <v>0</v>
      </c>
      <c r="P18" s="393"/>
      <c r="Q18" s="374"/>
      <c r="R18" s="374" t="str">
        <f t="shared" si="5"/>
        <v>USD9MD_Quote</v>
      </c>
      <c r="S18" s="445">
        <f>_xll.qlQuoteValue(R18,ISERROR(H18))</f>
        <v>0</v>
      </c>
      <c r="T18" s="444" t="e">
        <f t="shared" si="6"/>
        <v>#N/A</v>
      </c>
      <c r="U18" s="374"/>
      <c r="V18" s="374"/>
      <c r="W18" s="374"/>
      <c r="X18" s="374"/>
      <c r="Y18" s="374"/>
      <c r="Z18" s="374"/>
      <c r="AA18" s="374"/>
      <c r="AB18" s="374"/>
      <c r="AC18" s="374"/>
      <c r="AD18" s="374"/>
    </row>
    <row r="19" spans="1:30" ht="15" x14ac:dyDescent="0.25">
      <c r="A19" s="374"/>
      <c r="B19" s="403"/>
      <c r="C19" s="411" t="s">
        <v>11</v>
      </c>
      <c r="D19" s="406" t="str">
        <f t="shared" si="0"/>
        <v>USD-10MD=</v>
      </c>
      <c r="E19" s="410" t="s">
        <v>219</v>
      </c>
      <c r="F19" s="409" t="s">
        <v>219</v>
      </c>
      <c r="G19" s="409" t="b">
        <f t="shared" si="1"/>
        <v>0</v>
      </c>
      <c r="H19" s="408" t="e">
        <f>IF($G19,_xll.qlIndexAddFixings($J19,$E19,$F19/100,TRUE,ISERROR($K19)),NA())</f>
        <v>#N/A</v>
      </c>
      <c r="I19" s="398"/>
      <c r="J19" s="407" t="str">
        <f t="shared" si="2"/>
        <v>Usd-10M</v>
      </c>
      <c r="K19" s="406" t="e">
        <f>_xll.qlIndexFixing($J19,$E19,TRUE,$G19)</f>
        <v>#NUM!</v>
      </c>
      <c r="L19" s="406" t="e">
        <f>IF($H19,_xll.qlIndexFixing($J19,$E19,FALSE,$G19),"-")</f>
        <v>#N/A</v>
      </c>
      <c r="M19" s="406" t="e">
        <f t="shared" si="3"/>
        <v>#NUM!</v>
      </c>
      <c r="N19" s="405" t="e">
        <f>_xll.qlIndexFixing($J19,$E19,TRUE,$L19)</f>
        <v>#NUM!</v>
      </c>
      <c r="O19" s="404">
        <f t="shared" si="4"/>
        <v>0</v>
      </c>
      <c r="P19" s="393"/>
      <c r="Q19" s="374"/>
      <c r="R19" s="374" t="str">
        <f t="shared" si="5"/>
        <v>USD10MD_Quote</v>
      </c>
      <c r="S19" s="445">
        <f>_xll.qlQuoteValue(R19,ISERROR(H19))</f>
        <v>0</v>
      </c>
      <c r="T19" s="444" t="e">
        <f t="shared" si="6"/>
        <v>#N/A</v>
      </c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</row>
    <row r="20" spans="1:30" ht="15" x14ac:dyDescent="0.25">
      <c r="A20" s="374"/>
      <c r="B20" s="403"/>
      <c r="C20" s="411" t="s">
        <v>10</v>
      </c>
      <c r="D20" s="406" t="str">
        <f t="shared" si="0"/>
        <v>USD-11MD=</v>
      </c>
      <c r="E20" s="410" t="s">
        <v>219</v>
      </c>
      <c r="F20" s="409" t="s">
        <v>219</v>
      </c>
      <c r="G20" s="409" t="b">
        <f t="shared" si="1"/>
        <v>0</v>
      </c>
      <c r="H20" s="408" t="e">
        <f>IF($G20,_xll.qlIndexAddFixings($J20,$E20,$F20/100,TRUE,ISERROR($K20)),NA())</f>
        <v>#N/A</v>
      </c>
      <c r="I20" s="398"/>
      <c r="J20" s="407" t="str">
        <f t="shared" si="2"/>
        <v>Usd-11M</v>
      </c>
      <c r="K20" s="406" t="e">
        <f>_xll.qlIndexFixing($J20,$E20,TRUE,$G20)</f>
        <v>#NUM!</v>
      </c>
      <c r="L20" s="406" t="e">
        <f>IF($H20,_xll.qlIndexFixing($J20,$E20,FALSE,$G20),"-")</f>
        <v>#N/A</v>
      </c>
      <c r="M20" s="406" t="e">
        <f t="shared" si="3"/>
        <v>#NUM!</v>
      </c>
      <c r="N20" s="405" t="e">
        <f>_xll.qlIndexFixing($J20,$E20,TRUE,$L20)</f>
        <v>#NUM!</v>
      </c>
      <c r="O20" s="404">
        <f t="shared" si="4"/>
        <v>0</v>
      </c>
      <c r="P20" s="393"/>
      <c r="Q20" s="374"/>
      <c r="R20" s="374" t="str">
        <f t="shared" si="5"/>
        <v>USD11MD_Quote</v>
      </c>
      <c r="S20" s="445">
        <f>_xll.qlQuoteValue(R20,ISERROR(H20))</f>
        <v>0</v>
      </c>
      <c r="T20" s="444" t="e">
        <f t="shared" si="6"/>
        <v>#N/A</v>
      </c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</row>
    <row r="21" spans="1:30" ht="15" x14ac:dyDescent="0.25">
      <c r="A21" s="374"/>
      <c r="B21" s="403"/>
      <c r="C21" s="402" t="s">
        <v>9</v>
      </c>
      <c r="D21" s="396" t="str">
        <f t="shared" si="0"/>
        <v>USD-1YD=</v>
      </c>
      <c r="E21" s="401" t="s">
        <v>219</v>
      </c>
      <c r="F21" s="400" t="s">
        <v>219</v>
      </c>
      <c r="G21" s="400" t="b">
        <f t="shared" si="1"/>
        <v>0</v>
      </c>
      <c r="H21" s="399" t="e">
        <f>IF($G21,_xll.qlIndexAddFixings($J21,$E21,$F21/100,TRUE,ISERROR($K21)),NA())</f>
        <v>#N/A</v>
      </c>
      <c r="I21" s="398"/>
      <c r="J21" s="397" t="str">
        <f t="shared" si="2"/>
        <v>Usd-1Y</v>
      </c>
      <c r="K21" s="396" t="e">
        <f>_xll.qlIndexFixing($J21,$E21,TRUE,$G21)</f>
        <v>#NUM!</v>
      </c>
      <c r="L21" s="396" t="e">
        <f>IF($H21,_xll.qlIndexFixing($J21,$E21,FALSE,$G21),"-")</f>
        <v>#N/A</v>
      </c>
      <c r="M21" s="396" t="e">
        <f t="shared" si="3"/>
        <v>#NUM!</v>
      </c>
      <c r="N21" s="395" t="e">
        <f>_xll.qlIndexFixing($J21,$E21,TRUE,$L21)</f>
        <v>#NUM!</v>
      </c>
      <c r="O21" s="394">
        <f t="shared" si="4"/>
        <v>0</v>
      </c>
      <c r="P21" s="393"/>
      <c r="Q21" s="374"/>
      <c r="R21" s="374" t="str">
        <f t="shared" si="5"/>
        <v>USD1YD_Quote</v>
      </c>
      <c r="S21" s="445">
        <f>_xll.qlQuoteValue(R21,ISERROR(H21))</f>
        <v>5.483E-3</v>
      </c>
      <c r="T21" s="444" t="e">
        <f t="shared" si="6"/>
        <v>#N/A</v>
      </c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</row>
    <row r="22" spans="1:30" ht="12" thickBot="1" x14ac:dyDescent="0.25">
      <c r="A22" s="374"/>
      <c r="B22" s="392"/>
      <c r="C22" s="389"/>
      <c r="D22" s="389"/>
      <c r="E22" s="391"/>
      <c r="F22" s="390"/>
      <c r="G22" s="390"/>
      <c r="H22" s="389"/>
      <c r="I22" s="389"/>
      <c r="J22" s="389"/>
      <c r="K22" s="389"/>
      <c r="L22" s="389"/>
      <c r="M22" s="389"/>
      <c r="N22" s="389"/>
      <c r="O22" s="389"/>
      <c r="P22" s="388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</row>
    <row r="23" spans="1:30" ht="12" thickBot="1" x14ac:dyDescent="0.25">
      <c r="A23" s="374"/>
      <c r="B23" s="374"/>
      <c r="C23" s="374"/>
      <c r="D23" s="374"/>
      <c r="E23" s="387"/>
      <c r="F23" s="386"/>
      <c r="G23" s="386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</row>
    <row r="24" spans="1:30" s="374" customFormat="1" x14ac:dyDescent="0.2">
      <c r="C24" s="385" t="s">
        <v>110</v>
      </c>
      <c r="D24" s="384" t="s">
        <v>304</v>
      </c>
      <c r="E24" s="383" t="s">
        <v>304</v>
      </c>
      <c r="F24" s="382"/>
    </row>
    <row r="25" spans="1:30" s="374" customFormat="1" x14ac:dyDescent="0.2">
      <c r="C25" s="380" t="s">
        <v>109</v>
      </c>
      <c r="D25" s="379" t="s">
        <v>227</v>
      </c>
      <c r="E25" s="378" t="s">
        <v>228</v>
      </c>
      <c r="J25" s="381"/>
    </row>
    <row r="26" spans="1:30" s="374" customFormat="1" x14ac:dyDescent="0.2">
      <c r="C26" s="380" t="s">
        <v>288</v>
      </c>
      <c r="D26" s="379" t="s">
        <v>304</v>
      </c>
      <c r="E26" s="378" t="s">
        <v>304</v>
      </c>
      <c r="J26" s="381"/>
    </row>
    <row r="27" spans="1:30" s="374" customFormat="1" x14ac:dyDescent="0.2">
      <c r="C27" s="380" t="s">
        <v>287</v>
      </c>
      <c r="D27" s="379" t="s">
        <v>304</v>
      </c>
      <c r="E27" s="378" t="s">
        <v>304</v>
      </c>
      <c r="J27" s="381"/>
    </row>
    <row r="28" spans="1:30" s="374" customFormat="1" x14ac:dyDescent="0.2">
      <c r="C28" s="380" t="s">
        <v>106</v>
      </c>
      <c r="D28" s="379" t="s">
        <v>304</v>
      </c>
      <c r="E28" s="378" t="s">
        <v>304</v>
      </c>
    </row>
    <row r="29" spans="1:30" s="374" customFormat="1" x14ac:dyDescent="0.2">
      <c r="C29" s="380" t="s">
        <v>105</v>
      </c>
      <c r="D29" s="379" t="s">
        <v>304</v>
      </c>
      <c r="E29" s="378" t="s">
        <v>304</v>
      </c>
    </row>
    <row r="30" spans="1:30" s="374" customFormat="1" ht="12" thickBot="1" x14ac:dyDescent="0.25">
      <c r="C30" s="377" t="s">
        <v>100</v>
      </c>
      <c r="D30" s="376" t="s">
        <v>304</v>
      </c>
      <c r="E30" s="375" t="s">
        <v>304</v>
      </c>
    </row>
    <row r="31" spans="1:30" s="374" customFormat="1" x14ac:dyDescent="0.2"/>
    <row r="32" spans="1:30" s="374" customFormat="1" x14ac:dyDescent="0.2"/>
    <row r="33" s="374" customFormat="1" x14ac:dyDescent="0.2"/>
    <row r="34" s="374" customFormat="1" x14ac:dyDescent="0.2"/>
    <row r="35" s="374" customFormat="1" x14ac:dyDescent="0.2"/>
    <row r="36" s="374" customFormat="1" x14ac:dyDescent="0.2"/>
    <row r="37" s="374" customFormat="1" x14ac:dyDescent="0.2"/>
    <row r="38" s="374" customFormat="1" x14ac:dyDescent="0.2"/>
    <row r="39" s="374" customFormat="1" x14ac:dyDescent="0.2"/>
    <row r="40" s="374" customFormat="1" x14ac:dyDescent="0.2"/>
    <row r="41" s="374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119</vt:i4>
      </vt:variant>
    </vt:vector>
  </HeadingPairs>
  <TitlesOfParts>
    <vt:vector size="147" baseType="lpstr">
      <vt:lpstr>General Settings</vt:lpstr>
      <vt:lpstr>Libor</vt:lpstr>
      <vt:lpstr>LiborSwapIsdaFixAm</vt:lpstr>
      <vt:lpstr>LiborSwapIsdaFixPm</vt:lpstr>
      <vt:lpstr>LiborSwapForBasisCalc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6M_2</vt:lpstr>
      <vt:lpstr>1Y (2)</vt:lpstr>
      <vt:lpstr>FwdEONIAOIS</vt:lpstr>
      <vt:lpstr>SFIX3</vt:lpstr>
      <vt:lpstr>IB365</vt:lpstr>
      <vt:lpstr>IBOR</vt:lpstr>
      <vt:lpstr>Deposits!Contributor</vt:lpstr>
      <vt:lpstr>FwdEONIAOIS!Contributor</vt:lpstr>
      <vt:lpstr>OIS!Contributor</vt:lpstr>
      <vt:lpstr>Contributor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LiborSwapForBasisCalc!FamilyName</vt:lpstr>
      <vt:lpstr>LiborSwapIsdaFixAm!FamilyName</vt:lpstr>
      <vt:lpstr>LiborSwapIsdaFixPm!FamilyName</vt:lpstr>
      <vt:lpstr>FamilyName</vt:lpstr>
      <vt:lpstr>Libor!FileName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2014-04-24T13:31:18Z</dcterms:modified>
</cp:coreProperties>
</file>