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zanzi\quantlib\QuantLibXL\Data2\XLS\"/>
    </mc:Choice>
  </mc:AlternateContent>
  <bookViews>
    <workbookView xWindow="-15" yWindow="-15" windowWidth="15165" windowHeight="9390" tabRatio="695"/>
  </bookViews>
  <sheets>
    <sheet name="General Settings" sheetId="29" r:id="rId1"/>
    <sheet name="SynthDepo" sheetId="32" r:id="rId2"/>
    <sheet name="RateHelpersFra" sheetId="34" r:id="rId3"/>
    <sheet name="SynthFra" sheetId="35" r:id="rId4"/>
    <sheet name="Contribution" sheetId="33" r:id="rId5"/>
  </sheets>
  <externalReferences>
    <externalReference r:id="rId6"/>
  </externalReferences>
  <definedNames>
    <definedName name="Accuracy">'General Settings'!$D$30</definedName>
    <definedName name="AllTriggers">'General Settings'!$J$18:$J$22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Contribution!$N$3:$N$84</definedName>
    <definedName name="QuoteLive" localSheetId="4">Contribution!$J$3:$J$84</definedName>
    <definedName name="QuoteStatic" localSheetId="4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52511"/>
</workbook>
</file>

<file path=xl/calcChain.xml><?xml version="1.0" encoding="utf-8"?>
<calcChain xmlns="http://schemas.openxmlformats.org/spreadsheetml/2006/main">
  <c r="N3" i="33" l="1" a="1"/>
  <c r="N3" i="33" s="1"/>
  <c r="N74" i="33" l="1"/>
  <c r="N58" i="33"/>
  <c r="N46" i="33"/>
  <c r="N30" i="33"/>
  <c r="N14" i="33"/>
  <c r="N77" i="33"/>
  <c r="N73" i="33"/>
  <c r="N69" i="33"/>
  <c r="N65" i="33"/>
  <c r="N61" i="33"/>
  <c r="N57" i="33"/>
  <c r="N53" i="33"/>
  <c r="N49" i="33"/>
  <c r="N45" i="33"/>
  <c r="N41" i="33"/>
  <c r="N37" i="33"/>
  <c r="N33" i="33"/>
  <c r="N29" i="33"/>
  <c r="N25" i="33"/>
  <c r="N21" i="33"/>
  <c r="N17" i="33"/>
  <c r="N13" i="33"/>
  <c r="N9" i="33"/>
  <c r="N5" i="33"/>
  <c r="N78" i="33"/>
  <c r="N70" i="33"/>
  <c r="N62" i="33"/>
  <c r="N54" i="33"/>
  <c r="N42" i="33"/>
  <c r="N38" i="33"/>
  <c r="N26" i="33"/>
  <c r="N18" i="33"/>
  <c r="N6" i="33"/>
  <c r="N81" i="33"/>
  <c r="N84" i="33"/>
  <c r="N80" i="33"/>
  <c r="N76" i="33"/>
  <c r="N72" i="33"/>
  <c r="N68" i="33"/>
  <c r="N64" i="33"/>
  <c r="N60" i="33"/>
  <c r="N56" i="33"/>
  <c r="N52" i="33"/>
  <c r="N48" i="33"/>
  <c r="N44" i="33"/>
  <c r="N40" i="33"/>
  <c r="N36" i="33"/>
  <c r="N32" i="33"/>
  <c r="N28" i="33"/>
  <c r="N24" i="33"/>
  <c r="N20" i="33"/>
  <c r="N16" i="33"/>
  <c r="N12" i="33"/>
  <c r="N8" i="33"/>
  <c r="N4" i="33"/>
  <c r="N82" i="33"/>
  <c r="N66" i="33"/>
  <c r="N50" i="33"/>
  <c r="N34" i="33"/>
  <c r="N22" i="33"/>
  <c r="N10" i="33"/>
  <c r="N83" i="33"/>
  <c r="N79" i="33"/>
  <c r="N75" i="33"/>
  <c r="N71" i="33"/>
  <c r="N67" i="33"/>
  <c r="N63" i="33"/>
  <c r="N59" i="33"/>
  <c r="N55" i="33"/>
  <c r="N51" i="33"/>
  <c r="N47" i="33"/>
  <c r="N43" i="33"/>
  <c r="N39" i="33"/>
  <c r="N35" i="33"/>
  <c r="N31" i="33"/>
  <c r="N27" i="33"/>
  <c r="N23" i="33"/>
  <c r="N19" i="33"/>
  <c r="N15" i="33"/>
  <c r="N11" i="33"/>
  <c r="N7" i="33"/>
  <c r="I9" i="32"/>
  <c r="I8" i="32"/>
  <c r="I18" i="32"/>
  <c r="I17" i="32"/>
  <c r="J19" i="29"/>
  <c r="J22" i="29"/>
  <c r="I75" i="33" l="1"/>
  <c r="I76" i="33"/>
  <c r="I77" i="33"/>
  <c r="I78" i="33"/>
  <c r="I79" i="33"/>
  <c r="I80" i="33"/>
  <c r="I81" i="33"/>
  <c r="I82" i="33"/>
  <c r="I83" i="33"/>
  <c r="I84" i="33"/>
  <c r="I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D5" i="32"/>
  <c r="D27" i="32"/>
  <c r="D24" i="32"/>
  <c r="D23" i="32"/>
  <c r="D22" i="32"/>
  <c r="D21" i="32"/>
  <c r="D20" i="32"/>
  <c r="D19" i="32"/>
  <c r="D13" i="32"/>
  <c r="D14" i="32"/>
  <c r="D12" i="32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81" i="33"/>
  <c r="D41" i="33"/>
  <c r="D66" i="33"/>
  <c r="D76" i="33"/>
  <c r="D84" i="33"/>
  <c r="D54" i="33"/>
  <c r="D60" i="33"/>
  <c r="D65" i="33"/>
  <c r="D53" i="33"/>
  <c r="D51" i="33"/>
  <c r="D75" i="33"/>
  <c r="D57" i="33"/>
  <c r="D59" i="33"/>
  <c r="D50" i="33"/>
  <c r="D62" i="33"/>
  <c r="D49" i="33"/>
  <c r="D58" i="33"/>
  <c r="D77" i="33"/>
  <c r="D63" i="33"/>
  <c r="D80" i="33"/>
  <c r="D61" i="33"/>
  <c r="D47" i="33"/>
  <c r="D82" i="33"/>
  <c r="D73" i="33"/>
  <c r="D78" i="33"/>
  <c r="D83" i="33"/>
  <c r="D68" i="33"/>
  <c r="D52" i="33"/>
  <c r="D67" i="33"/>
  <c r="D43" i="33"/>
  <c r="D45" i="33"/>
  <c r="D70" i="33"/>
  <c r="D72" i="33"/>
  <c r="D55" i="33"/>
  <c r="D64" i="33"/>
  <c r="D79" i="33"/>
  <c r="D46" i="33"/>
  <c r="D71" i="33"/>
  <c r="D48" i="33"/>
  <c r="D74" i="33"/>
  <c r="D42" i="33"/>
  <c r="D44" i="33"/>
  <c r="D69" i="33"/>
  <c r="D56" i="33"/>
  <c r="C9" i="33" l="1"/>
  <c r="C12" i="33"/>
  <c r="C13" i="33"/>
  <c r="C8" i="33"/>
  <c r="C14" i="33"/>
  <c r="C11" i="33"/>
  <c r="C10" i="33"/>
  <c r="A16" i="33"/>
  <c r="A4" i="33"/>
  <c r="E58" i="33"/>
  <c r="E62" i="33"/>
  <c r="E42" i="33"/>
  <c r="E82" i="33"/>
  <c r="A3" i="32"/>
  <c r="A26" i="32"/>
  <c r="E50" i="33"/>
  <c r="E76" i="33"/>
  <c r="E69" i="33"/>
  <c r="E54" i="33"/>
  <c r="E79" i="33"/>
  <c r="E78" i="33"/>
  <c r="E74" i="33"/>
  <c r="E67" i="33"/>
  <c r="E63" i="33"/>
  <c r="E52" i="33"/>
  <c r="E65" i="33"/>
  <c r="A26" i="33"/>
  <c r="E49" i="33"/>
  <c r="E48" i="33"/>
  <c r="E51" i="33"/>
  <c r="E60" i="33"/>
  <c r="E53" i="33"/>
  <c r="E59" i="33"/>
  <c r="E47" i="33"/>
  <c r="E83" i="33"/>
  <c r="E75" i="33"/>
  <c r="E80" i="33"/>
  <c r="E57" i="33"/>
  <c r="A7" i="32"/>
  <c r="A16" i="32"/>
  <c r="E55" i="33"/>
  <c r="E71" i="33"/>
  <c r="E84" i="33"/>
  <c r="E66" i="33"/>
  <c r="E41" i="33"/>
  <c r="E77" i="33"/>
  <c r="E73" i="33"/>
  <c r="E56" i="33"/>
  <c r="E68" i="33"/>
  <c r="E72" i="33"/>
  <c r="E70" i="33"/>
  <c r="E44" i="33"/>
  <c r="E46" i="33"/>
  <c r="E64" i="33"/>
  <c r="E81" i="33"/>
  <c r="E43" i="33"/>
  <c r="E61" i="33"/>
  <c r="E45" i="33"/>
  <c r="D25" i="32" l="1"/>
  <c r="C5" i="33"/>
  <c r="C3" i="33"/>
  <c r="C6" i="33"/>
  <c r="C4" i="33"/>
  <c r="C7" i="33"/>
  <c r="D15" i="32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D2" i="32"/>
  <c r="C20" i="33"/>
  <c r="C22" i="33"/>
  <c r="C21" i="33"/>
  <c r="C23" i="33"/>
  <c r="C18" i="33"/>
  <c r="C24" i="33"/>
  <c r="C16" i="33"/>
  <c r="C15" i="33"/>
  <c r="C19" i="33"/>
  <c r="C17" i="33"/>
  <c r="D6" i="32"/>
  <c r="D8" i="29"/>
  <c r="D6" i="29"/>
  <c r="F10" i="34"/>
  <c r="D16" i="33"/>
  <c r="D20" i="33"/>
  <c r="D27" i="33"/>
  <c r="D11" i="33"/>
  <c r="D14" i="33"/>
  <c r="O4" i="35"/>
  <c r="D30" i="33"/>
  <c r="D7" i="33"/>
  <c r="D28" i="32"/>
  <c r="D31" i="33"/>
  <c r="D38" i="33"/>
  <c r="D21" i="33"/>
  <c r="D34" i="33"/>
  <c r="D22" i="33"/>
  <c r="D10" i="33"/>
  <c r="D19" i="33"/>
  <c r="D40" i="33"/>
  <c r="O5" i="35"/>
  <c r="D18" i="29"/>
  <c r="D12" i="33"/>
  <c r="F40" i="32"/>
  <c r="F38" i="32"/>
  <c r="O3" i="35"/>
  <c r="D19" i="29"/>
  <c r="D4" i="33"/>
  <c r="D24" i="33"/>
  <c r="D23" i="33"/>
  <c r="D32" i="33"/>
  <c r="D35" i="33"/>
  <c r="D17" i="33"/>
  <c r="O2" i="35"/>
  <c r="O6" i="35"/>
  <c r="D5" i="33"/>
  <c r="D28" i="33"/>
  <c r="D26" i="33"/>
  <c r="E14" i="32"/>
  <c r="F43" i="32"/>
  <c r="F45" i="32"/>
  <c r="F48" i="32"/>
  <c r="F36" i="32"/>
  <c r="E20" i="32"/>
  <c r="D6" i="33"/>
  <c r="E13" i="32"/>
  <c r="F44" i="32"/>
  <c r="E22" i="32"/>
  <c r="E27" i="32"/>
  <c r="F42" i="32"/>
  <c r="D39" i="33"/>
  <c r="D13" i="33"/>
  <c r="D29" i="33"/>
  <c r="D8" i="33"/>
  <c r="D15" i="33"/>
  <c r="D33" i="33"/>
  <c r="D37" i="33"/>
  <c r="D9" i="33"/>
  <c r="D3" i="33"/>
  <c r="B1" i="29"/>
  <c r="D18" i="33"/>
  <c r="E3" i="33"/>
  <c r="F47" i="32"/>
  <c r="E19" i="32"/>
  <c r="F39" i="32"/>
  <c r="F41" i="32"/>
  <c r="E24" i="32"/>
  <c r="E21" i="32"/>
  <c r="E23" i="32"/>
  <c r="D36" i="33"/>
  <c r="F49" i="32"/>
  <c r="D25" i="33"/>
  <c r="F37" i="32"/>
  <c r="F35" i="32"/>
  <c r="E12" i="32"/>
  <c r="F46" i="32"/>
  <c r="F34" i="32"/>
  <c r="E2" i="34" l="1"/>
  <c r="D2" i="35"/>
  <c r="K34" i="32"/>
  <c r="E25" i="32"/>
  <c r="N25" i="32" s="1"/>
  <c r="E15" i="32"/>
  <c r="N15" i="32" s="1"/>
  <c r="E6" i="32"/>
  <c r="N6" i="32" s="1"/>
  <c r="E5" i="32"/>
  <c r="E2" i="32"/>
  <c r="N2" i="32" s="1"/>
  <c r="K43" i="32"/>
  <c r="K40" i="32"/>
  <c r="K38" i="32"/>
  <c r="K42" i="32"/>
  <c r="K41" i="32"/>
  <c r="K39" i="32"/>
  <c r="K37" i="32"/>
  <c r="K36" i="32"/>
  <c r="K35" i="32"/>
  <c r="K49" i="32"/>
  <c r="K48" i="32"/>
  <c r="K47" i="32"/>
  <c r="K46" i="32"/>
  <c r="K45" i="32"/>
  <c r="K44" i="32"/>
  <c r="N21" i="32"/>
  <c r="N22" i="32"/>
  <c r="N17" i="32"/>
  <c r="N24" i="32"/>
  <c r="N19" i="32"/>
  <c r="O17" i="32"/>
  <c r="N12" i="32"/>
  <c r="O8" i="32"/>
  <c r="N23" i="32"/>
  <c r="N14" i="32"/>
  <c r="N20" i="32"/>
  <c r="O18" i="32"/>
  <c r="N9" i="32"/>
  <c r="N18" i="32"/>
  <c r="O9" i="32"/>
  <c r="N27" i="32"/>
  <c r="N13" i="32"/>
  <c r="E41" i="32"/>
  <c r="E40" i="32"/>
  <c r="E38" i="32"/>
  <c r="E35" i="32"/>
  <c r="E49" i="32"/>
  <c r="E39" i="32"/>
  <c r="E37" i="32"/>
  <c r="E36" i="32"/>
  <c r="E44" i="32"/>
  <c r="E42" i="32"/>
  <c r="E34" i="32"/>
  <c r="E47" i="32"/>
  <c r="E48" i="32"/>
  <c r="E46" i="32"/>
  <c r="E45" i="32"/>
  <c r="E43" i="32"/>
  <c r="A4" i="32"/>
  <c r="D3" i="32" s="1"/>
  <c r="A8" i="32"/>
  <c r="A17" i="32"/>
  <c r="D16" i="32"/>
  <c r="A27" i="32"/>
  <c r="D26" i="32"/>
  <c r="B40" i="32"/>
  <c r="F14" i="32"/>
  <c r="F2" i="34"/>
  <c r="E21" i="33"/>
  <c r="E19" i="33"/>
  <c r="E26" i="33"/>
  <c r="E27" i="33"/>
  <c r="F22" i="32"/>
  <c r="E6" i="33"/>
  <c r="F13" i="32"/>
  <c r="F21" i="32"/>
  <c r="F19" i="32"/>
  <c r="F20" i="32"/>
  <c r="E34" i="33"/>
  <c r="B38" i="32"/>
  <c r="B48" i="32"/>
  <c r="E36" i="33"/>
  <c r="E22" i="33"/>
  <c r="B44" i="32"/>
  <c r="B37" i="32"/>
  <c r="E28" i="33"/>
  <c r="E7" i="33"/>
  <c r="F6" i="34"/>
  <c r="E37" i="33"/>
  <c r="E15" i="33"/>
  <c r="F15" i="32"/>
  <c r="E16" i="33"/>
  <c r="E30" i="33"/>
  <c r="F27" i="32"/>
  <c r="F5" i="32"/>
  <c r="D20" i="29"/>
  <c r="F2" i="32"/>
  <c r="E38" i="33"/>
  <c r="E4" i="33"/>
  <c r="B43" i="32"/>
  <c r="B36" i="32"/>
  <c r="E39" i="33"/>
  <c r="A10" i="32"/>
  <c r="E33" i="33"/>
  <c r="E17" i="33"/>
  <c r="B46" i="32"/>
  <c r="B47" i="32"/>
  <c r="B35" i="32"/>
  <c r="F25" i="32"/>
  <c r="D21" i="29"/>
  <c r="B45" i="32"/>
  <c r="E23" i="33"/>
  <c r="F6" i="32"/>
  <c r="F24" i="32"/>
  <c r="F3" i="34"/>
  <c r="E31" i="33"/>
  <c r="E35" i="33"/>
  <c r="F12" i="32"/>
  <c r="E24" i="33"/>
  <c r="E32" i="33"/>
  <c r="B42" i="32"/>
  <c r="E5" i="33"/>
  <c r="F5" i="34"/>
  <c r="B39" i="32"/>
  <c r="F4" i="34"/>
  <c r="B41" i="32"/>
  <c r="F23" i="32"/>
  <c r="E20" i="33"/>
  <c r="E29" i="33"/>
  <c r="B34" i="32"/>
  <c r="E40" i="33"/>
  <c r="E25" i="33"/>
  <c r="E18" i="33"/>
  <c r="B49" i="32"/>
  <c r="D10" i="32" l="1"/>
  <c r="A6" i="35"/>
  <c r="A5" i="35"/>
  <c r="A4" i="35"/>
  <c r="O19" i="32"/>
  <c r="T19" i="32" s="1"/>
  <c r="O24" i="32"/>
  <c r="U24" i="32" s="1"/>
  <c r="O22" i="32"/>
  <c r="T22" i="32" s="1"/>
  <c r="O13" i="32"/>
  <c r="U13" i="32" s="1"/>
  <c r="O27" i="32"/>
  <c r="P27" i="32" s="1"/>
  <c r="O2" i="32"/>
  <c r="P2" i="32" s="1"/>
  <c r="F4" i="32"/>
  <c r="O4" i="32" s="1"/>
  <c r="O15" i="32"/>
  <c r="T15" i="32" s="1"/>
  <c r="O25" i="32"/>
  <c r="T25" i="32" s="1"/>
  <c r="O21" i="32"/>
  <c r="U21" i="32" s="1"/>
  <c r="O20" i="32"/>
  <c r="U20" i="32" s="1"/>
  <c r="O12" i="32"/>
  <c r="T12" i="32" s="1"/>
  <c r="O14" i="32"/>
  <c r="U14" i="32" s="1"/>
  <c r="O23" i="32"/>
  <c r="P23" i="32" s="1"/>
  <c r="O6" i="32"/>
  <c r="P6" i="32" s="1"/>
  <c r="A7" i="35"/>
  <c r="D7" i="32"/>
  <c r="T8" i="32"/>
  <c r="P8" i="32"/>
  <c r="U8" i="32"/>
  <c r="P17" i="32"/>
  <c r="U17" i="32"/>
  <c r="T17" i="32"/>
  <c r="T9" i="32"/>
  <c r="P9" i="32"/>
  <c r="U9" i="32"/>
  <c r="P18" i="32"/>
  <c r="U18" i="32"/>
  <c r="T18" i="32"/>
  <c r="C37" i="32"/>
  <c r="E10" i="32"/>
  <c r="C42" i="32"/>
  <c r="C41" i="32"/>
  <c r="B20" i="32"/>
  <c r="B19" i="32"/>
  <c r="C35" i="32"/>
  <c r="C38" i="32"/>
  <c r="C49" i="32"/>
  <c r="C39" i="32"/>
  <c r="C47" i="32"/>
  <c r="B25" i="32"/>
  <c r="C44" i="32"/>
  <c r="B2" i="32"/>
  <c r="B12" i="32"/>
  <c r="C40" i="32"/>
  <c r="B27" i="32"/>
  <c r="C48" i="32"/>
  <c r="C46" i="32"/>
  <c r="B21" i="32"/>
  <c r="B23" i="32"/>
  <c r="C43" i="32"/>
  <c r="B14" i="32"/>
  <c r="B6" i="32"/>
  <c r="C34" i="32"/>
  <c r="B15" i="32"/>
  <c r="B22" i="32"/>
  <c r="B24" i="32"/>
  <c r="B13" i="32"/>
  <c r="C36" i="32"/>
  <c r="C45" i="32"/>
  <c r="N10" i="32" l="1"/>
  <c r="U2" i="32"/>
  <c r="T2" i="32"/>
  <c r="U23" i="32"/>
  <c r="P22" i="32"/>
  <c r="U19" i="32"/>
  <c r="P19" i="32"/>
  <c r="T23" i="32"/>
  <c r="P15" i="32"/>
  <c r="U15" i="32"/>
  <c r="U12" i="32"/>
  <c r="U22" i="32"/>
  <c r="P25" i="32"/>
  <c r="U27" i="32"/>
  <c r="P20" i="32"/>
  <c r="U25" i="32"/>
  <c r="T27" i="32"/>
  <c r="T20" i="32"/>
  <c r="P13" i="32"/>
  <c r="T13" i="32"/>
  <c r="P24" i="32"/>
  <c r="P21" i="32"/>
  <c r="U6" i="32"/>
  <c r="T24" i="32"/>
  <c r="T21" i="32"/>
  <c r="P14" i="32"/>
  <c r="T6" i="32"/>
  <c r="T14" i="32"/>
  <c r="P12" i="32"/>
  <c r="F10" i="32"/>
  <c r="A11" i="32"/>
  <c r="C23" i="32"/>
  <c r="C7" i="35"/>
  <c r="C22" i="32"/>
  <c r="D7" i="35"/>
  <c r="C21" i="32"/>
  <c r="C13" i="32"/>
  <c r="C2" i="32"/>
  <c r="C14" i="32"/>
  <c r="C6" i="32"/>
  <c r="C24" i="32"/>
  <c r="D5" i="35"/>
  <c r="D6" i="35"/>
  <c r="C19" i="32"/>
  <c r="C6" i="35"/>
  <c r="C20" i="32"/>
  <c r="D4" i="35"/>
  <c r="C4" i="35"/>
  <c r="C12" i="32"/>
  <c r="C5" i="35"/>
  <c r="E11" i="32"/>
  <c r="F11" i="32" s="1"/>
  <c r="C27" i="32"/>
  <c r="C15" i="32"/>
  <c r="C25" i="32"/>
  <c r="B10" i="32"/>
  <c r="C10" i="32" s="1"/>
  <c r="O10" i="32" l="1"/>
  <c r="T10" i="32" s="1"/>
  <c r="O11" i="32"/>
  <c r="N11" i="32"/>
  <c r="U11" i="32" s="1"/>
  <c r="D11" i="32"/>
  <c r="D2" i="33"/>
  <c r="B11" i="32"/>
  <c r="I42" i="35"/>
  <c r="I26" i="35"/>
  <c r="I44" i="35"/>
  <c r="I20" i="35"/>
  <c r="I27" i="35"/>
  <c r="I30" i="35"/>
  <c r="I24" i="35"/>
  <c r="I9" i="35"/>
  <c r="I50" i="35"/>
  <c r="I3" i="35"/>
  <c r="I12" i="35"/>
  <c r="I21" i="35"/>
  <c r="C11" i="32"/>
  <c r="I34" i="35"/>
  <c r="I38" i="35"/>
  <c r="I35" i="35"/>
  <c r="I37" i="35"/>
  <c r="I32" i="35"/>
  <c r="I43" i="35"/>
  <c r="I40" i="35"/>
  <c r="I51" i="35"/>
  <c r="I45" i="35"/>
  <c r="I5" i="35"/>
  <c r="I31" i="35"/>
  <c r="I19" i="35"/>
  <c r="I10" i="35"/>
  <c r="I2" i="35"/>
  <c r="I25" i="35"/>
  <c r="I28" i="35"/>
  <c r="I16" i="35"/>
  <c r="I41" i="35"/>
  <c r="I23" i="35"/>
  <c r="I33" i="35"/>
  <c r="I49" i="35"/>
  <c r="I13" i="35"/>
  <c r="I18" i="35"/>
  <c r="I48" i="35"/>
  <c r="I47" i="35"/>
  <c r="I17" i="35"/>
  <c r="I6" i="35"/>
  <c r="I39" i="35"/>
  <c r="I29" i="35"/>
  <c r="I46" i="35"/>
  <c r="I15" i="35"/>
  <c r="I22" i="35"/>
  <c r="I8" i="35"/>
  <c r="I36" i="35"/>
  <c r="I11" i="35"/>
  <c r="I4" i="35"/>
  <c r="I14" i="35"/>
  <c r="P10" i="32" l="1"/>
  <c r="U10" i="32"/>
  <c r="T11" i="32"/>
  <c r="P11" i="32"/>
  <c r="A3" i="35"/>
  <c r="E2" i="33"/>
  <c r="D38" i="29"/>
  <c r="D3" i="35"/>
  <c r="C3" i="35"/>
  <c r="D40" i="29"/>
  <c r="C43" i="29"/>
  <c r="D41" i="29"/>
  <c r="D34" i="29"/>
  <c r="D36" i="29" s="1"/>
  <c r="J18" i="35"/>
  <c r="H18" i="35" s="1"/>
  <c r="J47" i="35"/>
  <c r="H47" i="35" s="1"/>
  <c r="J34" i="35"/>
  <c r="H34" i="35" s="1"/>
  <c r="J37" i="35"/>
  <c r="H37" i="35" s="1"/>
  <c r="G23" i="35"/>
  <c r="G38" i="35"/>
  <c r="G32" i="35"/>
  <c r="G13" i="35"/>
  <c r="G47" i="35"/>
  <c r="J16" i="35"/>
  <c r="H16" i="35" s="1"/>
  <c r="J42" i="35"/>
  <c r="H42" i="35" s="1"/>
  <c r="G49" i="35"/>
  <c r="G15" i="35"/>
  <c r="J43" i="35"/>
  <c r="H43" i="35" s="1"/>
  <c r="G11" i="35"/>
  <c r="J3" i="35"/>
  <c r="H3" i="35" s="1"/>
  <c r="G5" i="35"/>
  <c r="J11" i="35"/>
  <c r="H11" i="35" s="1"/>
  <c r="G24" i="35"/>
  <c r="J19" i="35"/>
  <c r="H19" i="35" s="1"/>
  <c r="G39" i="35"/>
  <c r="J9" i="35"/>
  <c r="H9" i="35" s="1"/>
  <c r="J39" i="35"/>
  <c r="H39" i="35" s="1"/>
  <c r="J50" i="35"/>
  <c r="H50" i="35" s="1"/>
  <c r="J46" i="35"/>
  <c r="H46" i="35" s="1"/>
  <c r="J26" i="35"/>
  <c r="H26" i="35" s="1"/>
  <c r="G21" i="35"/>
  <c r="J38" i="35"/>
  <c r="H38" i="35" s="1"/>
  <c r="G40" i="35"/>
  <c r="J13" i="35"/>
  <c r="H13" i="35" s="1"/>
  <c r="J12" i="35"/>
  <c r="H12" i="35" s="1"/>
  <c r="J41" i="35"/>
  <c r="H41" i="35" s="1"/>
  <c r="J32" i="35"/>
  <c r="H32" i="35" s="1"/>
  <c r="G41" i="35"/>
  <c r="G9" i="35"/>
  <c r="G28" i="35"/>
  <c r="G35" i="35"/>
  <c r="G3" i="35"/>
  <c r="J15" i="35"/>
  <c r="H15" i="35" s="1"/>
  <c r="G8" i="35"/>
  <c r="G36" i="35"/>
  <c r="J17" i="35"/>
  <c r="H17" i="35" s="1"/>
  <c r="G16" i="35"/>
  <c r="G46" i="35"/>
  <c r="G27" i="35"/>
  <c r="J10" i="35"/>
  <c r="H10" i="35" s="1"/>
  <c r="J48" i="35"/>
  <c r="H48" i="35" s="1"/>
  <c r="G19" i="35"/>
  <c r="J6" i="35"/>
  <c r="H6" i="35" s="1"/>
  <c r="J8" i="35"/>
  <c r="H8" i="35" s="1"/>
  <c r="J36" i="35"/>
  <c r="H36" i="35" s="1"/>
  <c r="G48" i="35"/>
  <c r="J24" i="35"/>
  <c r="H24" i="35" s="1"/>
  <c r="G6" i="35"/>
  <c r="J14" i="35"/>
  <c r="H14" i="35" s="1"/>
  <c r="G29" i="35"/>
  <c r="J25" i="35"/>
  <c r="H25" i="35" s="1"/>
  <c r="J45" i="35"/>
  <c r="H45" i="35" s="1"/>
  <c r="J51" i="35"/>
  <c r="H51" i="35" s="1"/>
  <c r="G2" i="35"/>
  <c r="G17" i="35"/>
  <c r="J28" i="35"/>
  <c r="H28" i="35" s="1"/>
  <c r="G26" i="35"/>
  <c r="G44" i="35"/>
  <c r="J31" i="35"/>
  <c r="H31" i="35" s="1"/>
  <c r="G33" i="35"/>
  <c r="J2" i="35"/>
  <c r="H2" i="35" s="1"/>
  <c r="G20" i="35"/>
  <c r="G45" i="35"/>
  <c r="J33" i="35"/>
  <c r="H33" i="35" s="1"/>
  <c r="J49" i="35"/>
  <c r="H49" i="35" s="1"/>
  <c r="J4" i="35"/>
  <c r="H4" i="35" s="1"/>
  <c r="J27" i="35"/>
  <c r="H27" i="35" s="1"/>
  <c r="J35" i="35"/>
  <c r="H35" i="35" s="1"/>
  <c r="J29" i="35"/>
  <c r="H29" i="35" s="1"/>
  <c r="J21" i="35"/>
  <c r="H21" i="35" s="1"/>
  <c r="G31" i="35"/>
  <c r="G51" i="35"/>
  <c r="G10" i="35"/>
  <c r="J23" i="35"/>
  <c r="H23" i="35" s="1"/>
  <c r="J40" i="35"/>
  <c r="H40" i="35" s="1"/>
  <c r="G25" i="35"/>
  <c r="G22" i="35"/>
  <c r="G12" i="35"/>
  <c r="G42" i="35"/>
  <c r="G50" i="35"/>
  <c r="J5" i="35"/>
  <c r="H5" i="35" s="1"/>
  <c r="J20" i="35"/>
  <c r="H20" i="35" s="1"/>
  <c r="G43" i="35"/>
  <c r="G14" i="35"/>
  <c r="G37" i="35"/>
  <c r="J30" i="35"/>
  <c r="H30" i="35" s="1"/>
  <c r="J44" i="35"/>
  <c r="H44" i="35" s="1"/>
  <c r="G4" i="35"/>
  <c r="J22" i="35"/>
  <c r="H22" i="35" s="1"/>
  <c r="G30" i="35"/>
  <c r="G18" i="35"/>
  <c r="G34" i="35"/>
  <c r="J20" i="29" l="1"/>
  <c r="J21" i="29"/>
  <c r="C44" i="29"/>
  <c r="K4" i="35"/>
  <c r="L48" i="32"/>
  <c r="L3" i="34"/>
  <c r="G19" i="32"/>
  <c r="K2" i="34"/>
  <c r="B7" i="35"/>
  <c r="K3" i="34"/>
  <c r="H15" i="32"/>
  <c r="B3" i="35"/>
  <c r="G2" i="34"/>
  <c r="L40" i="32"/>
  <c r="H11" i="32"/>
  <c r="E2" i="35" a="1"/>
  <c r="G24" i="32"/>
  <c r="L6" i="34"/>
  <c r="H25" i="32"/>
  <c r="H19" i="32"/>
  <c r="G7" i="32"/>
  <c r="L36" i="32"/>
  <c r="G10" i="32"/>
  <c r="E7" i="32"/>
  <c r="F7" i="32"/>
  <c r="B7" i="32"/>
  <c r="G5" i="34"/>
  <c r="L44" i="32"/>
  <c r="L35" i="32"/>
  <c r="H21" i="32"/>
  <c r="H23" i="32"/>
  <c r="G6" i="34"/>
  <c r="K5" i="35"/>
  <c r="L45" i="32"/>
  <c r="K5" i="34"/>
  <c r="G4" i="34"/>
  <c r="L34" i="32"/>
  <c r="G15" i="32"/>
  <c r="G21" i="32"/>
  <c r="G16" i="32"/>
  <c r="L37" i="32"/>
  <c r="G3" i="34"/>
  <c r="H2" i="32"/>
  <c r="G12" i="32"/>
  <c r="L49" i="32"/>
  <c r="K6" i="34"/>
  <c r="L47" i="32"/>
  <c r="G2" i="32"/>
  <c r="G27" i="32"/>
  <c r="L4" i="34"/>
  <c r="H10" i="32"/>
  <c r="H14" i="32"/>
  <c r="E3" i="32"/>
  <c r="K6" i="35"/>
  <c r="H12" i="32"/>
  <c r="G3" i="32"/>
  <c r="L43" i="32"/>
  <c r="G23" i="32"/>
  <c r="H22" i="32"/>
  <c r="E26" i="32"/>
  <c r="K2" i="35"/>
  <c r="H13" i="32"/>
  <c r="L5" i="34"/>
  <c r="L2" i="34"/>
  <c r="L41" i="32"/>
  <c r="G20" i="32"/>
  <c r="B5" i="35"/>
  <c r="G13" i="32"/>
  <c r="L39" i="32"/>
  <c r="H6" i="32"/>
  <c r="L42" i="32"/>
  <c r="H24" i="32"/>
  <c r="G25" i="32"/>
  <c r="B6" i="35"/>
  <c r="G22" i="32"/>
  <c r="L46" i="32"/>
  <c r="H27" i="32"/>
  <c r="H20" i="32"/>
  <c r="B4" i="35"/>
  <c r="E16" i="32"/>
  <c r="F16" i="32"/>
  <c r="B16" i="32"/>
  <c r="K3" i="35"/>
  <c r="G14" i="32"/>
  <c r="G6" i="32"/>
  <c r="G26" i="32"/>
  <c r="L38" i="32"/>
  <c r="K4" i="34"/>
  <c r="G11" i="32"/>
  <c r="G5" i="32"/>
  <c r="F26" i="32"/>
  <c r="B26" i="32" s="1"/>
  <c r="F3" i="32"/>
  <c r="B3" i="32" s="1"/>
  <c r="O3" i="32" l="1"/>
  <c r="E4" i="32"/>
  <c r="O7" i="32"/>
  <c r="O26" i="32"/>
  <c r="O16" i="32"/>
  <c r="N3" i="32"/>
  <c r="N7" i="32"/>
  <c r="N26" i="32"/>
  <c r="N16" i="32"/>
  <c r="I10" i="32"/>
  <c r="I27" i="32"/>
  <c r="I2" i="32"/>
  <c r="I11" i="32"/>
  <c r="I22" i="32"/>
  <c r="I23" i="32"/>
  <c r="I24" i="32"/>
  <c r="I25" i="32"/>
  <c r="E122" i="35"/>
  <c r="E126" i="35"/>
  <c r="E34" i="35"/>
  <c r="E52" i="35"/>
  <c r="E41" i="35"/>
  <c r="E63" i="35"/>
  <c r="E44" i="35"/>
  <c r="E100" i="35"/>
  <c r="E73" i="35"/>
  <c r="E104" i="35"/>
  <c r="E23" i="35"/>
  <c r="E72" i="35"/>
  <c r="E28" i="35"/>
  <c r="E117" i="35"/>
  <c r="E96" i="35"/>
  <c r="E65" i="35"/>
  <c r="E55" i="35"/>
  <c r="E95" i="35"/>
  <c r="E86" i="35"/>
  <c r="E21" i="35"/>
  <c r="E2" i="35"/>
  <c r="E87" i="35"/>
  <c r="E69" i="35"/>
  <c r="E98" i="35"/>
  <c r="E14" i="35"/>
  <c r="E15" i="35"/>
  <c r="E99" i="35"/>
  <c r="E50" i="35"/>
  <c r="E76" i="35"/>
  <c r="E92" i="35"/>
  <c r="E109" i="35"/>
  <c r="E54" i="35"/>
  <c r="E8" i="35"/>
  <c r="E38" i="35"/>
  <c r="E101" i="35"/>
  <c r="E16" i="35"/>
  <c r="E30" i="35"/>
  <c r="E43" i="35"/>
  <c r="E89" i="35"/>
  <c r="E106" i="35"/>
  <c r="E57" i="35"/>
  <c r="E4" i="35"/>
  <c r="E22" i="35"/>
  <c r="E85" i="35"/>
  <c r="E13" i="35"/>
  <c r="E93" i="35"/>
  <c r="E124" i="35"/>
  <c r="E60" i="35"/>
  <c r="E36" i="35"/>
  <c r="E18" i="35"/>
  <c r="E26" i="35"/>
  <c r="E56" i="35"/>
  <c r="E121" i="35"/>
  <c r="E51" i="35"/>
  <c r="E62" i="35"/>
  <c r="E111" i="35"/>
  <c r="E83" i="35"/>
  <c r="E127" i="35"/>
  <c r="E84" i="35"/>
  <c r="E80" i="35"/>
  <c r="E5" i="35"/>
  <c r="E125" i="35"/>
  <c r="E78" i="35"/>
  <c r="E35" i="35"/>
  <c r="E9" i="35"/>
  <c r="E116" i="35"/>
  <c r="E110" i="35"/>
  <c r="E64" i="35"/>
  <c r="E3" i="35"/>
  <c r="E59" i="35"/>
  <c r="E77" i="35"/>
  <c r="E48" i="35"/>
  <c r="E20" i="35"/>
  <c r="E19" i="35"/>
  <c r="E71" i="35"/>
  <c r="E88" i="35"/>
  <c r="E25" i="35"/>
  <c r="E67" i="35"/>
  <c r="E107" i="35"/>
  <c r="E82" i="35"/>
  <c r="E7" i="35"/>
  <c r="E75" i="35"/>
  <c r="E32" i="35"/>
  <c r="E11" i="35"/>
  <c r="E112" i="35"/>
  <c r="E79" i="35"/>
  <c r="E61" i="35"/>
  <c r="E10" i="35"/>
  <c r="E24" i="35"/>
  <c r="E47" i="35"/>
  <c r="E42" i="35"/>
  <c r="E119" i="35"/>
  <c r="E31" i="35"/>
  <c r="E94" i="35"/>
  <c r="E70" i="35"/>
  <c r="E6" i="35"/>
  <c r="E115" i="35"/>
  <c r="E49" i="35"/>
  <c r="E97" i="35"/>
  <c r="E123" i="35"/>
  <c r="E40" i="35"/>
  <c r="E120" i="35"/>
  <c r="E46" i="35"/>
  <c r="E27" i="35"/>
  <c r="E45" i="35"/>
  <c r="E12" i="35"/>
  <c r="E74" i="35"/>
  <c r="E102" i="35"/>
  <c r="E33" i="35"/>
  <c r="E17" i="35"/>
  <c r="E66" i="35"/>
  <c r="E81" i="35"/>
  <c r="E90" i="35"/>
  <c r="E103" i="35"/>
  <c r="E37" i="35"/>
  <c r="E29" i="35"/>
  <c r="E68" i="35"/>
  <c r="E108" i="35"/>
  <c r="E113" i="35"/>
  <c r="E91" i="35"/>
  <c r="E118" i="35"/>
  <c r="E58" i="35"/>
  <c r="E53" i="35"/>
  <c r="E114" i="35"/>
  <c r="E39" i="35"/>
  <c r="E105" i="35"/>
  <c r="I12" i="32"/>
  <c r="I13" i="32"/>
  <c r="I21" i="32"/>
  <c r="I20" i="32"/>
  <c r="I15" i="32"/>
  <c r="I6" i="32"/>
  <c r="I19" i="32"/>
  <c r="I14" i="32"/>
  <c r="C3" i="32"/>
  <c r="B4" i="32"/>
  <c r="C26" i="32"/>
  <c r="C16" i="32"/>
  <c r="C7" i="32"/>
  <c r="J21" i="32" l="1"/>
  <c r="T16" i="32"/>
  <c r="P16" i="32"/>
  <c r="U16" i="32"/>
  <c r="U26" i="32"/>
  <c r="P26" i="32"/>
  <c r="T26" i="32"/>
  <c r="J13" i="32"/>
  <c r="G4" i="32"/>
  <c r="N4" i="32"/>
  <c r="J12" i="32"/>
  <c r="J24" i="32"/>
  <c r="U3" i="32"/>
  <c r="P3" i="32"/>
  <c r="T3" i="32"/>
  <c r="J23" i="32"/>
  <c r="J22" i="32"/>
  <c r="J11" i="32"/>
  <c r="J27" i="32"/>
  <c r="J14" i="32"/>
  <c r="J19" i="32"/>
  <c r="J10" i="32"/>
  <c r="J20" i="32"/>
  <c r="U7" i="32"/>
  <c r="T7" i="32"/>
  <c r="P7" i="32"/>
  <c r="H7" i="32"/>
  <c r="H3" i="32"/>
  <c r="H16" i="32"/>
  <c r="H26" i="32"/>
  <c r="C4" i="32"/>
  <c r="I26" i="32" l="1"/>
  <c r="I16" i="32"/>
  <c r="I3" i="32"/>
  <c r="J3" i="32" s="1"/>
  <c r="I7" i="32"/>
  <c r="P4" i="32"/>
  <c r="T4" i="32"/>
  <c r="U4" i="32"/>
  <c r="H4" i="32"/>
  <c r="I4" i="32" l="1"/>
  <c r="J16" i="32"/>
  <c r="J26" i="32"/>
  <c r="J7" i="32"/>
  <c r="H31" i="32"/>
  <c r="K11" i="32"/>
  <c r="K12" i="32"/>
  <c r="K14" i="32"/>
  <c r="AD9" i="32" a="1"/>
  <c r="K13" i="32"/>
  <c r="K10" i="32"/>
  <c r="Z9" i="32" a="1"/>
  <c r="X9" i="32" a="1"/>
  <c r="Y9" i="32" a="1"/>
  <c r="I31" i="32"/>
  <c r="K21" i="32"/>
  <c r="K19" i="32"/>
  <c r="K20" i="32"/>
  <c r="AD18" i="32" a="1"/>
  <c r="K24" i="32"/>
  <c r="K23" i="32"/>
  <c r="K22" i="32"/>
  <c r="Y18" i="32" a="1"/>
  <c r="X18" i="32" a="1"/>
  <c r="Z18" i="32" a="1"/>
  <c r="K27" i="32"/>
  <c r="K26" i="32" l="1"/>
  <c r="Q31" i="32" s="1"/>
  <c r="Z20" i="32"/>
  <c r="Z19" i="32"/>
  <c r="Z18" i="32"/>
  <c r="X18" i="32"/>
  <c r="X20" i="32"/>
  <c r="X19" i="32"/>
  <c r="Y20" i="32"/>
  <c r="Y19" i="32"/>
  <c r="Y18" i="32"/>
  <c r="AD19" i="32"/>
  <c r="AD18" i="32"/>
  <c r="AD20" i="32"/>
  <c r="P31" i="32"/>
  <c r="I32" i="32"/>
  <c r="Y9" i="32"/>
  <c r="Y10" i="32"/>
  <c r="Y11" i="32"/>
  <c r="X11" i="32"/>
  <c r="X10" i="32"/>
  <c r="X9" i="32"/>
  <c r="Z9" i="32"/>
  <c r="Z11" i="32"/>
  <c r="Z10" i="32"/>
  <c r="AD11" i="32"/>
  <c r="AD9" i="32"/>
  <c r="AD10" i="32"/>
  <c r="H32" i="32"/>
  <c r="J4" i="32"/>
  <c r="L24" i="32"/>
  <c r="L20" i="32"/>
  <c r="L12" i="32"/>
  <c r="K4" i="32"/>
  <c r="L19" i="32"/>
  <c r="L11" i="32"/>
  <c r="L13" i="32"/>
  <c r="L22" i="32"/>
  <c r="L10" i="32"/>
  <c r="L23" i="32"/>
  <c r="L21" i="32"/>
  <c r="L14" i="32"/>
  <c r="K3" i="32" l="1"/>
  <c r="N31" i="32"/>
  <c r="AF9" i="32" a="1"/>
  <c r="AF18" i="32" a="1"/>
  <c r="AH18" i="32" l="1"/>
  <c r="AF19" i="32"/>
  <c r="AF18" i="32"/>
  <c r="AG20" i="32"/>
  <c r="AG19" i="32"/>
  <c r="AH19" i="32"/>
  <c r="AG18" i="32"/>
  <c r="AH20" i="32"/>
  <c r="AF20" i="32"/>
  <c r="AH9" i="32"/>
  <c r="AF10" i="32"/>
  <c r="AH10" i="32"/>
  <c r="AH11" i="32"/>
  <c r="AF9" i="32"/>
  <c r="AG9" i="32"/>
  <c r="AG11" i="32"/>
  <c r="AF11" i="32"/>
  <c r="AG10" i="32"/>
  <c r="AB18" i="32" l="1" a="1"/>
  <c r="AB9" i="32" a="1"/>
  <c r="AB11" i="32" l="1"/>
  <c r="T32" i="32" s="1"/>
  <c r="AB10" i="32"/>
  <c r="T31" i="32" s="1"/>
  <c r="AB9" i="32"/>
  <c r="AB19" i="32"/>
  <c r="U31" i="32" s="1"/>
  <c r="AB18" i="32"/>
  <c r="AB20" i="32"/>
  <c r="U32" i="32" s="1"/>
  <c r="L3" i="32"/>
  <c r="L26" i="32"/>
  <c r="G31" i="32"/>
  <c r="K18" i="32"/>
  <c r="K9" i="32"/>
  <c r="D43" i="29"/>
  <c r="J31" i="32"/>
  <c r="L27" i="32"/>
  <c r="L4" i="32"/>
  <c r="D44" i="29"/>
  <c r="N32" i="32" l="1"/>
  <c r="J32" i="32"/>
  <c r="O31" i="32"/>
  <c r="G32" i="32"/>
  <c r="Q32" i="32"/>
  <c r="T30" i="32"/>
  <c r="AJ9" i="32" a="1"/>
  <c r="AJ18" i="32" a="1"/>
  <c r="U30" i="32"/>
  <c r="L18" i="32"/>
  <c r="L9" i="32"/>
  <c r="O32" i="32" l="1"/>
  <c r="P32" i="32"/>
  <c r="AJ18" i="32"/>
  <c r="AJ20" i="32"/>
  <c r="AJ19" i="32"/>
  <c r="T36" i="32"/>
  <c r="O36" i="32" s="1"/>
  <c r="H36" i="32" s="1"/>
  <c r="J10" i="33" s="1"/>
  <c r="T39" i="32"/>
  <c r="O39" i="32" s="1"/>
  <c r="H39" i="32" s="1"/>
  <c r="J13" i="33" s="1"/>
  <c r="T35" i="32"/>
  <c r="O35" i="32" s="1"/>
  <c r="H35" i="32" s="1"/>
  <c r="J9" i="33" s="1"/>
  <c r="T38" i="32"/>
  <c r="O38" i="32" s="1"/>
  <c r="H38" i="32" s="1"/>
  <c r="J12" i="33" s="1"/>
  <c r="T40" i="32"/>
  <c r="O40" i="32" s="1"/>
  <c r="H40" i="32" s="1"/>
  <c r="J14" i="33" s="1"/>
  <c r="T34" i="32"/>
  <c r="O34" i="32" s="1"/>
  <c r="H34" i="32" s="1"/>
  <c r="J8" i="33" s="1"/>
  <c r="T37" i="32"/>
  <c r="O37" i="32" s="1"/>
  <c r="H37" i="32" s="1"/>
  <c r="J11" i="33" s="1"/>
  <c r="U43" i="32"/>
  <c r="P43" i="32" s="1"/>
  <c r="I43" i="32" s="1"/>
  <c r="J24" i="33" s="1"/>
  <c r="U35" i="32"/>
  <c r="P35" i="32" s="1"/>
  <c r="I35" i="32" s="1"/>
  <c r="J16" i="33" s="1"/>
  <c r="U41" i="32"/>
  <c r="P41" i="32" s="1"/>
  <c r="I41" i="32" s="1"/>
  <c r="J22" i="33" s="1"/>
  <c r="U34" i="32"/>
  <c r="P34" i="32" s="1"/>
  <c r="I34" i="32" s="1"/>
  <c r="J15" i="33" s="1"/>
  <c r="U37" i="32"/>
  <c r="P37" i="32" s="1"/>
  <c r="I37" i="32" s="1"/>
  <c r="J18" i="33" s="1"/>
  <c r="U40" i="32"/>
  <c r="P40" i="32" s="1"/>
  <c r="I40" i="32" s="1"/>
  <c r="J21" i="33" s="1"/>
  <c r="U39" i="32"/>
  <c r="P39" i="32" s="1"/>
  <c r="I39" i="32" s="1"/>
  <c r="J20" i="33" s="1"/>
  <c r="U36" i="32"/>
  <c r="P36" i="32" s="1"/>
  <c r="I36" i="32" s="1"/>
  <c r="J17" i="33" s="1"/>
  <c r="U38" i="32"/>
  <c r="P38" i="32" s="1"/>
  <c r="I38" i="32" s="1"/>
  <c r="J19" i="33" s="1"/>
  <c r="U42" i="32"/>
  <c r="P42" i="32" s="1"/>
  <c r="I42" i="32" s="1"/>
  <c r="J23" i="33" s="1"/>
  <c r="Q37" i="32"/>
  <c r="J37" i="32" s="1"/>
  <c r="J28" i="33" s="1"/>
  <c r="Q34" i="32"/>
  <c r="J34" i="32" s="1"/>
  <c r="J25" i="33" s="1"/>
  <c r="Q35" i="32"/>
  <c r="J35" i="32" s="1"/>
  <c r="J26" i="33" s="1"/>
  <c r="Q36" i="32"/>
  <c r="J36" i="32" s="1"/>
  <c r="J27" i="33" s="1"/>
  <c r="Q39" i="32"/>
  <c r="J39" i="32" s="1"/>
  <c r="J30" i="33" s="1"/>
  <c r="Q47" i="32"/>
  <c r="J47" i="32" s="1"/>
  <c r="J38" i="33" s="1"/>
  <c r="Q48" i="32"/>
  <c r="J48" i="32" s="1"/>
  <c r="J39" i="33" s="1"/>
  <c r="Q42" i="32"/>
  <c r="J42" i="32" s="1"/>
  <c r="J33" i="33" s="1"/>
  <c r="Q44" i="32"/>
  <c r="J44" i="32" s="1"/>
  <c r="J35" i="33" s="1"/>
  <c r="Q46" i="32"/>
  <c r="J46" i="32" s="1"/>
  <c r="J37" i="33" s="1"/>
  <c r="Q40" i="32"/>
  <c r="J40" i="32" s="1"/>
  <c r="J31" i="33" s="1"/>
  <c r="Q43" i="32"/>
  <c r="J43" i="32" s="1"/>
  <c r="J34" i="33" s="1"/>
  <c r="Q41" i="32"/>
  <c r="J41" i="32" s="1"/>
  <c r="J32" i="33" s="1"/>
  <c r="Q38" i="32"/>
  <c r="J38" i="32" s="1"/>
  <c r="J29" i="33" s="1"/>
  <c r="Q49" i="32"/>
  <c r="J49" i="32" s="1"/>
  <c r="J40" i="33" s="1"/>
  <c r="Q45" i="32"/>
  <c r="J45" i="32" s="1"/>
  <c r="J36" i="33" s="1"/>
  <c r="AJ9" i="32"/>
  <c r="AJ10" i="32"/>
  <c r="AJ11" i="32"/>
  <c r="N36" i="32"/>
  <c r="G36" i="32" s="1"/>
  <c r="J5" i="33" s="1"/>
  <c r="N38" i="32"/>
  <c r="G38" i="32" s="1"/>
  <c r="J7" i="33" s="1"/>
  <c r="N34" i="32"/>
  <c r="G34" i="32" s="1"/>
  <c r="J3" i="33" s="1"/>
  <c r="N37" i="32"/>
  <c r="G37" i="32" s="1"/>
  <c r="J6" i="33" s="1"/>
  <c r="N35" i="32"/>
  <c r="G35" i="32" s="1"/>
  <c r="J4" i="33" s="1"/>
  <c r="O34" i="33" l="1"/>
  <c r="O30" i="33"/>
  <c r="O29" i="33"/>
  <c r="O21" i="33"/>
  <c r="O15" i="33"/>
  <c r="O17" i="33"/>
  <c r="O10" i="33"/>
  <c r="O12" i="33"/>
  <c r="O5" i="33"/>
  <c r="O6" i="33"/>
  <c r="O7" i="33"/>
  <c r="O19" i="33"/>
  <c r="O32" i="33"/>
  <c r="O36" i="33"/>
  <c r="O26" i="33"/>
  <c r="O40" i="33"/>
  <c r="O24" i="33"/>
  <c r="O14" i="33"/>
  <c r="O11" i="33"/>
  <c r="O20" i="33"/>
  <c r="O25" i="33"/>
  <c r="O3" i="33"/>
  <c r="O37" i="33"/>
  <c r="O9" i="33"/>
  <c r="O8" i="33"/>
  <c r="O33" i="33"/>
  <c r="O39" i="33"/>
  <c r="O35" i="33"/>
  <c r="O28" i="33"/>
  <c r="O13" i="33"/>
  <c r="O23" i="33"/>
  <c r="O22" i="33"/>
  <c r="O18" i="33"/>
  <c r="O31" i="33"/>
  <c r="O27" i="33"/>
  <c r="O4" i="33"/>
  <c r="O16" i="33"/>
  <c r="O38" i="33"/>
  <c r="P25" i="33"/>
  <c r="L2" i="35"/>
  <c r="M2" i="35"/>
  <c r="P2" i="35"/>
  <c r="L3" i="35"/>
  <c r="M3" i="35"/>
  <c r="P3" i="35"/>
  <c r="L4" i="35"/>
  <c r="M4" i="35"/>
  <c r="P4" i="35"/>
  <c r="L5" i="35"/>
  <c r="M5" i="35"/>
  <c r="P5" i="35"/>
  <c r="L6" i="35"/>
  <c r="M6" i="35"/>
  <c r="P6" i="35"/>
  <c r="L47" i="35"/>
  <c r="M47" i="35"/>
  <c r="L24" i="35"/>
  <c r="M24" i="35"/>
  <c r="L34" i="35"/>
  <c r="M34" i="35"/>
  <c r="L27" i="35"/>
  <c r="M27" i="35"/>
  <c r="L26" i="35"/>
  <c r="M26" i="35"/>
  <c r="L37" i="35"/>
  <c r="M37" i="35"/>
  <c r="L45" i="35"/>
  <c r="M45" i="35"/>
  <c r="L43" i="35"/>
  <c r="M43" i="35"/>
  <c r="L22" i="35"/>
  <c r="M22" i="35"/>
  <c r="L28" i="35"/>
  <c r="M28" i="35"/>
  <c r="L38" i="35"/>
  <c r="M38" i="35"/>
  <c r="L17" i="35"/>
  <c r="M17" i="35"/>
  <c r="L16" i="35"/>
  <c r="M16" i="35"/>
  <c r="L36" i="35"/>
  <c r="M36" i="35"/>
  <c r="L44" i="35"/>
  <c r="M44" i="35"/>
  <c r="P8" i="33"/>
  <c r="N47" i="35"/>
  <c r="J80" i="33" s="1"/>
  <c r="N34" i="35"/>
  <c r="J67" i="33" s="1"/>
  <c r="N37" i="35"/>
  <c r="J70" i="33" s="1"/>
  <c r="N43" i="35"/>
  <c r="J76" i="33"/>
  <c r="N28" i="35"/>
  <c r="J61" i="33"/>
  <c r="N17" i="35"/>
  <c r="J50" i="33"/>
  <c r="N16" i="35"/>
  <c r="J49" i="33" s="1"/>
  <c r="N44" i="35"/>
  <c r="J77" i="33" s="1"/>
  <c r="O70" i="33"/>
  <c r="O61" i="33"/>
  <c r="O67" i="33"/>
  <c r="O80" i="33"/>
  <c r="O76" i="33"/>
  <c r="O77" i="33"/>
  <c r="O49" i="33"/>
  <c r="O50" i="33"/>
  <c r="L31" i="35"/>
  <c r="M31" i="35"/>
  <c r="L32" i="35"/>
  <c r="M32" i="35"/>
  <c r="L50" i="35"/>
  <c r="M50" i="35"/>
  <c r="L8" i="35"/>
  <c r="M8" i="35"/>
  <c r="L20" i="35"/>
  <c r="M20" i="35"/>
  <c r="L12" i="35"/>
  <c r="M12" i="35"/>
  <c r="L46" i="35"/>
  <c r="M46" i="35"/>
  <c r="L9" i="35"/>
  <c r="M9" i="35"/>
  <c r="L14" i="35"/>
  <c r="M14" i="35"/>
  <c r="L49" i="35"/>
  <c r="M49" i="35"/>
  <c r="L23" i="35"/>
  <c r="M23" i="35"/>
  <c r="L33" i="35"/>
  <c r="M33" i="35"/>
  <c r="L30" i="35"/>
  <c r="M30" i="35"/>
  <c r="L21" i="35"/>
  <c r="M21" i="35"/>
  <c r="L39" i="35"/>
  <c r="M39" i="35"/>
  <c r="L41" i="35"/>
  <c r="M41" i="35"/>
  <c r="L51" i="35"/>
  <c r="M51" i="35"/>
  <c r="L11" i="35"/>
  <c r="M11" i="35"/>
  <c r="L18" i="35"/>
  <c r="M18" i="35"/>
  <c r="L29" i="35"/>
  <c r="M29" i="35"/>
  <c r="P2" i="33"/>
  <c r="N24" i="35"/>
  <c r="J57" i="33"/>
  <c r="N27" i="35"/>
  <c r="J60" i="33" s="1"/>
  <c r="N26" i="35"/>
  <c r="J59" i="33" s="1"/>
  <c r="N45" i="35"/>
  <c r="J78" i="33"/>
  <c r="N22" i="35"/>
  <c r="J55" i="33"/>
  <c r="N38" i="35"/>
  <c r="J71" i="33"/>
  <c r="N36" i="35"/>
  <c r="J69" i="33" s="1"/>
  <c r="N31" i="35"/>
  <c r="J64" i="33"/>
  <c r="N32" i="35"/>
  <c r="J65" i="33" s="1"/>
  <c r="N50" i="35"/>
  <c r="J83" i="33"/>
  <c r="N8" i="35"/>
  <c r="J41" i="33" s="1"/>
  <c r="N20" i="35"/>
  <c r="J53" i="33" s="1"/>
  <c r="N12" i="35"/>
  <c r="J45" i="33"/>
  <c r="N46" i="35"/>
  <c r="J79" i="33" s="1"/>
  <c r="N9" i="35"/>
  <c r="J42" i="33" s="1"/>
  <c r="N14" i="35"/>
  <c r="J47" i="33" s="1"/>
  <c r="N49" i="35"/>
  <c r="J82" i="33"/>
  <c r="N23" i="35"/>
  <c r="J56" i="33" s="1"/>
  <c r="N33" i="35"/>
  <c r="J66" i="33" s="1"/>
  <c r="N30" i="35"/>
  <c r="J63" i="33"/>
  <c r="N21" i="35"/>
  <c r="J54" i="33" s="1"/>
  <c r="N39" i="35"/>
  <c r="J72" i="33"/>
  <c r="N41" i="35"/>
  <c r="J74" i="33" s="1"/>
  <c r="N51" i="35"/>
  <c r="J84" i="33" s="1"/>
  <c r="N11" i="35"/>
  <c r="J44" i="33"/>
  <c r="N18" i="35"/>
  <c r="J51" i="33" s="1"/>
  <c r="N29" i="35"/>
  <c r="J62" i="33" s="1"/>
  <c r="O59" i="33"/>
  <c r="O69" i="33"/>
  <c r="O41" i="33"/>
  <c r="O42" i="33"/>
  <c r="O66" i="33"/>
  <c r="O74" i="33"/>
  <c r="O62" i="33"/>
  <c r="O51" i="33"/>
  <c r="O54" i="33"/>
  <c r="O60" i="33"/>
  <c r="O71" i="33"/>
  <c r="O83" i="33"/>
  <c r="O79" i="33"/>
  <c r="O56" i="33"/>
  <c r="O72" i="33"/>
  <c r="O57" i="33"/>
  <c r="O55" i="33"/>
  <c r="O65" i="33"/>
  <c r="O45" i="33"/>
  <c r="O82" i="33"/>
  <c r="O78" i="33"/>
  <c r="O64" i="33"/>
  <c r="O53" i="33"/>
  <c r="O47" i="33"/>
  <c r="O63" i="33"/>
  <c r="O84" i="33"/>
  <c r="O44" i="33"/>
  <c r="P15" i="33"/>
  <c r="L35" i="35"/>
  <c r="M35" i="35"/>
  <c r="L25" i="35"/>
  <c r="M25" i="35"/>
  <c r="N25" i="35"/>
  <c r="J58" i="33" s="1"/>
  <c r="O58" i="33"/>
  <c r="L42" i="35"/>
  <c r="M42" i="35"/>
  <c r="N42" i="35"/>
  <c r="J75" i="33" s="1"/>
  <c r="O75" i="33"/>
  <c r="L10" i="35"/>
  <c r="M10" i="35"/>
  <c r="N10" i="35"/>
  <c r="J43" i="33" s="1"/>
  <c r="O43" i="33"/>
  <c r="L13" i="35"/>
  <c r="M13" i="35"/>
  <c r="N13" i="35"/>
  <c r="J46" i="33" s="1"/>
  <c r="O46" i="33"/>
  <c r="L15" i="35"/>
  <c r="M15" i="35"/>
  <c r="N15" i="35"/>
  <c r="J48" i="33" s="1"/>
  <c r="O48" i="33"/>
  <c r="L19" i="35"/>
  <c r="M19" i="35"/>
  <c r="N19" i="35"/>
  <c r="J52" i="33" s="1"/>
  <c r="N35" i="35"/>
  <c r="J68" i="33" s="1"/>
  <c r="O68" i="33"/>
  <c r="O52" i="33"/>
  <c r="L40" i="35"/>
  <c r="M40" i="35"/>
  <c r="N40" i="35"/>
  <c r="J73" i="33" s="1"/>
  <c r="O73" i="33"/>
  <c r="L48" i="35"/>
  <c r="M48" i="35"/>
  <c r="N48" i="35"/>
  <c r="J81" i="33" s="1"/>
  <c r="O81" i="33"/>
  <c r="P41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 shape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<sst xmlns="http://schemas.openxmlformats.org/spreadsheetml/2006/main" count="252" uniqueCount="142">
  <si>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</si>
  <si>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</si>
  <si>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</si>
  <si>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</si>
  <si>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</si>
  <si>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</si>
  <si>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</si>
  <si>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</si>
  <si>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</si>
  <si>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</si>
  <si>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</si>
  <si>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</si>
  <si>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</si>
  <si>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OisCurve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</si>
  <si>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</si>
  <si>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</si>
  <si>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</si>
  <si>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</si>
  <si>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</si>
  <si>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</si>
  <si>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</si>
  <si>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</si>
  <si>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</si>
  <si>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</si>
  <si>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</si>
  <si>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</si>
  <si>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</si>
  <si>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</si>
  <si>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</si>
  <si>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</si>
  <si>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</si>
  <si>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</si>
  <si>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</si>
  <si>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</si>
  <si>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</si>
  <si>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</si>
  <si>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</si>
  <si>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</si>
  <si>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</si>
  <si>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</si>
  <si>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 id</t>
  </si>
  <si>
    <t>Instrument</t>
  </si>
  <si>
    <t>start</t>
  </si>
  <si>
    <t>end</t>
  </si>
  <si>
    <t>quote</t>
  </si>
  <si>
    <t>OIS</t>
  </si>
  <si>
    <t>basis</t>
  </si>
  <si>
    <t>β</t>
  </si>
  <si>
    <t>α</t>
  </si>
  <si>
    <t>a</t>
  </si>
  <si>
    <t>b</t>
  </si>
  <si>
    <t>BA</t>
  </si>
  <si>
    <t>1x2F</t>
  </si>
  <si>
    <t>solution</t>
  </si>
  <si>
    <t>inverse</t>
  </si>
  <si>
    <t>error</t>
  </si>
  <si>
    <t>x</t>
  </si>
  <si>
    <t>=</t>
  </si>
  <si>
    <t>Flat</t>
  </si>
  <si>
    <t>γ</t>
  </si>
  <si>
    <t>parallel shift first guess</t>
  </si>
  <si>
    <t>parallel shift monotonicity</t>
  </si>
  <si>
    <t>1M</t>
  </si>
  <si>
    <t>3M</t>
  </si>
  <si>
    <t>6M</t>
  </si>
  <si>
    <t>days</t>
  </si>
  <si>
    <t>1D</t>
  </si>
  <si>
    <t>1W</t>
  </si>
  <si>
    <t>2W</t>
  </si>
  <si>
    <t>3W</t>
  </si>
  <si>
    <t>2M</t>
  </si>
  <si>
    <t>4M</t>
  </si>
  <si>
    <t>5M</t>
  </si>
  <si>
    <t>7M</t>
  </si>
  <si>
    <t>integrated</t>
  </si>
  <si>
    <t>8M</t>
  </si>
  <si>
    <t>instantaneous</t>
  </si>
  <si>
    <t>9M</t>
  </si>
  <si>
    <t>fwd spread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</si>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</sst>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E+00"/>
    <numFmt numFmtId="176" formatCode="0.00000000000"/>
    <numFmt numFmtId="177" formatCode="[$-409]d\-mmm\-yy;@"/>
    <numFmt numFmtId="178" formatCode="0.000000000"/>
    <numFmt numFmtId="179" formatCode="ddd\,\ d\-mmm\-yy"/>
  </numFmts>
  <fonts count="2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13"/>
        <bgColor indexed="64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2">
    <xf numFmtId="0" fontId="0" fillId="0" borderId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5" fontId="5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2" fillId="0" borderId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</cellStyleXfs>
  <cellXfs count="371">
    <xf numFmtId="0" fontId="0" fillId="0" borderId="0" xfId="0"/>
    <xf numFmtId="0" fontId="9" fillId="3" borderId="0" xfId="15" applyFont="1" applyFill="1"/>
    <xf numFmtId="0" fontId="9" fillId="5" borderId="4" xfId="15" applyFont="1" applyFill="1" applyBorder="1"/>
    <xf numFmtId="0" fontId="9" fillId="5" borderId="0" xfId="15" applyFont="1" applyFill="1" applyBorder="1"/>
    <xf numFmtId="0" fontId="9" fillId="5" borderId="5" xfId="15" applyFont="1" applyFill="1" applyBorder="1"/>
    <xf numFmtId="0" fontId="9" fillId="6" borderId="6" xfId="15" applyFont="1" applyFill="1" applyBorder="1" applyAlignment="1">
      <alignment horizontal="right"/>
    </xf>
    <xf numFmtId="0" fontId="9" fillId="5" borderId="6" xfId="15" applyFont="1" applyFill="1" applyBorder="1" applyAlignment="1">
      <alignment horizontal="center"/>
    </xf>
    <xf numFmtId="168" fontId="9" fillId="5" borderId="6" xfId="15" applyNumberFormat="1" applyFont="1" applyFill="1" applyBorder="1" applyAlignment="1">
      <alignment horizontal="center"/>
    </xf>
    <xf numFmtId="0" fontId="9" fillId="3" borderId="0" xfId="16" applyFont="1" applyFill="1"/>
    <xf numFmtId="0" fontId="13" fillId="5" borderId="4" xfId="14" applyFont="1" applyFill="1" applyBorder="1"/>
    <xf numFmtId="0" fontId="13" fillId="5" borderId="0" xfId="14" applyFont="1" applyFill="1" applyBorder="1"/>
    <xf numFmtId="0" fontId="13" fillId="5" borderId="5" xfId="14" applyFont="1" applyFill="1" applyBorder="1"/>
    <xf numFmtId="169" fontId="9" fillId="5" borderId="6" xfId="17" applyNumberFormat="1" applyFont="1" applyFill="1" applyBorder="1" applyAlignment="1">
      <alignment horizontal="center"/>
    </xf>
    <xf numFmtId="0" fontId="13" fillId="6" borderId="6" xfId="14" applyNumberFormat="1" applyFont="1" applyFill="1" applyBorder="1"/>
    <xf numFmtId="170" fontId="13" fillId="7" borderId="7" xfId="14" applyNumberFormat="1" applyFont="1" applyFill="1" applyBorder="1" applyAlignment="1" applyProtection="1">
      <alignment horizontal="center"/>
    </xf>
    <xf numFmtId="15" fontId="13" fillId="5" borderId="5" xfId="14" applyNumberFormat="1" applyFont="1" applyFill="1" applyBorder="1"/>
    <xf numFmtId="171" fontId="9" fillId="5" borderId="7" xfId="17" applyNumberFormat="1" applyFont="1" applyFill="1" applyBorder="1" applyAlignment="1">
      <alignment horizontal="center"/>
    </xf>
    <xf numFmtId="169" fontId="9" fillId="5" borderId="7" xfId="17" applyNumberFormat="1" applyFont="1" applyFill="1" applyBorder="1" applyAlignment="1">
      <alignment horizontal="center"/>
    </xf>
    <xf numFmtId="170" fontId="13" fillId="7" borderId="7" xfId="14" quotePrefix="1" applyNumberFormat="1" applyFont="1" applyFill="1" applyBorder="1" applyAlignment="1" applyProtection="1">
      <alignment horizontal="left"/>
    </xf>
    <xf numFmtId="170" fontId="13" fillId="7" borderId="7" xfId="14" quotePrefix="1" applyNumberFormat="1" applyFont="1" applyFill="1" applyBorder="1" applyAlignment="1" applyProtection="1">
      <alignment horizontal="center"/>
    </xf>
    <xf numFmtId="172" fontId="13" fillId="7" borderId="7" xfId="14" quotePrefix="1" applyNumberFormat="1" applyFont="1" applyFill="1" applyBorder="1" applyAlignment="1" applyProtection="1">
      <alignment horizontal="center"/>
    </xf>
    <xf numFmtId="0" fontId="9" fillId="5" borderId="0" xfId="15" applyFont="1" applyFill="1" applyBorder="1" applyAlignment="1">
      <alignment horizontal="center"/>
    </xf>
    <xf numFmtId="173" fontId="13" fillId="7" borderId="7" xfId="14" quotePrefix="1" applyNumberFormat="1" applyFont="1" applyFill="1" applyBorder="1" applyAlignment="1" applyProtection="1">
      <alignment horizontal="center"/>
    </xf>
    <xf numFmtId="0" fontId="14" fillId="5" borderId="0" xfId="15" applyFont="1" applyFill="1" applyBorder="1" applyAlignment="1">
      <alignment horizontal="right"/>
    </xf>
    <xf numFmtId="174" fontId="15" fillId="5" borderId="0" xfId="15" applyNumberFormat="1" applyFont="1" applyFill="1" applyBorder="1" applyAlignment="1">
      <alignment horizontal="left"/>
    </xf>
    <xf numFmtId="0" fontId="13" fillId="5" borderId="10" xfId="14" applyFont="1" applyFill="1" applyBorder="1"/>
    <xf numFmtId="0" fontId="13" fillId="5" borderId="11" xfId="14" applyFont="1" applyFill="1" applyBorder="1"/>
    <xf numFmtId="0" fontId="13" fillId="5" borderId="12" xfId="14" applyFont="1" applyFill="1" applyBorder="1"/>
    <xf numFmtId="0" fontId="9" fillId="5" borderId="0" xfId="15" applyFont="1" applyFill="1" applyBorder="1" applyAlignment="1">
      <alignment horizontal="right"/>
    </xf>
    <xf numFmtId="0" fontId="15" fillId="5" borderId="0" xfId="15" applyFont="1" applyFill="1" applyBorder="1" applyAlignment="1">
      <alignment horizontal="right"/>
    </xf>
    <xf numFmtId="0" fontId="15" fillId="5" borderId="0" xfId="15" quotePrefix="1" applyFont="1" applyFill="1" applyBorder="1" applyAlignment="1">
      <alignment horizontal="left"/>
    </xf>
    <xf numFmtId="0" fontId="9" fillId="5" borderId="10" xfId="15" applyFont="1" applyFill="1" applyBorder="1"/>
    <xf numFmtId="0" fontId="9" fillId="5" borderId="11" xfId="15" applyFont="1" applyFill="1" applyBorder="1"/>
    <xf numFmtId="0" fontId="9" fillId="5" borderId="12" xfId="15" applyFont="1" applyFill="1" applyBorder="1"/>
    <xf numFmtId="0" fontId="9" fillId="3" borderId="0" xfId="15" applyFont="1" applyFill="1" applyBorder="1"/>
    <xf numFmtId="0" fontId="9" fillId="5" borderId="0" xfId="0" applyFont="1" applyFill="1" applyBorder="1"/>
    <xf numFmtId="0" fontId="9" fillId="0" borderId="0" xfId="0" applyFont="1"/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169" fontId="9" fillId="0" borderId="2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22" xfId="0" applyFont="1" applyBorder="1"/>
    <xf numFmtId="0" fontId="9" fillId="0" borderId="18" xfId="0" applyFont="1" applyBorder="1"/>
    <xf numFmtId="0" fontId="9" fillId="8" borderId="22" xfId="0" applyFont="1" applyFill="1" applyBorder="1" applyAlignment="1"/>
    <xf numFmtId="171" fontId="9" fillId="8" borderId="23" xfId="0" applyNumberFormat="1" applyFont="1" applyFill="1" applyBorder="1" applyAlignment="1"/>
    <xf numFmtId="171" fontId="9" fillId="8" borderId="18" xfId="0" applyNumberFormat="1" applyFont="1" applyFill="1" applyBorder="1" applyAlignment="1"/>
    <xf numFmtId="172" fontId="9" fillId="8" borderId="22" xfId="0" applyNumberFormat="1" applyFont="1" applyFill="1" applyBorder="1" applyAlignment="1"/>
    <xf numFmtId="172" fontId="9" fillId="8" borderId="23" xfId="17" applyNumberFormat="1" applyFont="1" applyFill="1" applyBorder="1"/>
    <xf numFmtId="172" fontId="9" fillId="8" borderId="18" xfId="0" applyNumberFormat="1" applyFont="1" applyFill="1" applyBorder="1"/>
    <xf numFmtId="0" fontId="9" fillId="8" borderId="0" xfId="0" applyFont="1" applyFill="1"/>
    <xf numFmtId="0" fontId="9" fillId="8" borderId="0" xfId="0" applyFont="1" applyFill="1" applyBorder="1"/>
    <xf numFmtId="0" fontId="9" fillId="8" borderId="0" xfId="0" applyNumberFormat="1" applyFont="1" applyFill="1" applyBorder="1"/>
    <xf numFmtId="2" fontId="9" fillId="8" borderId="0" xfId="0" applyNumberFormat="1" applyFont="1" applyFill="1"/>
    <xf numFmtId="0" fontId="9" fillId="0" borderId="13" xfId="0" applyFont="1" applyFill="1" applyBorder="1"/>
    <xf numFmtId="0" fontId="9" fillId="0" borderId="9" xfId="0" applyFont="1" applyBorder="1"/>
    <xf numFmtId="0" fontId="9" fillId="8" borderId="13" xfId="0" applyFont="1" applyFill="1" applyBorder="1" applyAlignment="1"/>
    <xf numFmtId="171" fontId="9" fillId="8" borderId="0" xfId="0" applyNumberFormat="1" applyFont="1" applyFill="1" applyBorder="1" applyAlignment="1"/>
    <xf numFmtId="171" fontId="9" fillId="8" borderId="9" xfId="0" applyNumberFormat="1" applyFont="1" applyFill="1" applyBorder="1" applyAlignment="1"/>
    <xf numFmtId="172" fontId="9" fillId="8" borderId="13" xfId="0" applyNumberFormat="1" applyFont="1" applyFill="1" applyBorder="1" applyAlignment="1"/>
    <xf numFmtId="172" fontId="9" fillId="8" borderId="0" xfId="17" applyNumberFormat="1" applyFont="1" applyFill="1" applyBorder="1"/>
    <xf numFmtId="172" fontId="9" fillId="8" borderId="9" xfId="0" applyNumberFormat="1" applyFont="1" applyFill="1" applyBorder="1"/>
    <xf numFmtId="172" fontId="9" fillId="8" borderId="0" xfId="0" applyNumberFormat="1" applyFont="1" applyFill="1" applyBorder="1"/>
    <xf numFmtId="0" fontId="9" fillId="0" borderId="13" xfId="0" applyFont="1" applyBorder="1" applyAlignment="1"/>
    <xf numFmtId="171" fontId="9" fillId="0" borderId="0" xfId="0" applyNumberFormat="1" applyFont="1" applyBorder="1" applyAlignment="1"/>
    <xf numFmtId="171" fontId="9" fillId="0" borderId="9" xfId="0" applyNumberFormat="1" applyFont="1" applyBorder="1" applyAlignment="1"/>
    <xf numFmtId="172" fontId="9" fillId="0" borderId="13" xfId="0" applyNumberFormat="1" applyFont="1" applyBorder="1" applyAlignment="1"/>
    <xf numFmtId="172" fontId="9" fillId="0" borderId="0" xfId="17" applyNumberFormat="1" applyFont="1" applyBorder="1"/>
    <xf numFmtId="172" fontId="9" fillId="0" borderId="9" xfId="0" applyNumberFormat="1" applyFont="1" applyBorder="1"/>
    <xf numFmtId="0" fontId="9" fillId="0" borderId="0" xfId="0" applyFont="1" applyBorder="1"/>
    <xf numFmtId="0" fontId="9" fillId="0" borderId="0" xfId="0" applyNumberFormat="1" applyFont="1" applyBorder="1"/>
    <xf numFmtId="2" fontId="9" fillId="0" borderId="0" xfId="0" applyNumberFormat="1" applyFont="1"/>
    <xf numFmtId="0" fontId="9" fillId="0" borderId="14" xfId="0" applyFont="1" applyBorder="1" applyAlignment="1"/>
    <xf numFmtId="172" fontId="9" fillId="0" borderId="13" xfId="17" applyNumberFormat="1" applyFont="1" applyBorder="1" applyAlignment="1"/>
    <xf numFmtId="172" fontId="9" fillId="0" borderId="0" xfId="1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5" fillId="0" borderId="0" xfId="0" applyNumberFormat="1" applyFont="1" applyBorder="1"/>
    <xf numFmtId="0" fontId="9" fillId="8" borderId="0" xfId="0" quotePrefix="1" applyFont="1" applyFill="1" applyBorder="1"/>
    <xf numFmtId="0" fontId="9" fillId="0" borderId="13" xfId="0" applyFont="1" applyBorder="1"/>
    <xf numFmtId="172" fontId="9" fillId="8" borderId="13" xfId="17" applyNumberFormat="1" applyFont="1" applyFill="1" applyBorder="1" applyAlignment="1"/>
    <xf numFmtId="2" fontId="9" fillId="0" borderId="22" xfId="0" applyNumberFormat="1" applyFont="1" applyBorder="1"/>
    <xf numFmtId="2" fontId="9" fillId="0" borderId="13" xfId="0" applyNumberFormat="1" applyFont="1" applyBorder="1"/>
    <xf numFmtId="2" fontId="9" fillId="0" borderId="14" xfId="0" applyNumberFormat="1" applyFont="1" applyBorder="1"/>
    <xf numFmtId="2" fontId="9" fillId="0" borderId="23" xfId="0" applyNumberFormat="1" applyFont="1" applyBorder="1"/>
    <xf numFmtId="2" fontId="9" fillId="0" borderId="0" xfId="0" applyNumberFormat="1" applyFont="1" applyBorder="1"/>
    <xf numFmtId="2" fontId="9" fillId="0" borderId="15" xfId="0" applyNumberFormat="1" applyFont="1" applyBorder="1"/>
    <xf numFmtId="2" fontId="9" fillId="0" borderId="18" xfId="0" applyNumberFormat="1" applyFont="1" applyBorder="1"/>
    <xf numFmtId="2" fontId="9" fillId="0" borderId="9" xfId="0" applyNumberFormat="1" applyFont="1" applyBorder="1"/>
    <xf numFmtId="2" fontId="9" fillId="0" borderId="16" xfId="0" applyNumberFormat="1" applyFont="1" applyBorder="1"/>
    <xf numFmtId="172" fontId="9" fillId="0" borderId="17" xfId="0" applyNumberFormat="1" applyFont="1" applyBorder="1"/>
    <xf numFmtId="172" fontId="9" fillId="0" borderId="8" xfId="0" applyNumberFormat="1" applyFont="1" applyBorder="1"/>
    <xf numFmtId="172" fontId="9" fillId="0" borderId="19" xfId="0" applyNumberFormat="1" applyFont="1" applyBorder="1"/>
    <xf numFmtId="175" fontId="9" fillId="0" borderId="22" xfId="0" applyNumberFormat="1" applyFont="1" applyBorder="1"/>
    <xf numFmtId="175" fontId="9" fillId="0" borderId="23" xfId="0" applyNumberFormat="1" applyFont="1" applyBorder="1"/>
    <xf numFmtId="175" fontId="9" fillId="0" borderId="18" xfId="0" applyNumberFormat="1" applyFont="1" applyBorder="1"/>
    <xf numFmtId="175" fontId="9" fillId="0" borderId="13" xfId="0" applyNumberFormat="1" applyFont="1" applyBorder="1"/>
    <xf numFmtId="175" fontId="9" fillId="0" borderId="0" xfId="0" applyNumberFormat="1" applyFont="1" applyBorder="1"/>
    <xf numFmtId="175" fontId="9" fillId="0" borderId="9" xfId="0" applyNumberFormat="1" applyFont="1" applyBorder="1"/>
    <xf numFmtId="175" fontId="9" fillId="0" borderId="14" xfId="0" applyNumberFormat="1" applyFont="1" applyBorder="1"/>
    <xf numFmtId="175" fontId="9" fillId="0" borderId="15" xfId="0" applyNumberFormat="1" applyFont="1" applyBorder="1"/>
    <xf numFmtId="175" fontId="9" fillId="0" borderId="16" xfId="0" applyNumberFormat="1" applyFont="1" applyBorder="1"/>
    <xf numFmtId="175" fontId="9" fillId="0" borderId="17" xfId="0" applyNumberFormat="1" applyFont="1" applyBorder="1"/>
    <xf numFmtId="175" fontId="9" fillId="0" borderId="8" xfId="0" applyNumberFormat="1" applyFont="1" applyBorder="1"/>
    <xf numFmtId="175" fontId="9" fillId="0" borderId="19" xfId="0" applyNumberFormat="1" applyFont="1" applyBorder="1"/>
    <xf numFmtId="172" fontId="9" fillId="0" borderId="0" xfId="0" applyNumberFormat="1" applyFont="1"/>
    <xf numFmtId="0" fontId="9" fillId="0" borderId="23" xfId="0" applyFont="1" applyBorder="1"/>
    <xf numFmtId="169" fontId="9" fillId="0" borderId="23" xfId="0" applyNumberFormat="1" applyFont="1" applyBorder="1" applyAlignment="1"/>
    <xf numFmtId="172" fontId="9" fillId="0" borderId="23" xfId="0" applyNumberFormat="1" applyFont="1" applyBorder="1" applyAlignment="1"/>
    <xf numFmtId="172" fontId="9" fillId="0" borderId="0" xfId="17" applyNumberFormat="1" applyFont="1"/>
    <xf numFmtId="169" fontId="9" fillId="0" borderId="0" xfId="0" applyNumberFormat="1" applyFont="1" applyBorder="1" applyAlignment="1"/>
    <xf numFmtId="0" fontId="9" fillId="0" borderId="17" xfId="0" applyFont="1" applyBorder="1" applyAlignment="1">
      <alignment horizontal="center"/>
    </xf>
    <xf numFmtId="172" fontId="9" fillId="0" borderId="23" xfId="0" applyNumberFormat="1" applyFont="1" applyBorder="1"/>
    <xf numFmtId="172" fontId="9" fillId="0" borderId="18" xfId="0" applyNumberFormat="1" applyFont="1" applyBorder="1"/>
    <xf numFmtId="172" fontId="9" fillId="0" borderId="20" xfId="0" applyNumberFormat="1" applyFont="1" applyBorder="1"/>
    <xf numFmtId="172" fontId="9" fillId="0" borderId="21" xfId="0" applyNumberFormat="1" applyFont="1" applyBorder="1"/>
    <xf numFmtId="172" fontId="9" fillId="0" borderId="7" xfId="0" applyNumberFormat="1" applyFont="1" applyBorder="1"/>
    <xf numFmtId="0" fontId="9" fillId="0" borderId="8" xfId="0" applyFont="1" applyBorder="1" applyAlignment="1">
      <alignment horizontal="center"/>
    </xf>
    <xf numFmtId="172" fontId="9" fillId="0" borderId="0" xfId="0" applyNumberFormat="1" applyFont="1" applyBorder="1"/>
    <xf numFmtId="0" fontId="9" fillId="0" borderId="6" xfId="0" applyFont="1" applyBorder="1"/>
    <xf numFmtId="0" fontId="9" fillId="0" borderId="22" xfId="0" applyFont="1" applyBorder="1" applyAlignment="1">
      <alignment horizontal="right"/>
    </xf>
    <xf numFmtId="171" fontId="9" fillId="0" borderId="23" xfId="0" applyNumberFormat="1" applyFont="1" applyBorder="1" applyAlignment="1"/>
    <xf numFmtId="171" fontId="9" fillId="0" borderId="18" xfId="0" applyNumberFormat="1" applyFont="1" applyBorder="1"/>
    <xf numFmtId="172" fontId="15" fillId="0" borderId="0" xfId="17" applyNumberFormat="1" applyFont="1" applyBorder="1"/>
    <xf numFmtId="0" fontId="9" fillId="0" borderId="17" xfId="0" applyFont="1" applyBorder="1"/>
    <xf numFmtId="172" fontId="9" fillId="0" borderId="17" xfId="17" applyNumberFormat="1" applyFont="1" applyBorder="1"/>
    <xf numFmtId="172" fontId="9" fillId="0" borderId="13" xfId="0" applyNumberFormat="1" applyFont="1" applyBorder="1"/>
    <xf numFmtId="0" fontId="9" fillId="0" borderId="17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171" fontId="9" fillId="0" borderId="9" xfId="0" applyNumberFormat="1" applyFont="1" applyBorder="1"/>
    <xf numFmtId="0" fontId="9" fillId="0" borderId="8" xfId="0" applyFont="1" applyBorder="1"/>
    <xf numFmtId="172" fontId="9" fillId="0" borderId="8" xfId="17" applyNumberFormat="1" applyFont="1" applyBorder="1"/>
    <xf numFmtId="0" fontId="9" fillId="0" borderId="8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4" xfId="0" applyFont="1" applyBorder="1" applyAlignment="1">
      <alignment horizontal="right"/>
    </xf>
    <xf numFmtId="171" fontId="9" fillId="0" borderId="15" xfId="0" applyNumberFormat="1" applyFont="1" applyBorder="1" applyAlignment="1"/>
    <xf numFmtId="171" fontId="9" fillId="0" borderId="16" xfId="0" applyNumberFormat="1" applyFont="1" applyBorder="1"/>
    <xf numFmtId="172" fontId="15" fillId="0" borderId="15" xfId="17" applyNumberFormat="1" applyFont="1" applyBorder="1"/>
    <xf numFmtId="0" fontId="9" fillId="0" borderId="19" xfId="0" applyFont="1" applyBorder="1"/>
    <xf numFmtId="172" fontId="9" fillId="0" borderId="19" xfId="17" applyNumberFormat="1" applyFont="1" applyBorder="1"/>
    <xf numFmtId="172" fontId="9" fillId="0" borderId="14" xfId="0" applyNumberFormat="1" applyFont="1" applyBorder="1"/>
    <xf numFmtId="172" fontId="9" fillId="0" borderId="15" xfId="0" applyNumberFormat="1" applyFont="1" applyBorder="1"/>
    <xf numFmtId="172" fontId="9" fillId="0" borderId="16" xfId="0" applyNumberFormat="1" applyFont="1" applyBorder="1"/>
    <xf numFmtId="0" fontId="9" fillId="0" borderId="19" xfId="0" applyFont="1" applyBorder="1" applyAlignment="1">
      <alignment horizontal="right"/>
    </xf>
    <xf numFmtId="172" fontId="15" fillId="0" borderId="23" xfId="17" applyNumberFormat="1" applyFont="1" applyBorder="1"/>
    <xf numFmtId="172" fontId="15" fillId="9" borderId="17" xfId="17" applyNumberFormat="1" applyFont="1" applyFill="1" applyBorder="1" applyAlignment="1"/>
    <xf numFmtId="172" fontId="15" fillId="9" borderId="8" xfId="17" applyNumberFormat="1" applyFont="1" applyFill="1" applyBorder="1" applyAlignment="1"/>
    <xf numFmtId="172" fontId="15" fillId="9" borderId="13" xfId="17" applyNumberFormat="1" applyFont="1" applyFill="1" applyBorder="1" applyAlignment="1"/>
    <xf numFmtId="172" fontId="15" fillId="9" borderId="18" xfId="17" applyNumberFormat="1" applyFont="1" applyFill="1" applyBorder="1"/>
    <xf numFmtId="172" fontId="15" fillId="9" borderId="9" xfId="17" applyNumberFormat="1" applyFont="1" applyFill="1" applyBorder="1"/>
    <xf numFmtId="0" fontId="9" fillId="0" borderId="13" xfId="0" applyFont="1" applyFill="1" applyBorder="1" applyAlignment="1">
      <alignment horizontal="right"/>
    </xf>
    <xf numFmtId="0" fontId="9" fillId="0" borderId="19" xfId="0" applyFont="1" applyFill="1" applyBorder="1" applyAlignment="1">
      <alignment horizontal="right"/>
    </xf>
    <xf numFmtId="172" fontId="15" fillId="9" borderId="16" xfId="17" applyNumberFormat="1" applyFont="1" applyFill="1" applyBorder="1"/>
    <xf numFmtId="172" fontId="15" fillId="9" borderId="0" xfId="17" applyNumberFormat="1" applyFont="1" applyFill="1" applyBorder="1"/>
    <xf numFmtId="172" fontId="15" fillId="10" borderId="13" xfId="17" applyNumberFormat="1" applyFont="1" applyFill="1" applyBorder="1" applyAlignment="1">
      <alignment horizontal="left"/>
    </xf>
    <xf numFmtId="172" fontId="15" fillId="10" borderId="0" xfId="17" applyNumberFormat="1" applyFont="1" applyFill="1" applyBorder="1"/>
    <xf numFmtId="172" fontId="15" fillId="10" borderId="13" xfId="17" applyNumberFormat="1" applyFont="1" applyFill="1" applyBorder="1" applyAlignment="1"/>
    <xf numFmtId="172" fontId="15" fillId="10" borderId="0" xfId="17" applyNumberFormat="1" applyFont="1" applyFill="1" applyBorder="1" applyAlignment="1">
      <alignment horizontal="center"/>
    </xf>
    <xf numFmtId="172" fontId="15" fillId="10" borderId="9" xfId="17" applyNumberFormat="1" applyFont="1" applyFill="1" applyBorder="1"/>
    <xf numFmtId="172" fontId="15" fillId="10" borderId="9" xfId="17" applyNumberFormat="1" applyFont="1" applyFill="1" applyBorder="1" applyAlignment="1">
      <alignment horizontal="right"/>
    </xf>
    <xf numFmtId="172" fontId="15" fillId="9" borderId="14" xfId="17" applyNumberFormat="1" applyFont="1" applyFill="1" applyBorder="1" applyAlignment="1"/>
    <xf numFmtId="172" fontId="15" fillId="9" borderId="15" xfId="17" applyNumberFormat="1" applyFont="1" applyFill="1" applyBorder="1"/>
    <xf numFmtId="176" fontId="9" fillId="0" borderId="0" xfId="0" applyNumberFormat="1" applyFont="1"/>
    <xf numFmtId="0" fontId="9" fillId="5" borderId="24" xfId="14" applyFont="1" applyFill="1" applyBorder="1"/>
    <xf numFmtId="0" fontId="9" fillId="5" borderId="25" xfId="14" applyFont="1" applyFill="1" applyBorder="1"/>
    <xf numFmtId="0" fontId="9" fillId="5" borderId="26" xfId="14" applyFont="1" applyFill="1" applyBorder="1"/>
    <xf numFmtId="0" fontId="9" fillId="0" borderId="0" xfId="14" applyFont="1"/>
    <xf numFmtId="0" fontId="9" fillId="5" borderId="24" xfId="20" applyFont="1" applyFill="1" applyBorder="1" applyAlignment="1">
      <alignment horizontal="center"/>
    </xf>
    <xf numFmtId="0" fontId="9" fillId="5" borderId="25" xfId="20" applyFont="1" applyFill="1" applyBorder="1"/>
    <xf numFmtId="0" fontId="9" fillId="5" borderId="25" xfId="20" applyFont="1" applyFill="1" applyBorder="1" applyAlignment="1">
      <alignment horizontal="center"/>
    </xf>
    <xf numFmtId="0" fontId="9" fillId="5" borderId="26" xfId="18" applyFont="1" applyFill="1" applyBorder="1"/>
    <xf numFmtId="0" fontId="10" fillId="0" borderId="0" xfId="14" applyFont="1"/>
    <xf numFmtId="0" fontId="9" fillId="5" borderId="5" xfId="14" applyFont="1" applyFill="1" applyBorder="1" applyAlignment="1">
      <alignment horizontal="center"/>
    </xf>
    <xf numFmtId="0" fontId="9" fillId="5" borderId="4" xfId="20" applyFont="1" applyFill="1" applyBorder="1" applyAlignment="1">
      <alignment horizontal="center"/>
    </xf>
    <xf numFmtId="0" fontId="9" fillId="5" borderId="0" xfId="20" applyFont="1" applyFill="1" applyBorder="1" applyAlignment="1">
      <alignment horizontal="center"/>
    </xf>
    <xf numFmtId="0" fontId="9" fillId="5" borderId="5" xfId="18" applyFont="1" applyFill="1" applyBorder="1"/>
    <xf numFmtId="0" fontId="9" fillId="5" borderId="17" xfId="14" applyNumberFormat="1" applyFont="1" applyFill="1" applyBorder="1" applyAlignment="1"/>
    <xf numFmtId="0" fontId="9" fillId="5" borderId="0" xfId="20" quotePrefix="1" applyFont="1" applyFill="1" applyBorder="1" applyAlignment="1">
      <alignment horizontal="center"/>
    </xf>
    <xf numFmtId="0" fontId="9" fillId="5" borderId="8" xfId="14" applyNumberFormat="1" applyFont="1" applyFill="1" applyBorder="1" applyAlignment="1"/>
    <xf numFmtId="0" fontId="10" fillId="5" borderId="4" xfId="14" applyFont="1" applyFill="1" applyBorder="1" applyAlignment="1">
      <alignment horizontal="center"/>
    </xf>
    <xf numFmtId="0" fontId="10" fillId="5" borderId="5" xfId="14" applyFont="1" applyFill="1" applyBorder="1" applyAlignment="1">
      <alignment horizontal="center"/>
    </xf>
    <xf numFmtId="0" fontId="9" fillId="5" borderId="4" xfId="0" applyFont="1" applyFill="1" applyBorder="1"/>
    <xf numFmtId="0" fontId="9" fillId="5" borderId="0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0" xfId="0" quotePrefix="1" applyFont="1" applyFill="1" applyBorder="1" applyAlignment="1">
      <alignment horizontal="center"/>
    </xf>
    <xf numFmtId="0" fontId="9" fillId="5" borderId="5" xfId="0" applyFont="1" applyFill="1" applyBorder="1"/>
    <xf numFmtId="0" fontId="9" fillId="5" borderId="10" xfId="0" applyFont="1" applyFill="1" applyBorder="1"/>
    <xf numFmtId="0" fontId="9" fillId="5" borderId="11" xfId="0" applyFont="1" applyFill="1" applyBorder="1"/>
    <xf numFmtId="0" fontId="9" fillId="5" borderId="12" xfId="0" applyFont="1" applyFill="1" applyBorder="1"/>
    <xf numFmtId="0" fontId="3" fillId="5" borderId="5" xfId="14" applyFont="1" applyFill="1" applyBorder="1"/>
    <xf numFmtId="0" fontId="10" fillId="5" borderId="10" xfId="14" applyFont="1" applyFill="1" applyBorder="1" applyAlignment="1">
      <alignment horizontal="center"/>
    </xf>
    <xf numFmtId="0" fontId="3" fillId="5" borderId="12" xfId="14" applyFont="1" applyFill="1" applyBorder="1"/>
    <xf numFmtId="0" fontId="16" fillId="10" borderId="21" xfId="8" applyFont="1" applyFill="1" applyBorder="1" applyAlignment="1">
      <alignment horizontal="center" vertical="center" wrapText="1"/>
    </xf>
    <xf numFmtId="0" fontId="16" fillId="10" borderId="7" xfId="8" applyFont="1" applyFill="1" applyBorder="1" applyAlignment="1">
      <alignment horizontal="center" vertical="center" wrapText="1"/>
    </xf>
    <xf numFmtId="0" fontId="9" fillId="0" borderId="0" xfId="8" applyFont="1"/>
    <xf numFmtId="0" fontId="16" fillId="5" borderId="14" xfId="8" applyFont="1" applyFill="1" applyBorder="1" applyAlignment="1">
      <alignment vertical="center" textRotation="90"/>
    </xf>
    <xf numFmtId="0" fontId="9" fillId="5" borderId="15" xfId="8" applyNumberFormat="1" applyFont="1" applyFill="1" applyBorder="1" applyAlignment="1"/>
    <xf numFmtId="0" fontId="9" fillId="5" borderId="15" xfId="8" applyFont="1" applyFill="1" applyBorder="1" applyAlignment="1"/>
    <xf numFmtId="172" fontId="9" fillId="5" borderId="15" xfId="11" applyNumberFormat="1" applyFont="1" applyFill="1" applyBorder="1" applyAlignment="1">
      <alignment horizontal="right"/>
    </xf>
    <xf numFmtId="0" fontId="9" fillId="5" borderId="15" xfId="8" applyFont="1" applyFill="1" applyBorder="1" applyAlignment="1">
      <alignment horizontal="center"/>
    </xf>
    <xf numFmtId="169" fontId="9" fillId="5" borderId="15" xfId="8" applyNumberFormat="1" applyFont="1" applyFill="1" applyBorder="1" applyAlignment="1">
      <alignment horizontal="right"/>
    </xf>
    <xf numFmtId="169" fontId="9" fillId="5" borderId="16" xfId="8" applyNumberFormat="1" applyFont="1" applyFill="1" applyBorder="1" applyAlignment="1">
      <alignment horizontal="right"/>
    </xf>
    <xf numFmtId="0" fontId="9" fillId="5" borderId="20" xfId="8" applyNumberFormat="1" applyFont="1" applyFill="1" applyBorder="1" applyAlignment="1"/>
    <xf numFmtId="0" fontId="9" fillId="5" borderId="21" xfId="8" applyNumberFormat="1" applyFont="1" applyFill="1" applyBorder="1" applyAlignment="1"/>
    <xf numFmtId="172" fontId="9" fillId="5" borderId="21" xfId="11" applyNumberFormat="1" applyFont="1" applyFill="1" applyBorder="1" applyAlignment="1">
      <alignment horizontal="right"/>
    </xf>
    <xf numFmtId="0" fontId="9" fillId="5" borderId="21" xfId="8" applyFont="1" applyFill="1" applyBorder="1" applyAlignment="1">
      <alignment horizontal="center"/>
    </xf>
    <xf numFmtId="169" fontId="9" fillId="5" borderId="21" xfId="8" applyNumberFormat="1" applyFont="1" applyFill="1" applyBorder="1" applyAlignment="1">
      <alignment horizontal="right"/>
    </xf>
    <xf numFmtId="169" fontId="9" fillId="5" borderId="7" xfId="8" applyNumberFormat="1" applyFont="1" applyFill="1" applyBorder="1" applyAlignment="1">
      <alignment horizontal="right"/>
    </xf>
    <xf numFmtId="172" fontId="9" fillId="0" borderId="0" xfId="8" applyNumberFormat="1" applyFont="1"/>
    <xf numFmtId="0" fontId="9" fillId="5" borderId="22" xfId="8" applyNumberFormat="1" applyFont="1" applyFill="1" applyBorder="1" applyAlignment="1"/>
    <xf numFmtId="0" fontId="9" fillId="5" borderId="23" xfId="8" applyNumberFormat="1" applyFont="1" applyFill="1" applyBorder="1" applyAlignment="1"/>
    <xf numFmtId="0" fontId="9" fillId="5" borderId="23" xfId="8" applyFont="1" applyFill="1" applyBorder="1" applyAlignment="1"/>
    <xf numFmtId="172" fontId="9" fillId="5" borderId="23" xfId="11" applyNumberFormat="1" applyFont="1" applyFill="1" applyBorder="1" applyAlignment="1">
      <alignment horizontal="right"/>
    </xf>
    <xf numFmtId="0" fontId="9" fillId="5" borderId="23" xfId="8" applyFont="1" applyFill="1" applyBorder="1" applyAlignment="1">
      <alignment horizontal="center"/>
    </xf>
    <xf numFmtId="169" fontId="9" fillId="5" borderId="23" xfId="8" applyNumberFormat="1" applyFont="1" applyFill="1" applyBorder="1" applyAlignment="1">
      <alignment horizontal="right"/>
    </xf>
    <xf numFmtId="169" fontId="9" fillId="5" borderId="18" xfId="8" applyNumberFormat="1" applyFont="1" applyFill="1" applyBorder="1" applyAlignment="1">
      <alignment horizontal="right"/>
    </xf>
    <xf numFmtId="0" fontId="9" fillId="5" borderId="13" xfId="8" applyNumberFormat="1" applyFont="1" applyFill="1" applyBorder="1" applyAlignment="1"/>
    <xf numFmtId="0" fontId="9" fillId="5" borderId="0" xfId="8" applyNumberFormat="1" applyFont="1" applyFill="1" applyBorder="1" applyAlignment="1"/>
    <xf numFmtId="0" fontId="9" fillId="5" borderId="0" xfId="8" applyFont="1" applyFill="1" applyBorder="1" applyAlignment="1"/>
    <xf numFmtId="172" fontId="9" fillId="5" borderId="0" xfId="11" applyNumberFormat="1" applyFont="1" applyFill="1" applyBorder="1" applyAlignment="1">
      <alignment horizontal="right"/>
    </xf>
    <xf numFmtId="0" fontId="9" fillId="5" borderId="0" xfId="8" applyFont="1" applyFill="1" applyBorder="1" applyAlignment="1">
      <alignment horizontal="center"/>
    </xf>
    <xf numFmtId="169" fontId="9" fillId="5" borderId="0" xfId="8" applyNumberFormat="1" applyFont="1" applyFill="1" applyBorder="1" applyAlignment="1">
      <alignment horizontal="right"/>
    </xf>
    <xf numFmtId="169" fontId="9" fillId="5" borderId="9" xfId="8" applyNumberFormat="1" applyFont="1" applyFill="1" applyBorder="1" applyAlignment="1">
      <alignment horizontal="right"/>
    </xf>
    <xf numFmtId="0" fontId="9" fillId="5" borderId="14" xfId="8" applyNumberFormat="1" applyFont="1" applyFill="1" applyBorder="1" applyAlignment="1"/>
    <xf numFmtId="0" fontId="9" fillId="0" borderId="0" xfId="8" applyFont="1" applyAlignment="1">
      <alignment horizontal="left"/>
    </xf>
    <xf numFmtId="0" fontId="16" fillId="10" borderId="20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9" fillId="9" borderId="20" xfId="8" applyFont="1" applyFill="1" applyBorder="1"/>
    <xf numFmtId="0" fontId="9" fillId="9" borderId="21" xfId="8" applyFont="1" applyFill="1" applyBorder="1"/>
    <xf numFmtId="171" fontId="9" fillId="9" borderId="7" xfId="8" applyNumberFormat="1" applyFont="1" applyFill="1" applyBorder="1"/>
    <xf numFmtId="171" fontId="9" fillId="5" borderId="9" xfId="8" applyNumberFormat="1" applyFont="1" applyFill="1" applyBorder="1" applyAlignment="1"/>
    <xf numFmtId="172" fontId="9" fillId="0" borderId="0" xfId="11" applyNumberFormat="1" applyFont="1"/>
    <xf numFmtId="171" fontId="9" fillId="0" borderId="0" xfId="8" applyNumberFormat="1" applyFont="1"/>
    <xf numFmtId="0" fontId="9" fillId="5" borderId="13" xfId="8" applyFont="1" applyFill="1" applyBorder="1" applyAlignment="1"/>
    <xf numFmtId="172" fontId="9" fillId="5" borderId="0" xfId="8" applyNumberFormat="1" applyFont="1" applyFill="1" applyBorder="1" applyAlignment="1"/>
    <xf numFmtId="171" fontId="9" fillId="5" borderId="0" xfId="8" applyNumberFormat="1" applyFont="1" applyFill="1" applyBorder="1" applyAlignment="1"/>
    <xf numFmtId="0" fontId="9" fillId="5" borderId="14" xfId="8" applyFont="1" applyFill="1" applyBorder="1" applyAlignment="1"/>
    <xf numFmtId="172" fontId="9" fillId="5" borderId="15" xfId="8" applyNumberFormat="1" applyFont="1" applyFill="1" applyBorder="1" applyAlignment="1"/>
    <xf numFmtId="171" fontId="9" fillId="5" borderId="15" xfId="8" applyNumberFormat="1" applyFont="1" applyFill="1" applyBorder="1" applyAlignment="1"/>
    <xf numFmtId="171" fontId="9" fillId="5" borderId="16" xfId="8" applyNumberFormat="1" applyFont="1" applyFill="1" applyBorder="1" applyAlignment="1"/>
    <xf numFmtId="0" fontId="9" fillId="5" borderId="0" xfId="19" quotePrefix="1" applyFont="1" applyFill="1" applyBorder="1" applyAlignment="1">
      <alignment horizontal="center"/>
    </xf>
    <xf numFmtId="0" fontId="9" fillId="5" borderId="0" xfId="19" applyFont="1" applyFill="1" applyBorder="1" applyAlignment="1">
      <alignment horizontal="center"/>
    </xf>
    <xf numFmtId="0" fontId="9" fillId="11" borderId="4" xfId="15" applyFont="1" applyFill="1" applyBorder="1"/>
    <xf numFmtId="0" fontId="9" fillId="11" borderId="0" xfId="15" applyFont="1" applyFill="1" applyBorder="1" applyAlignment="1">
      <alignment horizontal="right"/>
    </xf>
    <xf numFmtId="171" fontId="9" fillId="11" borderId="0" xfId="17" applyNumberFormat="1" applyFont="1" applyFill="1" applyBorder="1" applyAlignment="1">
      <alignment horizontal="center"/>
    </xf>
    <xf numFmtId="0" fontId="9" fillId="11" borderId="0" xfId="15" applyFont="1" applyFill="1" applyBorder="1"/>
    <xf numFmtId="0" fontId="9" fillId="11" borderId="5" xfId="15" applyFont="1" applyFill="1" applyBorder="1"/>
    <xf numFmtId="168" fontId="10" fillId="5" borderId="6" xfId="15" applyNumberFormat="1" applyFont="1" applyFill="1" applyBorder="1" applyAlignment="1">
      <alignment horizontal="center"/>
    </xf>
    <xf numFmtId="1" fontId="9" fillId="5" borderId="6" xfId="15" applyNumberFormat="1" applyFont="1" applyFill="1" applyBorder="1" applyAlignment="1">
      <alignment horizontal="center"/>
    </xf>
    <xf numFmtId="169" fontId="10" fillId="5" borderId="7" xfId="17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6" borderId="6" xfId="15" applyFont="1" applyFill="1" applyBorder="1" applyAlignment="1">
      <alignment horizontal="right" vertical="center"/>
    </xf>
    <xf numFmtId="169" fontId="9" fillId="12" borderId="6" xfId="11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69" fontId="9" fillId="5" borderId="17" xfId="0" applyNumberFormat="1" applyFont="1" applyFill="1" applyBorder="1" applyAlignment="1">
      <alignment horizontal="right"/>
    </xf>
    <xf numFmtId="178" fontId="9" fillId="5" borderId="18" xfId="0" applyNumberFormat="1" applyFont="1" applyFill="1" applyBorder="1" applyAlignment="1">
      <alignment horizontal="center"/>
    </xf>
    <xf numFmtId="169" fontId="9" fillId="5" borderId="19" xfId="0" applyNumberFormat="1" applyFont="1" applyFill="1" applyBorder="1" applyAlignment="1">
      <alignment horizontal="right"/>
    </xf>
    <xf numFmtId="0" fontId="9" fillId="5" borderId="16" xfId="0" applyFont="1" applyFill="1" applyBorder="1" applyAlignment="1">
      <alignment horizontal="center"/>
    </xf>
    <xf numFmtId="0" fontId="16" fillId="6" borderId="17" xfId="0" applyFont="1" applyFill="1" applyBorder="1" applyAlignment="1">
      <alignment horizontal="right"/>
    </xf>
    <xf numFmtId="179" fontId="9" fillId="7" borderId="18" xfId="0" quotePrefix="1" applyNumberFormat="1" applyFont="1" applyFill="1" applyBorder="1" applyAlignment="1">
      <alignment horizontal="center"/>
    </xf>
    <xf numFmtId="0" fontId="16" fillId="6" borderId="19" xfId="0" applyFont="1" applyFill="1" applyBorder="1" applyAlignment="1">
      <alignment horizontal="right"/>
    </xf>
    <xf numFmtId="1" fontId="15" fillId="7" borderId="16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0" fillId="5" borderId="11" xfId="14" applyNumberFormat="1" applyFont="1" applyFill="1" applyBorder="1" applyAlignment="1"/>
    <xf numFmtId="0" fontId="9" fillId="11" borderId="15" xfId="8" applyFont="1" applyFill="1" applyBorder="1"/>
    <xf numFmtId="0" fontId="9" fillId="11" borderId="21" xfId="8" applyFont="1" applyFill="1" applyBorder="1"/>
    <xf numFmtId="0" fontId="9" fillId="11" borderId="23" xfId="8" applyFont="1" applyFill="1" applyBorder="1"/>
    <xf numFmtId="0" fontId="9" fillId="11" borderId="0" xfId="8" applyFont="1" applyFill="1" applyBorder="1"/>
    <xf numFmtId="0" fontId="14" fillId="5" borderId="0" xfId="15" applyFont="1" applyFill="1" applyBorder="1" applyAlignment="1">
      <alignment horizontal="right" vertical="center"/>
    </xf>
    <xf numFmtId="0" fontId="15" fillId="5" borderId="0" xfId="15" applyFont="1" applyFill="1" applyBorder="1" applyAlignment="1">
      <alignment horizontal="right" vertical="center"/>
    </xf>
    <xf numFmtId="174" fontId="15" fillId="5" borderId="0" xfId="15" applyNumberFormat="1" applyFont="1" applyFill="1" applyBorder="1" applyAlignment="1">
      <alignment horizontal="right" vertical="center"/>
    </xf>
    <xf numFmtId="1" fontId="9" fillId="0" borderId="17" xfId="0" applyNumberFormat="1" applyFont="1" applyBorder="1"/>
    <xf numFmtId="0" fontId="9" fillId="7" borderId="30" xfId="14" applyNumberFormat="1" applyFont="1" applyFill="1" applyBorder="1" applyAlignment="1" applyProtection="1"/>
    <xf numFmtId="0" fontId="9" fillId="5" borderId="32" xfId="14" applyNumberFormat="1" applyFont="1" applyFill="1" applyBorder="1" applyAlignment="1"/>
    <xf numFmtId="172" fontId="16" fillId="0" borderId="29" xfId="21" applyNumberFormat="1" applyFont="1" applyFill="1" applyBorder="1" applyAlignment="1">
      <alignment horizontal="center" vertical="center" wrapText="1"/>
    </xf>
    <xf numFmtId="173" fontId="16" fillId="0" borderId="30" xfId="21" applyNumberFormat="1" applyFont="1" applyFill="1" applyBorder="1" applyAlignment="1">
      <alignment horizontal="center" vertical="center" wrapText="1"/>
    </xf>
    <xf numFmtId="0" fontId="9" fillId="0" borderId="4" xfId="21" applyNumberFormat="1" applyFont="1" applyFill="1" applyBorder="1" applyAlignment="1">
      <alignment vertical="center"/>
    </xf>
    <xf numFmtId="172" fontId="9" fillId="0" borderId="5" xfId="21" quotePrefix="1" applyNumberFormat="1" applyFont="1" applyFill="1" applyBorder="1" applyAlignment="1"/>
    <xf numFmtId="0" fontId="9" fillId="0" borderId="34" xfId="21" applyNumberFormat="1" applyFont="1" applyFill="1" applyBorder="1" applyAlignment="1">
      <alignment vertical="center"/>
    </xf>
    <xf numFmtId="172" fontId="9" fillId="0" borderId="35" xfId="21" quotePrefix="1" applyNumberFormat="1" applyFont="1" applyFill="1" applyBorder="1" applyAlignment="1"/>
    <xf numFmtId="0" fontId="9" fillId="0" borderId="10" xfId="21" applyNumberFormat="1" applyFont="1" applyFill="1" applyBorder="1" applyAlignment="1">
      <alignment vertical="center"/>
    </xf>
    <xf numFmtId="172" fontId="9" fillId="0" borderId="12" xfId="21" quotePrefix="1" applyNumberFormat="1" applyFont="1" applyFill="1" applyBorder="1" applyAlignment="1"/>
    <xf numFmtId="172" fontId="16" fillId="0" borderId="27" xfId="21" applyNumberFormat="1" applyFont="1" applyFill="1" applyBorder="1" applyAlignment="1">
      <alignment horizontal="center" vertical="center" wrapText="1"/>
    </xf>
    <xf numFmtId="172" fontId="9" fillId="0" borderId="36" xfId="21" applyNumberFormat="1" applyFont="1" applyBorder="1" applyAlignment="1"/>
    <xf numFmtId="172" fontId="9" fillId="0" borderId="37" xfId="21" applyNumberFormat="1" applyFont="1" applyBorder="1" applyAlignment="1"/>
    <xf numFmtId="172" fontId="9" fillId="0" borderId="38" xfId="21" applyNumberFormat="1" applyFont="1" applyBorder="1" applyAlignment="1"/>
    <xf numFmtId="172" fontId="16" fillId="0" borderId="30" xfId="21" applyNumberFormat="1" applyFont="1" applyFill="1" applyBorder="1" applyAlignment="1">
      <alignment horizontal="center" vertical="center" wrapText="1"/>
    </xf>
    <xf numFmtId="172" fontId="9" fillId="0" borderId="4" xfId="21" applyNumberFormat="1" applyFont="1" applyFill="1" applyBorder="1" applyAlignment="1"/>
    <xf numFmtId="172" fontId="9" fillId="0" borderId="5" xfId="21" applyNumberFormat="1" applyFont="1" applyFill="1" applyBorder="1" applyAlignment="1"/>
    <xf numFmtId="172" fontId="9" fillId="0" borderId="34" xfId="21" applyNumberFormat="1" applyFont="1" applyFill="1" applyBorder="1" applyAlignment="1"/>
    <xf numFmtId="172" fontId="9" fillId="0" borderId="35" xfId="21" applyNumberFormat="1" applyFont="1" applyFill="1" applyBorder="1" applyAlignment="1"/>
    <xf numFmtId="172" fontId="9" fillId="0" borderId="10" xfId="21" applyNumberFormat="1" applyFont="1" applyFill="1" applyBorder="1" applyAlignment="1"/>
    <xf numFmtId="172" fontId="9" fillId="0" borderId="12" xfId="21" applyNumberFormat="1" applyFont="1" applyFill="1" applyBorder="1" applyAlignment="1"/>
    <xf numFmtId="0" fontId="9" fillId="0" borderId="4" xfId="21" applyNumberFormat="1" applyFont="1" applyFill="1" applyBorder="1" applyAlignment="1"/>
    <xf numFmtId="0" fontId="9" fillId="0" borderId="34" xfId="21" applyNumberFormat="1" applyFont="1" applyFill="1" applyBorder="1" applyAlignment="1"/>
    <xf numFmtId="0" fontId="9" fillId="0" borderId="10" xfId="21" applyNumberFormat="1" applyFont="1" applyFill="1" applyBorder="1" applyAlignment="1"/>
    <xf numFmtId="0" fontId="9" fillId="5" borderId="36" xfId="20" applyFont="1" applyFill="1" applyBorder="1" applyAlignment="1">
      <alignment horizontal="center"/>
    </xf>
    <xf numFmtId="0" fontId="9" fillId="5" borderId="36" xfId="20" quotePrefix="1" applyFont="1" applyFill="1" applyBorder="1" applyAlignment="1">
      <alignment horizontal="center"/>
    </xf>
    <xf numFmtId="0" fontId="9" fillId="0" borderId="24" xfId="21" applyNumberFormat="1" applyFont="1" applyFill="1" applyBorder="1" applyAlignment="1"/>
    <xf numFmtId="172" fontId="9" fillId="0" borderId="26" xfId="21" quotePrefix="1" applyNumberFormat="1" applyFont="1" applyFill="1" applyBorder="1" applyAlignment="1"/>
    <xf numFmtId="172" fontId="9" fillId="0" borderId="39" xfId="21" applyNumberFormat="1" applyFont="1" applyBorder="1" applyAlignment="1"/>
    <xf numFmtId="172" fontId="9" fillId="0" borderId="24" xfId="21" applyNumberFormat="1" applyFont="1" applyFill="1" applyBorder="1" applyAlignment="1"/>
    <xf numFmtId="172" fontId="9" fillId="0" borderId="26" xfId="21" applyNumberFormat="1" applyFont="1" applyFill="1" applyBorder="1" applyAlignment="1"/>
    <xf numFmtId="0" fontId="9" fillId="0" borderId="24" xfId="21" applyNumberFormat="1" applyFont="1" applyFill="1" applyBorder="1" applyAlignment="1">
      <alignment horizontal="left"/>
    </xf>
    <xf numFmtId="0" fontId="9" fillId="0" borderId="4" xfId="21" applyNumberFormat="1" applyFont="1" applyFill="1" applyBorder="1" applyAlignment="1">
      <alignment horizontal="left"/>
    </xf>
    <xf numFmtId="0" fontId="9" fillId="0" borderId="34" xfId="21" applyNumberFormat="1" applyFont="1" applyFill="1" applyBorder="1" applyAlignment="1">
      <alignment horizontal="left"/>
    </xf>
    <xf numFmtId="0" fontId="9" fillId="0" borderId="4" xfId="19" applyFont="1" applyBorder="1" applyAlignment="1">
      <alignment horizontal="left"/>
    </xf>
    <xf numFmtId="172" fontId="9" fillId="0" borderId="5" xfId="19" quotePrefix="1" applyNumberFormat="1" applyFont="1" applyFill="1" applyBorder="1"/>
    <xf numFmtId="0" fontId="9" fillId="0" borderId="10" xfId="19" applyFont="1" applyBorder="1" applyAlignment="1">
      <alignment horizontal="left"/>
    </xf>
    <xf numFmtId="172" fontId="9" fillId="0" borderId="12" xfId="19" quotePrefix="1" applyNumberFormat="1" applyFont="1" applyFill="1" applyBorder="1"/>
    <xf numFmtId="172" fontId="9" fillId="0" borderId="36" xfId="11" applyNumberFormat="1" applyFont="1" applyBorder="1" applyAlignment="1"/>
    <xf numFmtId="172" fontId="9" fillId="0" borderId="38" xfId="11" applyNumberFormat="1" applyFont="1" applyBorder="1" applyAlignment="1"/>
    <xf numFmtId="172" fontId="9" fillId="0" borderId="4" xfId="11" applyNumberFormat="1" applyFont="1" applyBorder="1"/>
    <xf numFmtId="172" fontId="9" fillId="0" borderId="5" xfId="11" applyNumberFormat="1" applyFont="1" applyFill="1" applyBorder="1" applyAlignment="1"/>
    <xf numFmtId="0" fontId="9" fillId="11" borderId="43" xfId="14" applyFont="1" applyFill="1" applyBorder="1"/>
    <xf numFmtId="0" fontId="9" fillId="11" borderId="44" xfId="14" applyFont="1" applyFill="1" applyBorder="1"/>
    <xf numFmtId="0" fontId="9" fillId="5" borderId="45" xfId="14" applyFont="1" applyFill="1" applyBorder="1" applyAlignment="1">
      <alignment horizontal="left"/>
    </xf>
    <xf numFmtId="0" fontId="9" fillId="5" borderId="20" xfId="14" applyFont="1" applyFill="1" applyBorder="1" applyAlignment="1">
      <alignment horizontal="left"/>
    </xf>
    <xf numFmtId="177" fontId="9" fillId="7" borderId="41" xfId="14" applyNumberFormat="1" applyFont="1" applyFill="1" applyBorder="1" applyAlignment="1" applyProtection="1">
      <alignment horizontal="left"/>
    </xf>
    <xf numFmtId="177" fontId="9" fillId="7" borderId="5" xfId="14" applyNumberFormat="1" applyFont="1" applyFill="1" applyBorder="1" applyAlignment="1" applyProtection="1">
      <alignment horizontal="left"/>
    </xf>
    <xf numFmtId="177" fontId="13" fillId="7" borderId="5" xfId="14" applyNumberFormat="1" applyFont="1" applyFill="1" applyBorder="1" applyAlignment="1" applyProtection="1">
      <alignment horizontal="left"/>
    </xf>
    <xf numFmtId="177" fontId="13" fillId="7" borderId="12" xfId="14" applyNumberFormat="1" applyFont="1" applyFill="1" applyBorder="1" applyAlignment="1" applyProtection="1">
      <alignment horizontal="left"/>
    </xf>
    <xf numFmtId="0" fontId="16" fillId="5" borderId="24" xfId="14" applyFont="1" applyFill="1" applyBorder="1" applyAlignment="1"/>
    <xf numFmtId="0" fontId="9" fillId="5" borderId="28" xfId="14" applyNumberFormat="1" applyFont="1" applyFill="1" applyBorder="1" applyAlignment="1"/>
    <xf numFmtId="0" fontId="9" fillId="5" borderId="26" xfId="14" applyNumberFormat="1" applyFont="1" applyFill="1" applyBorder="1" applyAlignment="1"/>
    <xf numFmtId="0" fontId="16" fillId="5" borderId="4" xfId="14" applyFont="1" applyFill="1" applyBorder="1" applyAlignment="1"/>
    <xf numFmtId="0" fontId="9" fillId="5" borderId="5" xfId="14" applyNumberFormat="1" applyFont="1" applyFill="1" applyBorder="1" applyAlignment="1"/>
    <xf numFmtId="0" fontId="9" fillId="5" borderId="31" xfId="14" applyNumberFormat="1" applyFont="1" applyFill="1" applyBorder="1" applyAlignment="1"/>
    <xf numFmtId="0" fontId="16" fillId="5" borderId="10" xfId="14" applyFont="1" applyFill="1" applyBorder="1" applyAlignment="1"/>
    <xf numFmtId="0" fontId="9" fillId="5" borderId="33" xfId="14" applyNumberFormat="1" applyFont="1" applyFill="1" applyBorder="1" applyAlignment="1"/>
    <xf numFmtId="177" fontId="9" fillId="7" borderId="12" xfId="14" applyNumberFormat="1" applyFont="1" applyFill="1" applyBorder="1" applyAlignment="1" applyProtection="1">
      <alignment horizontal="left"/>
    </xf>
    <xf numFmtId="0" fontId="18" fillId="5" borderId="28" xfId="14" applyFont="1" applyFill="1" applyBorder="1" applyAlignment="1">
      <alignment horizontal="left"/>
    </xf>
    <xf numFmtId="0" fontId="9" fillId="7" borderId="28" xfId="14" applyNumberFormat="1" applyFont="1" applyFill="1" applyBorder="1" applyAlignment="1" applyProtection="1">
      <alignment horizontal="center"/>
    </xf>
    <xf numFmtId="0" fontId="16" fillId="5" borderId="46" xfId="14" applyFont="1" applyFill="1" applyBorder="1" applyAlignment="1"/>
    <xf numFmtId="0" fontId="9" fillId="5" borderId="27" xfId="14" applyFont="1" applyFill="1" applyBorder="1" applyAlignment="1">
      <alignment horizontal="left"/>
    </xf>
    <xf numFmtId="0" fontId="9" fillId="5" borderId="47" xfId="14" applyFont="1" applyFill="1" applyBorder="1" applyAlignment="1">
      <alignment horizontal="left"/>
    </xf>
    <xf numFmtId="0" fontId="9" fillId="5" borderId="36" xfId="14" applyFont="1" applyFill="1" applyBorder="1" applyAlignment="1">
      <alignment horizontal="center"/>
    </xf>
    <xf numFmtId="0" fontId="9" fillId="5" borderId="38" xfId="14" applyFont="1" applyFill="1" applyBorder="1" applyAlignment="1">
      <alignment horizontal="center"/>
    </xf>
    <xf numFmtId="0" fontId="16" fillId="5" borderId="48" xfId="14" applyFont="1" applyFill="1" applyBorder="1" applyAlignment="1"/>
    <xf numFmtId="0" fontId="16" fillId="5" borderId="40" xfId="14" applyFont="1" applyFill="1" applyBorder="1" applyAlignment="1"/>
    <xf numFmtId="0" fontId="9" fillId="5" borderId="12" xfId="14" applyNumberFormat="1" applyFont="1" applyFill="1" applyBorder="1" applyAlignment="1"/>
    <xf numFmtId="0" fontId="10" fillId="0" borderId="36" xfId="14" applyFont="1" applyBorder="1"/>
    <xf numFmtId="0" fontId="10" fillId="5" borderId="36" xfId="14" applyFont="1" applyFill="1" applyBorder="1" applyAlignment="1">
      <alignment horizontal="center"/>
    </xf>
    <xf numFmtId="0" fontId="10" fillId="5" borderId="38" xfId="14" applyFont="1" applyFill="1" applyBorder="1" applyAlignment="1">
      <alignment horizontal="center"/>
    </xf>
    <xf numFmtId="0" fontId="9" fillId="5" borderId="41" xfId="14" applyNumberFormat="1" applyFont="1" applyFill="1" applyBorder="1" applyAlignment="1"/>
    <xf numFmtId="0" fontId="16" fillId="5" borderId="42" xfId="14" applyFont="1" applyFill="1" applyBorder="1" applyAlignment="1"/>
    <xf numFmtId="0" fontId="10" fillId="5" borderId="36" xfId="14" applyFont="1" applyFill="1" applyBorder="1"/>
    <xf numFmtId="0" fontId="3" fillId="5" borderId="36" xfId="14" applyFont="1" applyFill="1" applyBorder="1"/>
    <xf numFmtId="0" fontId="10" fillId="5" borderId="37" xfId="14" applyFont="1" applyFill="1" applyBorder="1" applyAlignment="1">
      <alignment horizontal="center"/>
    </xf>
    <xf numFmtId="0" fontId="9" fillId="0" borderId="10" xfId="21" applyNumberFormat="1" applyFont="1" applyFill="1" applyBorder="1" applyAlignment="1">
      <alignment horizontal="left"/>
    </xf>
    <xf numFmtId="172" fontId="9" fillId="0" borderId="10" xfId="11" applyNumberFormat="1" applyFont="1" applyBorder="1"/>
    <xf numFmtId="172" fontId="9" fillId="0" borderId="12" xfId="11" applyNumberFormat="1" applyFont="1" applyFill="1" applyBorder="1" applyAlignment="1"/>
    <xf numFmtId="0" fontId="9" fillId="0" borderId="36" xfId="20" applyFont="1" applyFill="1" applyBorder="1" applyAlignment="1">
      <alignment horizontal="center"/>
    </xf>
    <xf numFmtId="0" fontId="9" fillId="5" borderId="5" xfId="18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5" fillId="5" borderId="0" xfId="15" quotePrefix="1" applyFont="1" applyFill="1" applyBorder="1" applyAlignment="1">
      <alignment horizontal="center" vertical="center"/>
    </xf>
    <xf numFmtId="169" fontId="10" fillId="5" borderId="0" xfId="17" applyNumberFormat="1" applyFont="1" applyFill="1" applyBorder="1" applyAlignment="1">
      <alignment horizontal="center" vertical="center"/>
    </xf>
    <xf numFmtId="0" fontId="11" fillId="4" borderId="1" xfId="16" applyFont="1" applyFill="1" applyBorder="1" applyAlignment="1">
      <alignment horizontal="centerContinuous" vertical="center"/>
    </xf>
    <xf numFmtId="0" fontId="11" fillId="4" borderId="49" xfId="16" applyFont="1" applyFill="1" applyBorder="1" applyAlignment="1">
      <alignment horizontal="centerContinuous" vertical="center"/>
    </xf>
    <xf numFmtId="171" fontId="9" fillId="5" borderId="6" xfId="15" applyNumberFormat="1" applyFont="1" applyFill="1" applyBorder="1" applyAlignment="1">
      <alignment horizontal="center"/>
    </xf>
    <xf numFmtId="1" fontId="9" fillId="5" borderId="6" xfId="17" applyNumberFormat="1" applyFont="1" applyFill="1" applyBorder="1" applyAlignment="1">
      <alignment horizontal="center"/>
    </xf>
    <xf numFmtId="1" fontId="9" fillId="5" borderId="7" xfId="17" applyNumberFormat="1" applyFont="1" applyFill="1" applyBorder="1" applyAlignment="1">
      <alignment horizontal="center"/>
    </xf>
    <xf numFmtId="0" fontId="9" fillId="5" borderId="11" xfId="15" applyFont="1" applyFill="1" applyBorder="1" applyAlignment="1">
      <alignment horizontal="center"/>
    </xf>
    <xf numFmtId="0" fontId="14" fillId="5" borderId="11" xfId="15" applyFont="1" applyFill="1" applyBorder="1" applyAlignment="1">
      <alignment horizontal="right" vertical="center"/>
    </xf>
    <xf numFmtId="0" fontId="15" fillId="5" borderId="11" xfId="15" applyFont="1" applyFill="1" applyBorder="1" applyAlignment="1">
      <alignment horizontal="right" vertical="center"/>
    </xf>
    <xf numFmtId="0" fontId="12" fillId="4" borderId="1" xfId="14" applyFont="1" applyFill="1" applyBorder="1" applyAlignment="1">
      <alignment horizontal="centerContinuous"/>
    </xf>
    <xf numFmtId="0" fontId="12" fillId="4" borderId="2" xfId="14" applyFont="1" applyFill="1" applyBorder="1" applyAlignment="1">
      <alignment horizontal="centerContinuous"/>
    </xf>
    <xf numFmtId="0" fontId="12" fillId="4" borderId="3" xfId="14" applyFont="1" applyFill="1" applyBorder="1" applyAlignment="1">
      <alignment horizontal="centerContinuous"/>
    </xf>
    <xf numFmtId="0" fontId="16" fillId="10" borderId="20" xfId="8" applyFont="1" applyFill="1" applyBorder="1" applyAlignment="1">
      <alignment horizontal="center" vertical="center" wrapText="1"/>
    </xf>
    <xf numFmtId="0" fontId="16" fillId="10" borderId="21" xfId="8" applyFont="1" applyFill="1" applyBorder="1" applyAlignment="1">
      <alignment horizontal="center" vertical="center" wrapText="1"/>
    </xf>
  </cellXfs>
  <cellStyles count="22">
    <cellStyle name="Euro" xfId="1"/>
    <cellStyle name="Migliaia (0)_AZIONI" xfId="2"/>
    <cellStyle name="Migliaia_AZIONI" xfId="3"/>
    <cellStyle name="Normal" xfId="0" builtinId="0"/>
    <cellStyle name="Normal 2" xfId="8"/>
    <cellStyle name="Normal 2 2" xfId="14"/>
    <cellStyle name="Normal 3" xfId="9"/>
    <cellStyle name="Normal 3 2" xfId="20"/>
    <cellStyle name="Normal 4" xfId="12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3" xfId="10"/>
    <cellStyle name="Percent 3 2" xfId="21"/>
    <cellStyle name="Percent 4" xfId="13"/>
    <cellStyle name="Percent 5" xfId="17"/>
    <cellStyle name="result" xfId="5"/>
    <cellStyle name="Valuta (0)_AZIONI" xfId="6"/>
    <cellStyle name="Valuta_AZIONI" xfId="7"/>
  </cellStyles>
  <dxfs count="2"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6E</v>
          </cell>
        </row>
        <row r="7">
          <cell r="D7" t="str">
            <v>6E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12E</v>
          </cell>
        </row>
        <row r="7">
          <cell r="D7" t="str">
            <v>12E</v>
          </cell>
        </row>
      </sheetData>
      <sheetData sheetId="5">
        <row r="6">
          <cell r="D6" t="str">
            <v>EURTND_Quote#0001</v>
          </cell>
        </row>
        <row r="7">
          <cell r="D7" t="str">
            <v>EURSND_Quote#0001</v>
          </cell>
        </row>
      </sheetData>
      <sheetData sheetId="6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7">
        <row r="6">
          <cell r="D6" t="str">
            <v>N4</v>
          </cell>
        </row>
        <row r="7">
          <cell r="D7" t="str">
            <v>Q4</v>
          </cell>
        </row>
      </sheetData>
      <sheetData sheetId="8">
        <row r="6">
          <cell r="D6" t="str">
            <v>Future Code</v>
          </cell>
        </row>
        <row r="7">
          <cell r="D7" t="str">
            <v>N4</v>
          </cell>
        </row>
      </sheetData>
      <sheetData sheetId="9">
        <row r="6">
          <cell r="D6" t="str">
            <v>N4</v>
          </cell>
        </row>
        <row r="7">
          <cell r="D7" t="str">
            <v>Q4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  <row r="7">
          <cell r="D7" t="str">
            <v>3W</v>
          </cell>
        </row>
      </sheetData>
      <sheetData sheetId="12">
        <row r="6">
          <cell r="D6" t="str">
            <v>X1S</v>
          </cell>
        </row>
        <row r="7">
          <cell r="D7" t="str">
            <v>X1S</v>
          </cell>
        </row>
      </sheetData>
      <sheetData sheetId="13">
        <row r="6">
          <cell r="D6">
            <v>12</v>
          </cell>
        </row>
        <row r="7">
          <cell r="D7">
            <v>12</v>
          </cell>
        </row>
      </sheetData>
      <sheetData sheetId="14">
        <row r="6">
          <cell r="D6" t="str">
            <v>3E</v>
          </cell>
        </row>
        <row r="7">
          <cell r="D7" t="str">
            <v>3E</v>
          </cell>
        </row>
      </sheetData>
      <sheetData sheetId="15">
        <row r="6">
          <cell r="D6" t="str">
            <v>6E</v>
          </cell>
        </row>
        <row r="7">
          <cell r="D7" t="str">
            <v>6E</v>
          </cell>
        </row>
      </sheetData>
      <sheetData sheetId="16"/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 t="str">
            <v>3E</v>
          </cell>
        </row>
        <row r="7">
          <cell r="D7" t="str">
            <v>3E</v>
          </cell>
        </row>
      </sheetData>
      <sheetData sheetId="19">
        <row r="6">
          <cell r="D6" t="str">
            <v>6E</v>
          </cell>
        </row>
        <row r="7">
          <cell r="D7" t="str">
            <v>6E</v>
          </cell>
        </row>
      </sheetData>
      <sheetData sheetId="20">
        <row r="6">
          <cell r="D6" t="str">
            <v>12E</v>
          </cell>
        </row>
        <row r="7">
          <cell r="D7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Jun 25 2014 10:33:09</v>
      </c>
    </row>
    <row r="2" spans="1:36" ht="19.5" thickBot="1" x14ac:dyDescent="0.3">
      <c r="B2" s="358" t="s">
        <v>0</v>
      </c>
      <c r="C2" s="358"/>
      <c r="D2" s="358"/>
      <c r="E2" s="358"/>
      <c r="F2" s="359"/>
      <c r="H2" s="366" t="s">
        <v>5</v>
      </c>
      <c r="I2" s="367"/>
      <c r="J2" s="367"/>
      <c r="K2" s="368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6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0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7</v>
      </c>
      <c r="D7" s="12" t="s">
        <v>8</v>
      </c>
      <c r="E7" s="3"/>
      <c r="F7" s="4"/>
      <c r="H7" s="9"/>
      <c r="I7" s="13" t="s">
        <v>14</v>
      </c>
      <c r="J7" s="18"/>
      <c r="K7" s="15"/>
    </row>
    <row r="8" spans="1:36" x14ac:dyDescent="0.2">
      <c r="B8" s="2"/>
      <c r="C8" s="5" t="s">
        <v>13</v>
      </c>
      <c r="D8" s="17" t="str">
        <f>Currency&amp;"ON"</f>
        <v>EURON</v>
      </c>
      <c r="E8" s="3"/>
      <c r="F8" s="4"/>
      <c r="H8" s="9"/>
      <c r="I8" s="13" t="s">
        <v>16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269" t="s">
        <v>25</v>
      </c>
      <c r="D10" s="271">
        <v>41809.395150462966</v>
      </c>
      <c r="E10" s="270"/>
      <c r="F10" s="4"/>
      <c r="H10" s="9"/>
      <c r="I10" s="13" t="s">
        <v>20</v>
      </c>
      <c r="J10" s="19" t="s">
        <v>21</v>
      </c>
      <c r="K10" s="15"/>
    </row>
    <row r="11" spans="1:36" x14ac:dyDescent="0.2">
      <c r="B11" s="2"/>
      <c r="C11" s="269" t="s">
        <v>26</v>
      </c>
      <c r="D11" s="356" t="b">
        <v>0</v>
      </c>
      <c r="E11" s="270"/>
      <c r="F11" s="4"/>
      <c r="H11" s="9"/>
      <c r="I11" s="13" t="s">
        <v>23</v>
      </c>
      <c r="J11" s="20">
        <v>1E-4</v>
      </c>
      <c r="K11" s="15"/>
    </row>
    <row r="12" spans="1:36" x14ac:dyDescent="0.2">
      <c r="B12" s="2"/>
      <c r="C12" s="21"/>
      <c r="D12" s="269"/>
      <c r="E12" s="270"/>
      <c r="F12" s="4"/>
      <c r="H12" s="9"/>
      <c r="I12" s="13" t="s">
        <v>24</v>
      </c>
      <c r="J12" s="22">
        <v>-0.01</v>
      </c>
      <c r="K12" s="15"/>
    </row>
    <row r="13" spans="1:36" ht="12" thickBot="1" x14ac:dyDescent="0.25">
      <c r="B13" s="31"/>
      <c r="C13" s="363"/>
      <c r="D13" s="364"/>
      <c r="E13" s="365"/>
      <c r="F13" s="33"/>
      <c r="H13" s="25"/>
      <c r="I13" s="26"/>
      <c r="J13" s="26"/>
      <c r="K13" s="27"/>
    </row>
    <row r="15" spans="1:36" ht="12" thickBot="1" x14ac:dyDescent="0.25">
      <c r="C15" s="34"/>
      <c r="D15" s="34"/>
      <c r="E15" s="34"/>
      <c r="F15" s="34"/>
    </row>
    <row r="16" spans="1:36" ht="19.5" thickBot="1" x14ac:dyDescent="0.25">
      <c r="B16" s="358" t="s">
        <v>132</v>
      </c>
      <c r="C16" s="358"/>
      <c r="D16" s="358"/>
      <c r="E16" s="358"/>
      <c r="F16" s="359"/>
      <c r="H16" s="358" t="s">
        <v>141</v>
      </c>
      <c r="I16" s="358"/>
      <c r="J16" s="358"/>
      <c r="K16" s="359"/>
    </row>
    <row r="17" spans="2:11" x14ac:dyDescent="0.2">
      <c r="B17" s="243"/>
      <c r="C17" s="244"/>
      <c r="D17" s="245"/>
      <c r="E17" s="246"/>
      <c r="F17" s="247"/>
      <c r="H17" s="182"/>
      <c r="I17" s="35"/>
      <c r="J17" s="35"/>
      <c r="K17" s="186"/>
    </row>
    <row r="18" spans="2:11" x14ac:dyDescent="0.2">
      <c r="B18" s="2"/>
      <c r="C18" s="252" t="s">
        <v>11</v>
      </c>
      <c r="D18" s="16">
        <f>_xll.qlCalendarAdvance(Calendar,EvaluationDate,"2D","f")</f>
        <v>41837</v>
      </c>
      <c r="E18" s="3"/>
      <c r="F18" s="4"/>
      <c r="H18" s="182"/>
      <c r="I18" s="5" t="s">
        <v>27</v>
      </c>
      <c r="J18" s="360">
        <v>41835.780162037037</v>
      </c>
      <c r="K18" s="186"/>
    </row>
    <row r="19" spans="2:11" x14ac:dyDescent="0.2">
      <c r="B19" s="2"/>
      <c r="C19" s="252" t="s">
        <v>15</v>
      </c>
      <c r="D19" s="17" t="str">
        <f>_xll.qlDiscountingSwapEngine(,OisCurve,,,,,EvaluationDate)</f>
        <v>obj_003ad#0001</v>
      </c>
      <c r="E19" s="3"/>
      <c r="F19" s="4"/>
      <c r="H19" s="182"/>
      <c r="I19" s="5" t="s">
        <v>28</v>
      </c>
      <c r="J19" s="360">
        <f>_xll.qlSettingsEvaluationDate(Trigger)</f>
        <v>41835</v>
      </c>
      <c r="K19" s="186"/>
    </row>
    <row r="20" spans="2:11" x14ac:dyDescent="0.2">
      <c r="B20" s="2"/>
      <c r="C20" s="252" t="s">
        <v>19</v>
      </c>
      <c r="D20" s="250">
        <f>_xll.qlCalendarAdjust(Calendar,DATE(YEAR(SettlementDate),12,31),"Preceding")</f>
        <v>42004</v>
      </c>
      <c r="E20" s="3"/>
      <c r="F20" s="4"/>
      <c r="H20" s="182"/>
      <c r="I20" s="5" t="s">
        <v>29</v>
      </c>
      <c r="J20" s="361">
        <f>[1]!TriggerCounter</f>
        <v>2</v>
      </c>
      <c r="K20" s="186"/>
    </row>
    <row r="21" spans="2:11" x14ac:dyDescent="0.2">
      <c r="B21" s="2"/>
      <c r="C21" s="252" t="s">
        <v>22</v>
      </c>
      <c r="D21" s="250">
        <f>_xll.qlCalendarAdjust(Calendar,DATE(YEAR(SettlementDate)+1,12,31),"Preceding")</f>
        <v>42369</v>
      </c>
      <c r="E21" s="3"/>
      <c r="F21" s="4"/>
      <c r="H21" s="182"/>
      <c r="I21" s="5" t="s">
        <v>30</v>
      </c>
      <c r="J21" s="362">
        <f>[1]!LastFixingsTrigger</f>
        <v>1</v>
      </c>
      <c r="K21" s="186"/>
    </row>
    <row r="22" spans="2:11" x14ac:dyDescent="0.2">
      <c r="B22" s="2"/>
      <c r="C22" s="357"/>
      <c r="D22" s="357"/>
      <c r="E22" s="3"/>
      <c r="F22" s="4"/>
      <c r="H22" s="182"/>
      <c r="I22" s="5" t="s">
        <v>33</v>
      </c>
      <c r="J22" s="6">
        <f>_xll.ohTrigger(Contribution!W16,Contribution!W22,Contribution!W29,Contribution!W39,Contribution!W55)</f>
        <v>0</v>
      </c>
      <c r="K22" s="186"/>
    </row>
    <row r="23" spans="2:11" ht="12" thickBot="1" x14ac:dyDescent="0.25">
      <c r="B23" s="31"/>
      <c r="C23" s="32"/>
      <c r="D23" s="32"/>
      <c r="E23" s="32"/>
      <c r="F23" s="33"/>
      <c r="H23" s="187"/>
      <c r="I23" s="188"/>
      <c r="J23" s="188"/>
      <c r="K23" s="189"/>
    </row>
    <row r="25" spans="2:11" ht="12" thickBot="1" x14ac:dyDescent="0.25"/>
    <row r="26" spans="2:11" ht="19.5" thickBot="1" x14ac:dyDescent="0.25">
      <c r="B26" s="358" t="s">
        <v>133</v>
      </c>
      <c r="C26" s="358"/>
      <c r="D26" s="358"/>
      <c r="E26" s="358"/>
      <c r="F26" s="359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252" t="s">
        <v>31</v>
      </c>
      <c r="D28" s="6" t="s">
        <v>32</v>
      </c>
      <c r="E28" s="3"/>
      <c r="F28" s="4"/>
    </row>
    <row r="29" spans="2:11" x14ac:dyDescent="0.2">
      <c r="B29" s="2"/>
      <c r="C29" s="252" t="s">
        <v>34</v>
      </c>
      <c r="D29" s="249">
        <v>2</v>
      </c>
      <c r="E29" s="3"/>
      <c r="F29" s="4"/>
    </row>
    <row r="30" spans="2:11" x14ac:dyDescent="0.2">
      <c r="B30" s="2"/>
      <c r="C30" s="252" t="s">
        <v>35</v>
      </c>
      <c r="D30" s="7" t="e">
        <v>#N/A</v>
      </c>
      <c r="E30" s="3"/>
      <c r="F30" s="4"/>
    </row>
    <row r="31" spans="2:11" x14ac:dyDescent="0.2">
      <c r="B31" s="2"/>
      <c r="C31" s="252" t="s">
        <v>36</v>
      </c>
      <c r="D31" s="12" t="s">
        <v>37</v>
      </c>
      <c r="E31" s="3"/>
      <c r="F31" s="4"/>
    </row>
    <row r="32" spans="2:11" x14ac:dyDescent="0.2">
      <c r="B32" s="2"/>
      <c r="C32" s="252" t="s">
        <v>38</v>
      </c>
      <c r="D32" s="17" t="s">
        <v>39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252" t="s">
        <v>134</v>
      </c>
      <c r="D34" s="251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135</v>
      </c>
      <c r="D36" s="253" t="str">
        <f>_xll.qlEuribor(,IborTenor,YieldCurve,,D34)</f>
        <v>obj_003ed#0001</v>
      </c>
      <c r="E36" s="29"/>
      <c r="F36" s="4"/>
    </row>
    <row r="37" spans="2:6" x14ac:dyDescent="0.2">
      <c r="B37" s="2"/>
      <c r="C37" s="5" t="s">
        <v>136</v>
      </c>
      <c r="D37" s="251" t="s">
        <v>138</v>
      </c>
      <c r="E37" s="29"/>
      <c r="F37" s="4"/>
    </row>
    <row r="38" spans="2:6" x14ac:dyDescent="0.2">
      <c r="B38" s="2"/>
      <c r="C38" s="5" t="s">
        <v>137</v>
      </c>
      <c r="D38" s="254" t="str">
        <f>_xll.qlInterpolation(,BasisInterpolation,SynthFra!I2:I6,SynthFra!O2:O6)</f>
        <v>obj_003eb#0001</v>
      </c>
      <c r="E38" s="29"/>
      <c r="F38" s="4"/>
    </row>
    <row r="39" spans="2:6" x14ac:dyDescent="0.2">
      <c r="B39" s="2"/>
      <c r="C39" s="5" t="s">
        <v>17</v>
      </c>
      <c r="D39" s="248" t="s">
        <v>18</v>
      </c>
      <c r="E39" s="3"/>
      <c r="F39" s="4"/>
    </row>
    <row r="40" spans="2:6" x14ac:dyDescent="0.2">
      <c r="B40" s="2"/>
      <c r="C40" s="259" t="s">
        <v>139</v>
      </c>
      <c r="D40" s="260" t="str">
        <f>_xll.qlPiecewiseYieldCurve(,NDays,Calendar,_xll.ohPack(SynthFra!A3:A127),DayCounter,,,Accuracy,TraitsID,InterpolatorID)</f>
        <v>obj_003ec#0001</v>
      </c>
      <c r="E40" s="29"/>
      <c r="F40" s="4"/>
    </row>
    <row r="41" spans="2:6" x14ac:dyDescent="0.2">
      <c r="B41" s="2"/>
      <c r="C41" s="261" t="s">
        <v>140</v>
      </c>
      <c r="D41" s="262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255">
        <f>_xll.qlTermStructureReferenceDate(YieldCurve)</f>
        <v>41837</v>
      </c>
      <c r="D43" s="256" t="e">
        <f>MAX(_xll.ohPack(SynthFra!E2:E127))</f>
        <v>#NUM!</v>
      </c>
      <c r="E43" s="29"/>
      <c r="F43" s="4"/>
    </row>
    <row r="44" spans="2:6" x14ac:dyDescent="0.2">
      <c r="B44" s="2"/>
      <c r="C44" s="257">
        <f>MAX(_xll.ohPack(SynthFra!D3:D127))</f>
        <v>43663</v>
      </c>
      <c r="D44" s="258" t="e">
        <f>MIN(_xll.ohPack(SynthFra!E2:E127))</f>
        <v>#NUM!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1">
    <cfRule type="cellIs" dxfId="1" priority="2" stopIfTrue="1" operator="equal">
      <formula>TRUE</formula>
    </cfRule>
  </conditionalFormatting>
  <conditionalFormatting sqref="E45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51"/>
  <sheetViews>
    <sheetView topLeftCell="D1" workbookViewId="0">
      <selection activeCell="D1" sqref="D1"/>
    </sheetView>
  </sheetViews>
  <sheetFormatPr defaultRowHeight="11.25" outlineLevelCol="1" x14ac:dyDescent="0.2"/>
  <cols>
    <col min="1" max="1" width="11.6640625" style="36" hidden="1" customWidth="1" outlineLevel="1"/>
    <col min="2" max="2" width="17.83203125" style="36" hidden="1" customWidth="1" outlineLevel="1"/>
    <col min="3" max="3" width="7" style="36" hidden="1" customWidth="1" outlineLevel="1"/>
    <col min="4" max="4" width="31.1640625" style="36" bestFit="1" customWidth="1" collapsed="1"/>
    <col min="5" max="6" width="20.1640625" style="36" bestFit="1" customWidth="1"/>
    <col min="7" max="7" width="12.83203125" style="36" bestFit="1" customWidth="1"/>
    <col min="8" max="9" width="10.5" style="36" bestFit="1" customWidth="1"/>
    <col min="10" max="10" width="9.33203125" style="36"/>
    <col min="11" max="12" width="10.5" style="36" bestFit="1" customWidth="1"/>
    <col min="13" max="13" width="2.33203125" style="36" bestFit="1" customWidth="1"/>
    <col min="14" max="17" width="10.5" style="36" customWidth="1"/>
    <col min="18" max="18" width="2.1640625" style="36" customWidth="1"/>
    <col min="19" max="19" width="3.5" style="36" bestFit="1" customWidth="1"/>
    <col min="20" max="20" width="15.33203125" style="36" bestFit="1" customWidth="1"/>
    <col min="21" max="21" width="11.6640625" style="36" bestFit="1" customWidth="1"/>
    <col min="22" max="22" width="5.83203125" style="36" bestFit="1" customWidth="1"/>
    <col min="23" max="23" width="3.5" style="36" bestFit="1" customWidth="1"/>
    <col min="24" max="25" width="10.5" style="36" bestFit="1" customWidth="1"/>
    <col min="26" max="26" width="5.83203125" style="36" bestFit="1" customWidth="1"/>
    <col min="27" max="27" width="2.33203125" style="36" bestFit="1" customWidth="1"/>
    <col min="28" max="28" width="10.5" style="36" bestFit="1" customWidth="1"/>
    <col min="29" max="29" width="2.33203125" style="36" bestFit="1" customWidth="1"/>
    <col min="30" max="30" width="10.5" style="36" bestFit="1" customWidth="1"/>
    <col min="31" max="31" width="2.33203125" style="36" customWidth="1"/>
    <col min="32" max="34" width="10.5" style="36" bestFit="1" customWidth="1"/>
    <col min="35" max="35" width="1.83203125" style="36" customWidth="1"/>
    <col min="36" max="37" width="10.5" style="36" bestFit="1" customWidth="1"/>
    <col min="38" max="38" width="3.5" style="36" bestFit="1" customWidth="1"/>
    <col min="39" max="40" width="10.5" style="36" bestFit="1" customWidth="1"/>
    <col min="41" max="41" width="3.33203125" style="36" customWidth="1"/>
    <col min="42" max="43" width="10.5" style="36" bestFit="1" customWidth="1"/>
    <col min="44" max="16384" width="9.33203125" style="36"/>
  </cols>
  <sheetData>
    <row r="1" spans="1:36" x14ac:dyDescent="0.2">
      <c r="B1" s="37" t="s">
        <v>40</v>
      </c>
      <c r="C1" s="38"/>
      <c r="D1" s="37" t="s">
        <v>41</v>
      </c>
      <c r="E1" s="38" t="s">
        <v>42</v>
      </c>
      <c r="F1" s="39" t="s">
        <v>43</v>
      </c>
      <c r="G1" s="38" t="s">
        <v>44</v>
      </c>
      <c r="H1" s="38" t="s">
        <v>45</v>
      </c>
      <c r="I1" s="40" t="s">
        <v>46</v>
      </c>
      <c r="K1" s="41" t="s">
        <v>47</v>
      </c>
      <c r="L1" s="41" t="s">
        <v>48</v>
      </c>
      <c r="M1" s="41"/>
      <c r="N1" s="42" t="s">
        <v>49</v>
      </c>
      <c r="O1" s="42" t="s">
        <v>50</v>
      </c>
      <c r="P1" s="42" t="s">
        <v>51</v>
      </c>
    </row>
    <row r="2" spans="1:36" x14ac:dyDescent="0.2">
      <c r="A2" s="36">
        <v>1</v>
      </c>
      <c r="B2" s="43" t="str">
        <f>_xll.qlMakeDatedOIS(,E2,F2,OvernightIndex,0,,,,Trigger)</f>
        <v>obj_003de#0001</v>
      </c>
      <c r="C2" s="44" t="b">
        <f>_xll.qlInstrumentSetPricingEngine(B2,OisEngine)</f>
        <v>1</v>
      </c>
      <c r="D2" s="45" t="str">
        <f>Currency&amp;A3&amp;"D_Quote"</f>
        <v>EUR1MD_Quote</v>
      </c>
      <c r="E2" s="46">
        <f>SettlementDate</f>
        <v>41837</v>
      </c>
      <c r="F2" s="47">
        <f>_xll.qlCalendarAdvance(Calendar,E2,A3,"mf")</f>
        <v>41869</v>
      </c>
      <c r="G2" s="48">
        <f>_xll.qlQuoteValue($D2,AllTriggers)</f>
        <v>8.9999999999999998E-4</v>
      </c>
      <c r="H2" s="49">
        <f>_xll.qlOvernightIndexedSwapFairRate(B2,_xll.ohTrigger(C2,InterestRatesTrigger))</f>
        <v>3.0000000003194138E-4</v>
      </c>
      <c r="I2" s="50">
        <f>G2-H2</f>
        <v>5.9999999996805859E-4</v>
      </c>
      <c r="J2" s="51" t="b">
        <v>0</v>
      </c>
      <c r="K2" s="51"/>
      <c r="L2" s="51"/>
      <c r="M2" s="52"/>
      <c r="N2" s="53">
        <f t="shared" ref="N2:O4" si="0">E2-SettlementDate</f>
        <v>0</v>
      </c>
      <c r="O2" s="53">
        <f t="shared" si="0"/>
        <v>32</v>
      </c>
      <c r="P2" s="52">
        <f>(O2^2-N2^2)/(O2-N2)</f>
        <v>32</v>
      </c>
      <c r="Q2" s="51"/>
      <c r="R2" s="51"/>
      <c r="S2" s="51"/>
      <c r="T2" s="54">
        <f>(O2^3-N2^3)/3/(O2-N2)</f>
        <v>341.33333333333331</v>
      </c>
      <c r="U2" s="54">
        <f>(O2+N2)/2</f>
        <v>16</v>
      </c>
      <c r="V2" s="54">
        <v>1</v>
      </c>
    </row>
    <row r="3" spans="1:36" x14ac:dyDescent="0.2">
      <c r="A3" s="36" t="str">
        <f>_xll.qlPeriodEquivalent(A2&amp;"M")</f>
        <v>1M</v>
      </c>
      <c r="B3" s="55" t="str">
        <f>_xll.qlMakeDatedOIS(,E3,F3,OvernightIndex,0,,,,Trigger)</f>
        <v>obj_00422#0001</v>
      </c>
      <c r="C3" s="56" t="b">
        <f>_xll.qlInstrumentSetPricingEngine(B3,OisEngine)</f>
        <v>1</v>
      </c>
      <c r="D3" s="57" t="str">
        <f>A4&amp;"LastFixing_Quote"</f>
        <v>Euribor1MLastFixing_Quote</v>
      </c>
      <c r="E3" s="58">
        <f>_xll.qlCalendarAdvance(Calendar,_xll.qlLastFixingQuoteReferenceDate(D3),_xll.qlInterestRateIndexFixingDays(A4)&amp;"D","f",,LastFixingsTrigger)</f>
        <v>41810</v>
      </c>
      <c r="F3" s="59">
        <f>_xll.qlInterestRateIndexMaturity(A4,E3)</f>
        <v>41841</v>
      </c>
      <c r="G3" s="60">
        <f>_xll.qlQuoteValue(D3,AllTriggers)</f>
        <v>1.1299999999999999E-3</v>
      </c>
      <c r="H3" s="61" t="e">
        <f>_xll.qlOvernightIndexedSwapFairRate(B3,_xll.ohTrigger(C3,InterestRatesTrigger))</f>
        <v>#NUM!</v>
      </c>
      <c r="I3" s="62" t="e">
        <f t="shared" ref="I3:I27" si="1">G3-H3</f>
        <v>#NUM!</v>
      </c>
      <c r="J3" s="51" t="b">
        <f>NOT(ISERROR(I3))</f>
        <v>0</v>
      </c>
      <c r="K3" s="63">
        <f>K4</f>
        <v>1.13670811505386E-6</v>
      </c>
      <c r="L3" s="61">
        <f>_xll.ohFilter($I$2:$I$3,$J$2:$J$3)-K3*_xll.ohFilter($P$2:$P$3,$J$2:$J$3)</f>
        <v>0</v>
      </c>
      <c r="M3" s="52"/>
      <c r="N3" s="53">
        <f t="shared" si="0"/>
        <v>-27</v>
      </c>
      <c r="O3" s="53">
        <f t="shared" si="0"/>
        <v>4</v>
      </c>
      <c r="P3" s="52">
        <f>(O3^2-N3^2)/(O3-N3)</f>
        <v>-23</v>
      </c>
      <c r="Q3" s="51"/>
      <c r="R3" s="51"/>
      <c r="S3" s="51"/>
      <c r="T3" s="54">
        <f>(O3^3-N3^3)/3/(O3-N3)</f>
        <v>212.33333333333331</v>
      </c>
      <c r="U3" s="54">
        <f>(O3+N3)/2</f>
        <v>-11.5</v>
      </c>
      <c r="V3" s="54">
        <v>1</v>
      </c>
    </row>
    <row r="4" spans="1:36" x14ac:dyDescent="0.2">
      <c r="A4" s="36" t="str">
        <f>PROPER(Currency)&amp;IborType&amp;SynthDepo!A3</f>
        <v>Euribor1M</v>
      </c>
      <c r="B4" s="55" t="str">
        <f>_xll.qlMakeDatedOIS(,E4,F4,OvernightIndex,0,,,,Trigger)</f>
        <v>obj_00423#0001</v>
      </c>
      <c r="C4" s="56" t="b">
        <f>_xll.qlInstrumentSetPricingEngine(B4,OisEngine)</f>
        <v>1</v>
      </c>
      <c r="D4" s="64" t="s">
        <v>52</v>
      </c>
      <c r="E4" s="65">
        <f>F3</f>
        <v>41841</v>
      </c>
      <c r="F4" s="66">
        <f>F5</f>
        <v>41899</v>
      </c>
      <c r="G4" s="67">
        <f>((1+G5*(F5-E5)/360)/(1+G3*(F3-E3)/360)-1)/(F4-E4)*360</f>
        <v>4.7564337242913607E-4</v>
      </c>
      <c r="H4" s="68">
        <f>_xll.qlOvernightIndexedSwapFairRate(B4,_xll.ohTrigger(C4,InterestRatesTrigger))</f>
        <v>4.0062063683558131E-4</v>
      </c>
      <c r="I4" s="69">
        <f>G4-H4</f>
        <v>7.5022735593554765E-5</v>
      </c>
      <c r="J4" s="36" t="b">
        <f>NOT(ISERROR(I4))</f>
        <v>1</v>
      </c>
      <c r="K4" s="68">
        <f>(I4-_xll.ohFilter($I$2:$I$3,$J$2:$J$3))/(P4-_xll.ohFilter($P$2:$P$3,$J$2:$J$3))</f>
        <v>1.13670811505386E-6</v>
      </c>
      <c r="L4" s="68">
        <f>_xll.ohFilter($I$2:$I$3,$J$2:$J$3)-K4*_xll.ohFilter($P$2:$P$3,$J$2:$J$3)</f>
        <v>0</v>
      </c>
      <c r="M4" s="70"/>
      <c r="N4" s="71">
        <f t="shared" si="0"/>
        <v>4</v>
      </c>
      <c r="O4" s="71">
        <f t="shared" si="0"/>
        <v>62</v>
      </c>
      <c r="P4" s="70">
        <f>(O4^2-N4^2)/(O4-N4)</f>
        <v>66</v>
      </c>
      <c r="T4" s="72">
        <f>(O4^3-N4^3)/3/(O4-N4)</f>
        <v>1369.3333333333333</v>
      </c>
      <c r="U4" s="72">
        <f>(O4+N4)/2</f>
        <v>33</v>
      </c>
      <c r="V4" s="72">
        <v>1</v>
      </c>
    </row>
    <row r="5" spans="1:36" x14ac:dyDescent="0.2">
      <c r="B5" s="55"/>
      <c r="C5" s="56"/>
      <c r="D5" s="73" t="str">
        <f>Currency&amp;"2X1S"&amp;QuoteSuffix</f>
        <v>EUR2X1S_Quote</v>
      </c>
      <c r="E5" s="65">
        <f>SettlementDate</f>
        <v>41837</v>
      </c>
      <c r="F5" s="66">
        <f>_xll.qlCalendarAdvance(Calendar,E5,"2M","mf")</f>
        <v>41899</v>
      </c>
      <c r="G5" s="74">
        <f>_xll.qlQuoteValue($D5,AllTriggers)</f>
        <v>1.01E-3</v>
      </c>
      <c r="H5" s="68"/>
      <c r="I5" s="69"/>
      <c r="J5" s="36" t="b">
        <v>0</v>
      </c>
      <c r="K5" s="75"/>
      <c r="L5" s="75"/>
      <c r="M5" s="76"/>
      <c r="N5" s="77"/>
      <c r="O5" s="71"/>
      <c r="P5" s="70"/>
      <c r="T5" s="72"/>
      <c r="U5" s="72"/>
      <c r="V5" s="72"/>
    </row>
    <row r="6" spans="1:36" x14ac:dyDescent="0.2">
      <c r="A6" s="36">
        <v>3</v>
      </c>
      <c r="B6" s="43" t="str">
        <f>_xll.qlMakeDatedOIS(,E6,F6,OvernightIndex,0,,,,EvaluationDate)</f>
        <v>obj_003e4#0001</v>
      </c>
      <c r="C6" s="44" t="b">
        <f>_xll.qlInstrumentSetPricingEngine(B6,OisEngine)</f>
        <v>1</v>
      </c>
      <c r="D6" s="45" t="str">
        <f>Currency&amp;A7&amp;"D_Quote"</f>
        <v>EUR3MD_Quote</v>
      </c>
      <c r="E6" s="46">
        <f>SettlementDate</f>
        <v>41837</v>
      </c>
      <c r="F6" s="47">
        <f>_xll.qlCalendarAdvance(Calendar,E6,A7,"mf")</f>
        <v>41929</v>
      </c>
      <c r="G6" s="48">
        <f>_xll.qlQuoteValue($D6,AllTriggers)</f>
        <v>2.2000000000000001E-3</v>
      </c>
      <c r="H6" s="49">
        <f>_xll.qlOvernightIndexedSwapFairRate(B6,_xll.ohTrigger(C6,InterestRatesTrigger))</f>
        <v>4.5000000000034146E-4</v>
      </c>
      <c r="I6" s="50">
        <f t="shared" si="1"/>
        <v>1.7499999999996587E-3</v>
      </c>
      <c r="J6" s="51" t="b">
        <v>0</v>
      </c>
      <c r="K6" s="52"/>
      <c r="L6" s="52"/>
      <c r="M6" s="52"/>
      <c r="N6" s="53">
        <f t="shared" ref="N6:N9" si="2">E6-SettlementDate</f>
        <v>0</v>
      </c>
      <c r="O6" s="53">
        <f t="shared" ref="O6:O9" si="3">F6-SettlementDate</f>
        <v>92</v>
      </c>
      <c r="P6" s="52">
        <f>(O6^2-N6^2)/(O6-N6)</f>
        <v>92</v>
      </c>
      <c r="Q6" s="51"/>
      <c r="R6" s="51"/>
      <c r="S6" s="51"/>
      <c r="T6" s="54">
        <f t="shared" ref="T6:T27" si="4">(O6^3-N6^3)/3/(O6-N6)</f>
        <v>2821.333333333333</v>
      </c>
      <c r="U6" s="54">
        <f t="shared" ref="U6:U27" si="5">(O6+N6)/2</f>
        <v>46</v>
      </c>
      <c r="V6" s="54">
        <v>1</v>
      </c>
    </row>
    <row r="7" spans="1:36" x14ac:dyDescent="0.2">
      <c r="A7" s="36" t="str">
        <f>_xll.qlPeriodEquivalent(A6&amp;"M")</f>
        <v>3M</v>
      </c>
      <c r="B7" s="55" t="str">
        <f>_xll.qlMakeDatedOIS(,E7,F7,OvernightIndex,0,,,,EvaluationDate)</f>
        <v>obj_0041f#0001</v>
      </c>
      <c r="C7" s="56" t="b">
        <f>_xll.qlInstrumentSetPricingEngine(B7,OisEngine)</f>
        <v>1</v>
      </c>
      <c r="D7" s="57" t="str">
        <f>A8&amp;"LastFixing_Quote"</f>
        <v>Euribor3MLastFixing_Quote</v>
      </c>
      <c r="E7" s="58">
        <f>_xll.qlCalendarAdvance(Calendar,_xll.qlLastFixingQuoteReferenceDate(D7),_xll.qlInterestRateIndexFixingDays(A8)&amp;"D","f",,LastFixingsTrigger)</f>
        <v>41810</v>
      </c>
      <c r="F7" s="59">
        <f>_xll.qlInterestRateIndexMaturity(A8,E7)</f>
        <v>41904</v>
      </c>
      <c r="G7" s="60">
        <f>_xll.qlQuoteValue(D7,AllTriggers)</f>
        <v>2.16E-3</v>
      </c>
      <c r="H7" s="61" t="e">
        <f>_xll.qlOvernightIndexedSwapFairRate(B7,_xll.ohTrigger(C7,InterestRatesTrigger))</f>
        <v>#NUM!</v>
      </c>
      <c r="I7" s="62" t="e">
        <f t="shared" si="1"/>
        <v>#NUM!</v>
      </c>
      <c r="J7" s="51" t="b">
        <f>AND(NOT(ISERROR(I7)),E10&lt;&gt;SettlementDate)</f>
        <v>0</v>
      </c>
      <c r="K7" s="78"/>
      <c r="L7" s="52"/>
      <c r="M7" s="52"/>
      <c r="N7" s="53">
        <f t="shared" si="2"/>
        <v>-27</v>
      </c>
      <c r="O7" s="53">
        <f t="shared" si="3"/>
        <v>67</v>
      </c>
      <c r="P7" s="52">
        <f t="shared" ref="P7:P27" si="6">(O7^2-N7^2)/(O7-N7)</f>
        <v>40</v>
      </c>
      <c r="Q7" s="51"/>
      <c r="R7" s="51"/>
      <c r="S7" s="51"/>
      <c r="T7" s="54">
        <f t="shared" si="4"/>
        <v>1136.3333333333333</v>
      </c>
      <c r="U7" s="54">
        <f t="shared" si="5"/>
        <v>20</v>
      </c>
      <c r="V7" s="54">
        <v>1</v>
      </c>
    </row>
    <row r="8" spans="1:36" x14ac:dyDescent="0.2">
      <c r="A8" s="36" t="str">
        <f>PROPER(Currency)&amp;IborType&amp;SynthDepo!A7</f>
        <v>Euribor3M</v>
      </c>
      <c r="B8" s="79"/>
      <c r="C8" s="56"/>
      <c r="D8" s="57"/>
      <c r="E8" s="58"/>
      <c r="F8" s="59"/>
      <c r="G8" s="80"/>
      <c r="H8" s="61"/>
      <c r="I8" s="62" t="e">
        <f>NA()</f>
        <v>#N/A</v>
      </c>
      <c r="J8" s="51" t="b">
        <v>0</v>
      </c>
      <c r="K8" s="51"/>
      <c r="L8" s="51"/>
      <c r="M8" s="52"/>
      <c r="N8" s="53">
        <v>0</v>
      </c>
      <c r="O8" s="53">
        <f t="shared" si="3"/>
        <v>-41837</v>
      </c>
      <c r="P8" s="52">
        <f t="shared" si="6"/>
        <v>-41837</v>
      </c>
      <c r="Q8" s="51"/>
      <c r="R8" s="51"/>
      <c r="S8" s="51"/>
      <c r="T8" s="54">
        <f t="shared" si="4"/>
        <v>583444856.33333337</v>
      </c>
      <c r="U8" s="54">
        <f t="shared" si="5"/>
        <v>-20918.5</v>
      </c>
      <c r="V8" s="54">
        <v>1</v>
      </c>
      <c r="AB8" s="36" t="s">
        <v>53</v>
      </c>
      <c r="AF8" s="36" t="s">
        <v>54</v>
      </c>
      <c r="AJ8" s="36" t="s">
        <v>55</v>
      </c>
    </row>
    <row r="9" spans="1:36" x14ac:dyDescent="0.2">
      <c r="B9" s="79"/>
      <c r="C9" s="56"/>
      <c r="D9" s="57"/>
      <c r="E9" s="58"/>
      <c r="F9" s="59"/>
      <c r="G9" s="80"/>
      <c r="H9" s="61"/>
      <c r="I9" s="62" t="e">
        <f>NA()</f>
        <v>#N/A</v>
      </c>
      <c r="J9" s="51" t="b">
        <v>0</v>
      </c>
      <c r="K9" s="61">
        <f>AVERAGE(_xll.ohFilter(K10:K12,J10:J12))</f>
        <v>7.8536793333178256E-6</v>
      </c>
      <c r="L9" s="61">
        <f>_xll.ohFilter($I$6:$I$9,$J$6:$J$9)-K9*_xll.ohFilter($P$6:$P$9,$J$6:$J$9)</f>
        <v>0</v>
      </c>
      <c r="M9" s="52"/>
      <c r="N9" s="53">
        <f t="shared" si="2"/>
        <v>-41837</v>
      </c>
      <c r="O9" s="53">
        <f t="shared" si="3"/>
        <v>-41837</v>
      </c>
      <c r="P9" s="52" t="e">
        <f t="shared" si="6"/>
        <v>#DIV/0!</v>
      </c>
      <c r="Q9" s="51"/>
      <c r="R9" s="51"/>
      <c r="S9" s="51"/>
      <c r="T9" s="54" t="e">
        <f t="shared" si="4"/>
        <v>#DIV/0!</v>
      </c>
      <c r="U9" s="54">
        <f t="shared" si="5"/>
        <v>-41837</v>
      </c>
      <c r="V9" s="54">
        <v>1</v>
      </c>
      <c r="X9" s="81">
        <f t="array" ref="X9:X11">_xll.ohFilter(T6:T14,$J6:$J14)</f>
        <v>7105.333333333333</v>
      </c>
      <c r="Y9" s="84">
        <f t="array" ref="Y9:Y11">_xll.ohFilter(U6:U14,$J6:$J14)</f>
        <v>80</v>
      </c>
      <c r="Z9" s="87">
        <f t="array" ref="Z9:Z11">_xll.ohFilter(V6:V14,$J6:$J14)</f>
        <v>1</v>
      </c>
      <c r="AB9" s="90">
        <f t="array" ref="AB9:AB11">MMULT(AF9:AH11,AD9:AD11)</f>
        <v>1.0691180323185918E-6</v>
      </c>
      <c r="AD9" s="90">
        <f t="array" ref="AD9:AD11">_xll.ohFilter(I6:I14,$J6:$J14)</f>
        <v>1.3339891931955141E-3</v>
      </c>
      <c r="AF9" s="93">
        <f t="array" ref="AF9:AH11">MINVERSE(X9:Z11)</f>
        <v>-1.8530150753768855E-2</v>
      </c>
      <c r="AG9" s="94">
        <v>1.2562814070351757E-3</v>
      </c>
      <c r="AH9" s="95">
        <v>1.7273869346733684E-2</v>
      </c>
      <c r="AJ9" s="102">
        <f t="array" ref="AJ9:AJ11">MMULT(X9:Z11,AB9:AB11)-AD9:AD11</f>
        <v>-5.7245874707234634E-17</v>
      </c>
    </row>
    <row r="10" spans="1:36" x14ac:dyDescent="0.2">
      <c r="A10" s="36" t="str">
        <f>_xll.qlIMMNextCode(SettlementDate-1,FALSE)</f>
        <v>Q4</v>
      </c>
      <c r="B10" s="79" t="str">
        <f>_xll.qlMakeDatedOIS(,E10,F10,OvernightIndex,0,,,,EvaluationDate)</f>
        <v>obj_003e9#0001</v>
      </c>
      <c r="C10" s="56" t="b">
        <f>_xll.qlInstrumentSetPricingEngine(B10,OisEngine)</f>
        <v>1</v>
      </c>
      <c r="D10" s="64" t="str">
        <f>Currency&amp;"FUT3M"&amp;A10&amp;QuoteSuffix</f>
        <v>EURFUT3MQ4_Quote</v>
      </c>
      <c r="E10" s="65">
        <f>_xll.qlIMMdate(A10)</f>
        <v>41871</v>
      </c>
      <c r="F10" s="66">
        <f>_xll.qlCalendarAdvance(Calendar,E10,"3M","mf")</f>
        <v>41963</v>
      </c>
      <c r="G10" s="74">
        <f>1-_xll.qlQuoteValue($D10,AllTriggers)/100</f>
        <v>1.8500000000000183E-3</v>
      </c>
      <c r="H10" s="68">
        <f>_xll.qlOvernightIndexedSwapFairRate(B10,_xll.ohTrigger(C10,InterestRatesTrigger))</f>
        <v>5.1601080680450408E-4</v>
      </c>
      <c r="I10" s="69">
        <f t="shared" si="1"/>
        <v>1.3339891931955141E-3</v>
      </c>
      <c r="J10" s="36" t="b">
        <f>AND(NOT(ISERROR(I10)))</f>
        <v>1</v>
      </c>
      <c r="K10" s="68">
        <f>(I10-_xll.ohFilter($I$6:$I$9,$J$6:$J$9))/(P10-_xll.ohFilter($P$6:$P$9,$J$6:$J$9))</f>
        <v>8.3374324574719628E-6</v>
      </c>
      <c r="L10" s="68">
        <f>_xll.ohFilter($I$6:$I$9,$J$6:$J$9)-K10*_xll.ohFilter($P$6:$P$9,$J$6:$J$9)</f>
        <v>0</v>
      </c>
      <c r="M10" s="70"/>
      <c r="N10" s="71">
        <f t="shared" ref="N10:N18" si="7">E10-SettlementDate</f>
        <v>34</v>
      </c>
      <c r="O10" s="71">
        <f t="shared" ref="O10:O18" si="8">F10-SettlementDate</f>
        <v>126</v>
      </c>
      <c r="P10" s="70">
        <f t="shared" si="6"/>
        <v>160</v>
      </c>
      <c r="T10" s="72">
        <f t="shared" si="4"/>
        <v>7105.333333333333</v>
      </c>
      <c r="U10" s="72">
        <f t="shared" si="5"/>
        <v>80</v>
      </c>
      <c r="V10" s="72">
        <v>1</v>
      </c>
      <c r="X10" s="82">
        <v>12246.333333333332</v>
      </c>
      <c r="Y10" s="85">
        <v>107.5</v>
      </c>
      <c r="Z10" s="88">
        <v>1</v>
      </c>
      <c r="AA10" s="41" t="s">
        <v>56</v>
      </c>
      <c r="AB10" s="91">
        <v>-1.992494215316996E-4</v>
      </c>
      <c r="AC10" s="41" t="s">
        <v>57</v>
      </c>
      <c r="AD10" s="91">
        <v>1.3509659052236458E-3</v>
      </c>
      <c r="AF10" s="96">
        <v>3.4277638190954796</v>
      </c>
      <c r="AG10" s="97">
        <v>-0.19849246231155768</v>
      </c>
      <c r="AH10" s="98">
        <v>-3.2292713567839222</v>
      </c>
      <c r="AJ10" s="103">
        <v>-4.9222778630841901E-17</v>
      </c>
    </row>
    <row r="11" spans="1:36" x14ac:dyDescent="0.2">
      <c r="A11" s="36" t="str">
        <f>_xll.qlIMMNextCode(E10,IF(_xll.qlIMMIsIMMdate(E10,TRUE),FALSE,TRUE))</f>
        <v>U4</v>
      </c>
      <c r="B11" s="79" t="str">
        <f>_xll.qlMakeDatedOIS(,E11,F11,OvernightIndex,0,,,,EvaluationDate)</f>
        <v>obj_003ea#0001</v>
      </c>
      <c r="C11" s="56" t="b">
        <f>_xll.qlInstrumentSetPricingEngine(B11,OisEngine)</f>
        <v>1</v>
      </c>
      <c r="D11" s="64" t="str">
        <f>Currency&amp;"FUT3M"&amp;A11&amp;QuoteSuffix</f>
        <v>EURFUT3MU4_Quote</v>
      </c>
      <c r="E11" s="65">
        <f>_xll.qlIMMdate(A11)</f>
        <v>41899</v>
      </c>
      <c r="F11" s="66">
        <f>_xll.qlCalendarAdvance(Calendar,E11,"3M","mf")</f>
        <v>41990</v>
      </c>
      <c r="G11" s="74">
        <f>1-_xll.qlQuoteValue($D11,AllTriggers)/100</f>
        <v>1.8250000000000766E-3</v>
      </c>
      <c r="H11" s="68">
        <f>_xll.qlOvernightIndexedSwapFairRate(B11,_xll.ohTrigger(C11,InterestRatesTrigger))</f>
        <v>4.7403409477643081E-4</v>
      </c>
      <c r="I11" s="69">
        <f t="shared" si="1"/>
        <v>1.3509659052236458E-3</v>
      </c>
      <c r="J11" s="36" t="b">
        <f>NOT(ISERROR(I11))</f>
        <v>1</v>
      </c>
      <c r="K11" s="68">
        <f>(I11-_xll.ohFilter($I$6:$I$9,$J$6:$J$9))/(P11-_xll.ohFilter($P$6:$P$9,$J$6:$J$9))</f>
        <v>6.2835623498774219E-6</v>
      </c>
      <c r="L11" s="68">
        <f>_xll.ohFilter($I$6:$I$9,$J$6:$J$9)-K11*_xll.ohFilter($P$6:$P$9,$J$6:$J$9)</f>
        <v>0</v>
      </c>
      <c r="M11" s="70"/>
      <c r="N11" s="71">
        <f t="shared" si="7"/>
        <v>62</v>
      </c>
      <c r="O11" s="71">
        <f t="shared" si="8"/>
        <v>153</v>
      </c>
      <c r="P11" s="70">
        <f t="shared" si="6"/>
        <v>215</v>
      </c>
      <c r="T11" s="72">
        <f t="shared" si="4"/>
        <v>12246.333333333332</v>
      </c>
      <c r="U11" s="72">
        <f t="shared" si="5"/>
        <v>107.5</v>
      </c>
      <c r="V11" s="72">
        <v>1</v>
      </c>
      <c r="X11" s="83">
        <v>6789.333333333333</v>
      </c>
      <c r="Y11" s="86">
        <v>78</v>
      </c>
      <c r="Z11" s="89">
        <v>1</v>
      </c>
      <c r="AB11" s="92">
        <v>9.6775029234303922E-3</v>
      </c>
      <c r="AD11" s="92">
        <v>1.3946467380462385E-3</v>
      </c>
      <c r="AF11" s="99">
        <v>-141.55820770519273</v>
      </c>
      <c r="AG11" s="100">
        <v>6.9530988274706811</v>
      </c>
      <c r="AH11" s="101">
        <v>135.60510887772205</v>
      </c>
      <c r="AJ11" s="104">
        <v>-5.5944832100252029E-17</v>
      </c>
    </row>
    <row r="12" spans="1:36" x14ac:dyDescent="0.2">
      <c r="A12" s="36">
        <v>1</v>
      </c>
      <c r="B12" s="79" t="str">
        <f>_xll.qlMakeDatedOIS(,E12,F12,OvernightIndex,0,,,,EvaluationDate)</f>
        <v>obj_003df#0001</v>
      </c>
      <c r="C12" s="56" t="b">
        <f>_xll.qlInstrumentSetPricingEngine(B12,OisEngine)</f>
        <v>1</v>
      </c>
      <c r="D12" s="64" t="str">
        <f>Currency&amp;A12&amp;"x"&amp;A12+3&amp;"F"&amp;QuoteSuffix</f>
        <v>EUR1x4F_Quote</v>
      </c>
      <c r="E12" s="65">
        <f>_xll.qlCalendarAdvance(Calendar,SettlementDate,A12&amp;"M","mf")</f>
        <v>41869</v>
      </c>
      <c r="F12" s="66">
        <f>_xll.qlInterestRateIndexMaturity($A$8,E12)</f>
        <v>41961</v>
      </c>
      <c r="G12" s="74">
        <f>_xll.qlQuoteValue(D12,AllTriggers)</f>
        <v>1.91E-3</v>
      </c>
      <c r="H12" s="68">
        <f>_xll.qlOvernightIndexedSwapFairRate(B12,_xll.ohTrigger(C12,InterestRatesTrigger))</f>
        <v>5.153532619537616E-4</v>
      </c>
      <c r="I12" s="69">
        <f>G12-H12</f>
        <v>1.3946467380462385E-3</v>
      </c>
      <c r="J12" s="36" t="b">
        <f>AND(NOT(ISERROR(I12)),E12&lt;&gt;$E$11,E12&lt;&gt;$E$10)</f>
        <v>1</v>
      </c>
      <c r="K12" s="68">
        <f>(I12-_xll.ohFilter($I$6:$I$9,$J$6:$J$9))/(P12-_xll.ohFilter($P$6:$P$9,$J$6:$J$9))</f>
        <v>8.9400431926040928E-6</v>
      </c>
      <c r="L12" s="68">
        <f>_xll.ohFilter($I$6:$I$9,$J$6:$J$9)-K12*_xll.ohFilter($P$6:$P$9,$J$6:$J$9)</f>
        <v>0</v>
      </c>
      <c r="M12" s="70"/>
      <c r="N12" s="71">
        <f t="shared" si="7"/>
        <v>32</v>
      </c>
      <c r="O12" s="71">
        <f t="shared" si="8"/>
        <v>124</v>
      </c>
      <c r="P12" s="70">
        <f t="shared" si="6"/>
        <v>156</v>
      </c>
      <c r="T12" s="72">
        <f t="shared" si="4"/>
        <v>6789.333333333333</v>
      </c>
      <c r="U12" s="72">
        <f t="shared" si="5"/>
        <v>78</v>
      </c>
      <c r="V12" s="72">
        <v>1</v>
      </c>
      <c r="X12" s="72"/>
      <c r="Y12" s="72"/>
      <c r="Z12" s="72"/>
    </row>
    <row r="13" spans="1:36" x14ac:dyDescent="0.2">
      <c r="A13" s="36">
        <v>2</v>
      </c>
      <c r="B13" s="79" t="str">
        <f>_xll.qlMakeDatedOIS(,E13,F13,OvernightIndex,0,,,,EvaluationDate)</f>
        <v>obj_003e8#0001</v>
      </c>
      <c r="C13" s="56" t="b">
        <f>_xll.qlInstrumentSetPricingEngine(B13,OisEngine)</f>
        <v>1</v>
      </c>
      <c r="D13" s="64" t="str">
        <f>Currency&amp;A13&amp;"x"&amp;A13+3&amp;"F"&amp;QuoteSuffix</f>
        <v>EUR2x5F_Quote</v>
      </c>
      <c r="E13" s="65">
        <f>_xll.qlCalendarAdvance(Calendar,SettlementDate,A13&amp;"M","mf")</f>
        <v>41899</v>
      </c>
      <c r="F13" s="66">
        <f>_xll.qlInterestRateIndexMaturity($A$8,E13)</f>
        <v>41990</v>
      </c>
      <c r="G13" s="74">
        <f>_xll.qlQuoteValue(D13,AllTriggers)</f>
        <v>1.8500000000000001E-3</v>
      </c>
      <c r="H13" s="68">
        <f>_xll.qlOvernightIndexedSwapFairRate(B13,_xll.ohTrigger(C13,InterestRatesTrigger))</f>
        <v>4.7403409477643081E-4</v>
      </c>
      <c r="I13" s="69">
        <f>G13-H13</f>
        <v>1.3759659052235693E-3</v>
      </c>
      <c r="J13" s="36" t="b">
        <f>AND(NOT(ISERROR(I13)),E13&lt;&gt;$E$11,E13&lt;&gt;$E$10)</f>
        <v>0</v>
      </c>
      <c r="K13" s="68">
        <f>(I13-_xll.ohFilter($I$6:$I$9,$J$6:$J$9))/(P13-_xll.ohFilter($P$6:$P$9,$J$6:$J$9))</f>
        <v>6.3998414196445088E-6</v>
      </c>
      <c r="L13" s="68">
        <f>_xll.ohFilter($I$6:$I$9,$J$6:$J$9)-K13*_xll.ohFilter($P$6:$P$9,$J$6:$J$9)</f>
        <v>0</v>
      </c>
      <c r="M13" s="70"/>
      <c r="N13" s="71">
        <f t="shared" si="7"/>
        <v>62</v>
      </c>
      <c r="O13" s="71">
        <f t="shared" si="8"/>
        <v>153</v>
      </c>
      <c r="P13" s="70">
        <f t="shared" si="6"/>
        <v>215</v>
      </c>
      <c r="T13" s="72">
        <f t="shared" si="4"/>
        <v>12246.333333333332</v>
      </c>
      <c r="U13" s="72">
        <f t="shared" si="5"/>
        <v>107.5</v>
      </c>
      <c r="V13" s="72">
        <v>1</v>
      </c>
      <c r="X13" s="72"/>
      <c r="Y13" s="72"/>
      <c r="Z13" s="72"/>
    </row>
    <row r="14" spans="1:36" x14ac:dyDescent="0.2">
      <c r="A14" s="36">
        <v>3</v>
      </c>
      <c r="B14" s="79" t="str">
        <f>_xll.qlMakeDatedOIS(,E14,F14,OvernightIndex,0,,,,EvaluationDate)</f>
        <v>obj_003e3#0001</v>
      </c>
      <c r="C14" s="56" t="b">
        <f>_xll.qlInstrumentSetPricingEngine(B14,OisEngine)</f>
        <v>1</v>
      </c>
      <c r="D14" s="64" t="str">
        <f>Currency&amp;A14&amp;"x"&amp;A14+3&amp;"F"&amp;QuoteSuffix</f>
        <v>EUR3x6F_Quote</v>
      </c>
      <c r="E14" s="65">
        <f>_xll.qlCalendarAdvance(Calendar,SettlementDate,A14&amp;"M","mf")</f>
        <v>41929</v>
      </c>
      <c r="F14" s="66">
        <f>_xll.qlInterestRateIndexMaturity($A$8,E14)</f>
        <v>42023</v>
      </c>
      <c r="G14" s="74">
        <f>_xll.qlQuoteValue(D14,AllTriggers)</f>
        <v>1.82E-3</v>
      </c>
      <c r="H14" s="68">
        <f>_xll.qlOvernightIndexedSwapFairRate(B14,_xll.ohTrigger(C14,InterestRatesTrigger))</f>
        <v>3.5102346208971274E-4</v>
      </c>
      <c r="I14" s="69">
        <f>G14-H14</f>
        <v>1.4689765379102874E-3</v>
      </c>
      <c r="J14" s="36" t="b">
        <f>AND(NOT(ISERROR(I14)),E14&lt;&gt;$E$11,E14&lt;&gt;$E$10)</f>
        <v>1</v>
      </c>
      <c r="K14" s="68">
        <f>(I14-_xll.ohFilter($I$6:$I$9,$J$6:$J$9))/(P14-_xll.ohFilter($P$6:$P$9,$J$6:$J$9))</f>
        <v>5.284088265864343E-6</v>
      </c>
      <c r="L14" s="68">
        <f>_xll.ohFilter($I$6:$I$9,$J$6:$J$9)-K14*_xll.ohFilter($P$6:$P$9,$J$6:$J$9)</f>
        <v>0</v>
      </c>
      <c r="M14" s="70"/>
      <c r="N14" s="71">
        <f t="shared" si="7"/>
        <v>92</v>
      </c>
      <c r="O14" s="71">
        <f t="shared" si="8"/>
        <v>186</v>
      </c>
      <c r="P14" s="70">
        <f t="shared" si="6"/>
        <v>278</v>
      </c>
      <c r="T14" s="72">
        <f t="shared" si="4"/>
        <v>20057.333333333332</v>
      </c>
      <c r="U14" s="72">
        <f t="shared" si="5"/>
        <v>139</v>
      </c>
      <c r="V14" s="72">
        <v>1</v>
      </c>
      <c r="X14" s="72"/>
      <c r="Y14" s="72"/>
      <c r="Z14" s="72"/>
    </row>
    <row r="15" spans="1:36" x14ac:dyDescent="0.2">
      <c r="A15" s="36">
        <v>6</v>
      </c>
      <c r="B15" s="43" t="str">
        <f>_xll.qlMakeDatedOIS(,E15,F15,OvernightIndex,0,,,,EvaluationDate)</f>
        <v>obj_003e5#0001</v>
      </c>
      <c r="C15" s="44" t="b">
        <f>_xll.qlInstrumentSetPricingEngine(B15,OisEngine)</f>
        <v>1</v>
      </c>
      <c r="D15" s="45" t="str">
        <f>Currency&amp;A16&amp;"D_Quote"</f>
        <v>EUR6MD_Quote</v>
      </c>
      <c r="E15" s="46">
        <f>SettlementDate</f>
        <v>41837</v>
      </c>
      <c r="F15" s="47">
        <f>_xll.qlCalendarAdvance(Calendar,E15,A16,"mf")</f>
        <v>42023</v>
      </c>
      <c r="G15" s="48">
        <f>_xll.qlQuoteValue($D15,AllTriggers)</f>
        <v>3.0999999999999999E-3</v>
      </c>
      <c r="H15" s="49">
        <f>_xll.qlOvernightIndexedSwapFairRate(B15,_xll.ohTrigger(C15,InterestRatesTrigger))</f>
        <v>4.0000000000004187E-4</v>
      </c>
      <c r="I15" s="50">
        <f t="shared" si="1"/>
        <v>2.6999999999999581E-3</v>
      </c>
      <c r="J15" s="51" t="b">
        <v>0</v>
      </c>
      <c r="K15" s="52"/>
      <c r="L15" s="52"/>
      <c r="M15" s="52"/>
      <c r="N15" s="53">
        <f t="shared" si="7"/>
        <v>0</v>
      </c>
      <c r="O15" s="53">
        <f t="shared" si="8"/>
        <v>186</v>
      </c>
      <c r="P15" s="52">
        <f t="shared" si="6"/>
        <v>186</v>
      </c>
      <c r="Q15" s="51"/>
      <c r="R15" s="51"/>
      <c r="S15" s="51"/>
      <c r="T15" s="54">
        <f t="shared" si="4"/>
        <v>11532</v>
      </c>
      <c r="U15" s="54">
        <f t="shared" si="5"/>
        <v>93</v>
      </c>
      <c r="V15" s="54">
        <v>1</v>
      </c>
    </row>
    <row r="16" spans="1:36" x14ac:dyDescent="0.2">
      <c r="A16" s="36" t="str">
        <f>_xll.qlPeriodEquivalent(A15&amp;"M")</f>
        <v>6M</v>
      </c>
      <c r="B16" s="55" t="str">
        <f>_xll.qlMakeDatedOIS(,E16,F16,OvernightIndex,0,,,,EvaluationDate)</f>
        <v>obj_00420#0001</v>
      </c>
      <c r="C16" s="56" t="b">
        <f>_xll.qlInstrumentSetPricingEngine(B16,OisEngine)</f>
        <v>1</v>
      </c>
      <c r="D16" s="57" t="str">
        <f>PROPER(Currency&amp;IborType)&amp;A16&amp;"LastFixing_Quote"</f>
        <v>Euribor6MLastFixing_Quote</v>
      </c>
      <c r="E16" s="58">
        <f>_xll.qlCalendarAdvance(Calendar,_xll.qlLastFixingQuoteReferenceDate(D16),_xll.qlInterestRateIndexFixingDays(A17)&amp;"D","f",,LastFixingsTrigger)</f>
        <v>41810</v>
      </c>
      <c r="F16" s="59">
        <f>_xll.qlInterestRateIndexMaturity(A17,E16)</f>
        <v>41995</v>
      </c>
      <c r="G16" s="60">
        <f>_xll.qlQuoteValue(D16,AllTriggers)</f>
        <v>3.0899999999999999E-3</v>
      </c>
      <c r="H16" s="61" t="e">
        <f>_xll.qlOvernightIndexedSwapFairRate(B16,_xll.ohTrigger(C16,InterestRatesTrigger))</f>
        <v>#NUM!</v>
      </c>
      <c r="I16" s="62" t="e">
        <f t="shared" si="1"/>
        <v>#NUM!</v>
      </c>
      <c r="J16" s="51" t="b">
        <f>AND(ISERROR(I17),ISERROR(I18),NOT(ISERROR(I16)))</f>
        <v>0</v>
      </c>
      <c r="K16" s="52"/>
      <c r="L16" s="52"/>
      <c r="M16" s="52"/>
      <c r="N16" s="53">
        <f t="shared" si="7"/>
        <v>-27</v>
      </c>
      <c r="O16" s="53">
        <f t="shared" si="8"/>
        <v>158</v>
      </c>
      <c r="P16" s="52">
        <f t="shared" si="6"/>
        <v>131</v>
      </c>
      <c r="Q16" s="51"/>
      <c r="R16" s="51"/>
      <c r="S16" s="51"/>
      <c r="T16" s="54">
        <f t="shared" si="4"/>
        <v>7142.3333333333339</v>
      </c>
      <c r="U16" s="54">
        <f t="shared" si="5"/>
        <v>65.5</v>
      </c>
      <c r="V16" s="54">
        <v>1</v>
      </c>
    </row>
    <row r="17" spans="1:36" x14ac:dyDescent="0.2">
      <c r="A17" s="36" t="str">
        <f>PROPER(Currency)&amp;IborType&amp;SynthDepo!A16</f>
        <v>Euribor6M</v>
      </c>
      <c r="B17" s="79"/>
      <c r="C17" s="56"/>
      <c r="D17" s="57"/>
      <c r="E17" s="58"/>
      <c r="F17" s="59"/>
      <c r="G17" s="60"/>
      <c r="H17" s="61"/>
      <c r="I17" s="62" t="e">
        <f>NA()</f>
        <v>#N/A</v>
      </c>
      <c r="J17" s="51" t="b">
        <v>0</v>
      </c>
      <c r="K17" s="51"/>
      <c r="L17" s="51"/>
      <c r="M17" s="52"/>
      <c r="N17" s="53">
        <f t="shared" si="7"/>
        <v>-41837</v>
      </c>
      <c r="O17" s="53">
        <f t="shared" si="8"/>
        <v>-41837</v>
      </c>
      <c r="P17" s="52" t="e">
        <f t="shared" si="6"/>
        <v>#DIV/0!</v>
      </c>
      <c r="Q17" s="51"/>
      <c r="R17" s="51"/>
      <c r="S17" s="51"/>
      <c r="T17" s="54" t="e">
        <f t="shared" si="4"/>
        <v>#DIV/0!</v>
      </c>
      <c r="U17" s="54">
        <f t="shared" si="5"/>
        <v>-41837</v>
      </c>
      <c r="V17" s="54">
        <v>1</v>
      </c>
      <c r="AF17" s="36" t="s">
        <v>54</v>
      </c>
      <c r="AJ17" s="36" t="s">
        <v>55</v>
      </c>
    </row>
    <row r="18" spans="1:36" x14ac:dyDescent="0.2">
      <c r="B18" s="79"/>
      <c r="C18" s="56"/>
      <c r="D18" s="57"/>
      <c r="E18" s="58"/>
      <c r="F18" s="59"/>
      <c r="G18" s="60"/>
      <c r="H18" s="61"/>
      <c r="I18" s="62" t="e">
        <f>NA()</f>
        <v>#N/A</v>
      </c>
      <c r="J18" s="51" t="b">
        <v>0</v>
      </c>
      <c r="K18" s="61">
        <f>AVERAGE(_xll.ohFilter(K19:K21,J19:J21))</f>
        <v>8.1842644420215978E-6</v>
      </c>
      <c r="L18" s="61">
        <f>_xll.ohFilter($I$15:$I$18,$J$15:$J$18)-K18*_xll.ohFilter($P$15:$P$18,$J$15:$J$18)</f>
        <v>0</v>
      </c>
      <c r="M18" s="52"/>
      <c r="N18" s="53">
        <f t="shared" si="7"/>
        <v>-41837</v>
      </c>
      <c r="O18" s="53">
        <f t="shared" si="8"/>
        <v>-41837</v>
      </c>
      <c r="P18" s="52" t="e">
        <f t="shared" si="6"/>
        <v>#DIV/0!</v>
      </c>
      <c r="Q18" s="51"/>
      <c r="R18" s="51"/>
      <c r="S18" s="51"/>
      <c r="T18" s="54" t="e">
        <f t="shared" si="4"/>
        <v>#DIV/0!</v>
      </c>
      <c r="U18" s="54">
        <f t="shared" si="5"/>
        <v>-41837</v>
      </c>
      <c r="V18" s="54">
        <v>1</v>
      </c>
      <c r="X18" s="81">
        <f t="array" ref="X18:X20">_xll.ohFilter(T15:T24,$J15:$J24)</f>
        <v>18197.333333333336</v>
      </c>
      <c r="Y18" s="84">
        <f t="array" ref="Y18:Y20">_xll.ohFilter(U15:U24,$J15:$J24)</f>
        <v>124</v>
      </c>
      <c r="Z18" s="87">
        <f t="array" ref="Z18:Z20">_xll.ohFilter(V15:V24,$J15:$J24)</f>
        <v>1</v>
      </c>
      <c r="AB18" s="90">
        <f t="array" ref="AB18:AB20">MMULT(AF18:AH20,AD18:AD20)</f>
        <v>2.7022038639270821E-8</v>
      </c>
      <c r="AD18" s="90">
        <f t="array" ref="AD18:AD20">_xll.ohFilter(I15:I24,$J15:$J24)</f>
        <v>2.46240237602979E-3</v>
      </c>
      <c r="AF18" s="93">
        <f t="array" ref="AF18:AH20">MINVERSE(X18:Z20)</f>
        <v>5.552420309115028E-4</v>
      </c>
      <c r="AG18" s="94">
        <v>-1.074074748320612E-3</v>
      </c>
      <c r="AH18" s="95">
        <v>5.1883271740910954E-4</v>
      </c>
      <c r="AJ18" s="102">
        <f t="array" ref="AJ18:AJ20">MMULT(X18:Z20,AB18:AB20)-AD18:AD20</f>
        <v>-2.6020852139652106E-18</v>
      </c>
    </row>
    <row r="19" spans="1:36" x14ac:dyDescent="0.2">
      <c r="A19" s="36">
        <v>1</v>
      </c>
      <c r="B19" s="79" t="str">
        <f>_xll.qlMakeDatedOIS(,E19,F19,OvernightIndex,0,,,,EvaluationDate)</f>
        <v>obj_003dc#0001</v>
      </c>
      <c r="C19" s="56" t="b">
        <f>_xll.qlInstrumentSetPricingEngine(B19,OisEngine)</f>
        <v>1</v>
      </c>
      <c r="D19" s="64" t="str">
        <f t="shared" ref="D19:D24" si="9">Currency&amp;A19&amp;"x"&amp;A19+6&amp;"F"&amp;QuoteSuffix</f>
        <v>EUR1x7F_Quote</v>
      </c>
      <c r="E19" s="65">
        <f>_xll.qlCalendarAdvance(Calendar,SettlementDate,A19&amp;"M","mf")</f>
        <v>41869</v>
      </c>
      <c r="F19" s="66">
        <f>_xll.qlInterestRateIndexMaturity($A$17,E19)</f>
        <v>42053</v>
      </c>
      <c r="G19" s="67">
        <f>_xll.qlQuoteValue(D19,AllTriggers)</f>
        <v>2.8800000000000002E-3</v>
      </c>
      <c r="H19" s="68">
        <f>_xll.qlOvernightIndexedSwapFairRate(B19,_xll.ohTrigger(C19,InterestRatesTrigger))</f>
        <v>4.1759762397021026E-4</v>
      </c>
      <c r="I19" s="69">
        <f t="shared" si="1"/>
        <v>2.46240237602979E-3</v>
      </c>
      <c r="J19" s="36" t="b">
        <f t="shared" ref="J19:J24" si="10">NOT(ISERROR(I19))</f>
        <v>1</v>
      </c>
      <c r="K19" s="68">
        <f>(I19-_xll.ohFilter($I$15:$I$18,$J$15:$J$18))/(P19-_xll.ohFilter($P$15:$P$18,$J$15:$J$18))</f>
        <v>9.9290418388297989E-6</v>
      </c>
      <c r="L19" s="68">
        <f>_xll.ohFilter($I$15:$I$18,$J$15:$J$18)-K19*_xll.ohFilter($P$15:$P$18,$J$15:$J$18)</f>
        <v>0</v>
      </c>
      <c r="M19" s="70"/>
      <c r="N19" s="71">
        <f t="shared" ref="N19:N27" si="11">E19-SettlementDate</f>
        <v>32</v>
      </c>
      <c r="O19" s="71">
        <f t="shared" ref="O19:O27" si="12">F19-SettlementDate</f>
        <v>216</v>
      </c>
      <c r="P19" s="70">
        <f t="shared" si="6"/>
        <v>248</v>
      </c>
      <c r="T19" s="72">
        <f t="shared" si="4"/>
        <v>18197.333333333336</v>
      </c>
      <c r="U19" s="72">
        <f t="shared" si="5"/>
        <v>124</v>
      </c>
      <c r="V19" s="72">
        <v>1</v>
      </c>
      <c r="X19" s="82">
        <v>25986.333333333332</v>
      </c>
      <c r="Y19" s="85">
        <v>152.5</v>
      </c>
      <c r="Z19" s="88">
        <v>1</v>
      </c>
      <c r="AA19" s="41" t="s">
        <v>56</v>
      </c>
      <c r="AB19" s="91">
        <v>-8.641240506514756E-6</v>
      </c>
      <c r="AC19" s="41" t="s">
        <v>57</v>
      </c>
      <c r="AD19" s="91">
        <v>2.4266016805553981E-3</v>
      </c>
      <c r="AF19" s="96">
        <v>-0.18683439223753304</v>
      </c>
      <c r="AG19" s="97">
        <v>0.32863046367260496</v>
      </c>
      <c r="AH19" s="98">
        <v>-0.14179607143507197</v>
      </c>
      <c r="AJ19" s="103">
        <v>-8.6736173798840355E-19</v>
      </c>
    </row>
    <row r="20" spans="1:36" x14ac:dyDescent="0.2">
      <c r="A20" s="36">
        <v>2</v>
      </c>
      <c r="B20" s="79" t="str">
        <f>_xll.qlMakeDatedOIS(,E20,F20,OvernightIndex,0,,,,EvaluationDate)</f>
        <v>obj_003db#0001</v>
      </c>
      <c r="C20" s="56" t="b">
        <f>_xll.qlInstrumentSetPricingEngine(B20,OisEngine)</f>
        <v>1</v>
      </c>
      <c r="D20" s="64" t="str">
        <f t="shared" si="9"/>
        <v>EUR2x8F_Quote</v>
      </c>
      <c r="E20" s="65">
        <f>_xll.qlCalendarAdvance(Calendar,SettlementDate,A20&amp;"M","mf")</f>
        <v>41899</v>
      </c>
      <c r="F20" s="66">
        <f>_xll.qlInterestRateIndexMaturity($A$17,E20)</f>
        <v>42080</v>
      </c>
      <c r="G20" s="67">
        <f>_xll.qlQuoteValue(D20,AllTriggers)</f>
        <v>2.8300000000000005E-3</v>
      </c>
      <c r="H20" s="68">
        <f>_xll.qlOvernightIndexedSwapFairRate(B20,_xll.ohTrigger(C20,InterestRatesTrigger))</f>
        <v>4.0339831944460262E-4</v>
      </c>
      <c r="I20" s="69">
        <f t="shared" si="1"/>
        <v>2.4266016805553981E-3</v>
      </c>
      <c r="J20" s="36" t="b">
        <f t="shared" si="10"/>
        <v>1</v>
      </c>
      <c r="K20" s="68">
        <f>(I20-_xll.ohFilter($I$15:$I$18,$J$15:$J$18))/(P20-_xll.ohFilter($P$15:$P$18,$J$15:$J$18))</f>
        <v>7.9560710837881897E-6</v>
      </c>
      <c r="L20" s="68">
        <f>_xll.ohFilter($I$15:$I$18,$J$15:$J$18)-K20*_xll.ohFilter($P$15:$P$18,$J$15:$J$18)</f>
        <v>0</v>
      </c>
      <c r="M20" s="70"/>
      <c r="N20" s="71">
        <f t="shared" si="11"/>
        <v>62</v>
      </c>
      <c r="O20" s="71">
        <f t="shared" si="12"/>
        <v>243</v>
      </c>
      <c r="P20" s="70">
        <f t="shared" si="6"/>
        <v>305</v>
      </c>
      <c r="T20" s="72">
        <f t="shared" si="4"/>
        <v>25986.333333333332</v>
      </c>
      <c r="U20" s="72">
        <f t="shared" si="5"/>
        <v>152.5</v>
      </c>
      <c r="V20" s="72">
        <v>1</v>
      </c>
      <c r="X20" s="83">
        <v>36249.333333333336</v>
      </c>
      <c r="Y20" s="86">
        <v>183</v>
      </c>
      <c r="Z20" s="89">
        <v>1</v>
      </c>
      <c r="AB20" s="92">
        <v>3.0421871543725928E-3</v>
      </c>
      <c r="AD20" s="92">
        <v>2.4403710276615313E-3</v>
      </c>
      <c r="AF20" s="99">
        <v>14.063540320280511</v>
      </c>
      <c r="AG20" s="100">
        <v>-21.204881275296732</v>
      </c>
      <c r="AH20" s="101">
        <v>8.1413409550162221</v>
      </c>
      <c r="AJ20" s="104">
        <v>2.1684043449710089E-18</v>
      </c>
    </row>
    <row r="21" spans="1:36" x14ac:dyDescent="0.2">
      <c r="A21" s="36">
        <v>3</v>
      </c>
      <c r="B21" s="79" t="str">
        <f>_xll.qlMakeDatedOIS(,E21,F21,OvernightIndex,0,,,,EvaluationDate)</f>
        <v>obj_003e1#0001</v>
      </c>
      <c r="C21" s="56" t="b">
        <f>_xll.qlInstrumentSetPricingEngine(B21,OisEngine)</f>
        <v>1</v>
      </c>
      <c r="D21" s="64" t="str">
        <f t="shared" si="9"/>
        <v>EUR3x9F_Quote</v>
      </c>
      <c r="E21" s="65">
        <f>_xll.qlCalendarAdvance(Calendar,SettlementDate,A21&amp;"M","mf")</f>
        <v>41929</v>
      </c>
      <c r="F21" s="66">
        <f>_xll.qlInterestRateIndexMaturity($A$17,E21)</f>
        <v>42111</v>
      </c>
      <c r="G21" s="67">
        <f>_xll.qlQuoteValue(D21,AllTriggers)</f>
        <v>2.8000000000000004E-3</v>
      </c>
      <c r="H21" s="68">
        <f>_xll.qlOvernightIndexedSwapFairRate(B21,_xll.ohTrigger(C21,InterestRatesTrigger))</f>
        <v>3.5962897233846936E-4</v>
      </c>
      <c r="I21" s="69">
        <f t="shared" si="1"/>
        <v>2.4403710276615313E-3</v>
      </c>
      <c r="J21" s="36" t="b">
        <f t="shared" si="10"/>
        <v>1</v>
      </c>
      <c r="K21" s="68">
        <f>(I21-_xll.ohFilter($I$15:$I$18,$J$15:$J$18))/(P21-_xll.ohFilter($P$15:$P$18,$J$15:$J$18))</f>
        <v>6.6676804034468064E-6</v>
      </c>
      <c r="L21" s="68">
        <f>_xll.ohFilter($I$15:$I$18,$J$15:$J$18)-K21*_xll.ohFilter($P$15:$P$18,$J$15:$J$18)</f>
        <v>0</v>
      </c>
      <c r="M21" s="70"/>
      <c r="N21" s="71">
        <f t="shared" si="11"/>
        <v>92</v>
      </c>
      <c r="O21" s="71">
        <f t="shared" si="12"/>
        <v>274</v>
      </c>
      <c r="P21" s="70">
        <f t="shared" si="6"/>
        <v>366</v>
      </c>
      <c r="T21" s="72">
        <f t="shared" si="4"/>
        <v>36249.333333333336</v>
      </c>
      <c r="U21" s="72">
        <f t="shared" si="5"/>
        <v>183</v>
      </c>
      <c r="V21" s="72">
        <v>1</v>
      </c>
      <c r="X21" s="72"/>
      <c r="Y21" s="72"/>
      <c r="Z21" s="72"/>
      <c r="AD21" s="105"/>
    </row>
    <row r="22" spans="1:36" x14ac:dyDescent="0.2">
      <c r="A22" s="36">
        <v>4</v>
      </c>
      <c r="B22" s="79" t="str">
        <f>_xll.qlMakeDatedOIS(,E22,F22,OvernightIndex,0,,,,EvaluationDate)</f>
        <v>obj_003e6#0001</v>
      </c>
      <c r="C22" s="56" t="b">
        <f>_xll.qlInstrumentSetPricingEngine(B22,OisEngine)</f>
        <v>1</v>
      </c>
      <c r="D22" s="64" t="str">
        <f t="shared" si="9"/>
        <v>EUR4x10F_Quote</v>
      </c>
      <c r="E22" s="65">
        <f>_xll.qlCalendarAdvance(Calendar,SettlementDate,A22&amp;"M","mf")</f>
        <v>41960</v>
      </c>
      <c r="F22" s="66">
        <f>_xll.qlInterestRateIndexMaturity($A$17,E22)</f>
        <v>42142</v>
      </c>
      <c r="G22" s="67">
        <f>_xll.qlQuoteValue(D22,AllTriggers)</f>
        <v>2.7900000000000004E-3</v>
      </c>
      <c r="H22" s="68">
        <f>_xll.qlOvernightIndexedSwapFairRate(B22,_xll.ohTrigger(C22,InterestRatesTrigger))</f>
        <v>3.4263845616997249E-4</v>
      </c>
      <c r="I22" s="69">
        <f t="shared" si="1"/>
        <v>2.4473615438300278E-3</v>
      </c>
      <c r="J22" s="36" t="b">
        <f t="shared" si="10"/>
        <v>1</v>
      </c>
      <c r="K22" s="68">
        <f>(I22-_xll.ohFilter($I$15:$I$18,$J$15:$J$18))/(P22-_xll.ohFilter($P$15:$P$18,$J$15:$J$18))</f>
        <v>5.7181344482009992E-6</v>
      </c>
      <c r="L22" s="68">
        <f>_xll.ohFilter($I$15:$I$18,$J$15:$J$18)-K22*_xll.ohFilter($P$15:$P$18,$J$15:$J$18)</f>
        <v>0</v>
      </c>
      <c r="M22" s="70"/>
      <c r="N22" s="71">
        <f t="shared" si="11"/>
        <v>123</v>
      </c>
      <c r="O22" s="71">
        <f t="shared" si="12"/>
        <v>305</v>
      </c>
      <c r="P22" s="70">
        <f t="shared" si="6"/>
        <v>428</v>
      </c>
      <c r="T22" s="72">
        <f t="shared" si="4"/>
        <v>48556.333333333328</v>
      </c>
      <c r="U22" s="72">
        <f t="shared" si="5"/>
        <v>214</v>
      </c>
      <c r="V22" s="72">
        <v>1</v>
      </c>
      <c r="X22" s="72"/>
      <c r="Y22" s="72"/>
      <c r="Z22" s="72"/>
      <c r="AD22" s="105"/>
    </row>
    <row r="23" spans="1:36" x14ac:dyDescent="0.2">
      <c r="A23" s="36">
        <v>5</v>
      </c>
      <c r="B23" s="79" t="str">
        <f>_xll.qlMakeDatedOIS(,E23,F23,OvernightIndex,0,,,,EvaluationDate)</f>
        <v>obj_003e2#0001</v>
      </c>
      <c r="C23" s="56" t="b">
        <f>_xll.qlInstrumentSetPricingEngine(B23,OisEngine)</f>
        <v>1</v>
      </c>
      <c r="D23" s="64" t="str">
        <f t="shared" si="9"/>
        <v>EUR5x11F_Quote</v>
      </c>
      <c r="E23" s="65">
        <f>_xll.qlCalendarAdvance(Calendar,SettlementDate,A23&amp;"M","mf")</f>
        <v>41990</v>
      </c>
      <c r="F23" s="66">
        <f>_xll.qlInterestRateIndexMaturity($A$17,E23)</f>
        <v>42172</v>
      </c>
      <c r="G23" s="67">
        <f>_xll.qlQuoteValue(D23,AllTriggers)</f>
        <v>2.7700000000000003E-3</v>
      </c>
      <c r="H23" s="68">
        <f>_xll.qlOvernightIndexedSwapFairRate(B23,_xll.ohTrigger(C23,InterestRatesTrigger))</f>
        <v>3.479019752973377E-4</v>
      </c>
      <c r="I23" s="69">
        <f t="shared" si="1"/>
        <v>2.4220980247026628E-3</v>
      </c>
      <c r="J23" s="36" t="b">
        <f t="shared" si="10"/>
        <v>1</v>
      </c>
      <c r="K23" s="68">
        <f>(I23-_xll.ohFilter($I$15:$I$18,$J$15:$J$18))/(P23-_xll.ohFilter($P$15:$P$18,$J$15:$J$18))</f>
        <v>4.9633156243907027E-6</v>
      </c>
      <c r="L23" s="68">
        <f>_xll.ohFilter($I$15:$I$18,$J$15:$J$18)-K23*_xll.ohFilter($P$15:$P$18,$J$15:$J$18)</f>
        <v>0</v>
      </c>
      <c r="M23" s="70"/>
      <c r="N23" s="71">
        <f t="shared" si="11"/>
        <v>153</v>
      </c>
      <c r="O23" s="71">
        <f t="shared" si="12"/>
        <v>335</v>
      </c>
      <c r="P23" s="70">
        <f t="shared" si="6"/>
        <v>488</v>
      </c>
      <c r="T23" s="72">
        <f t="shared" si="4"/>
        <v>62296.333333333328</v>
      </c>
      <c r="U23" s="72">
        <f t="shared" si="5"/>
        <v>244</v>
      </c>
      <c r="V23" s="72">
        <v>1</v>
      </c>
      <c r="X23" s="72"/>
      <c r="Y23" s="72"/>
      <c r="Z23" s="72"/>
      <c r="AD23" s="105"/>
    </row>
    <row r="24" spans="1:36" x14ac:dyDescent="0.2">
      <c r="A24" s="36">
        <v>6</v>
      </c>
      <c r="B24" s="79" t="str">
        <f>_xll.qlMakeDatedOIS(,E24,F24,OvernightIndex,0,,,,EvaluationDate)</f>
        <v>obj_003e7#0001</v>
      </c>
      <c r="C24" s="56" t="b">
        <f>_xll.qlInstrumentSetPricingEngine(B24,OisEngine)</f>
        <v>1</v>
      </c>
      <c r="D24" s="64" t="str">
        <f t="shared" si="9"/>
        <v>EUR6x12F_Quote</v>
      </c>
      <c r="E24" s="65">
        <f>_xll.qlCalendarAdvance(Calendar,SettlementDate,A24&amp;"M","mf")</f>
        <v>42023</v>
      </c>
      <c r="F24" s="66">
        <f>_xll.qlInterestRateIndexMaturity($A$17,E24)</f>
        <v>42205</v>
      </c>
      <c r="G24" s="67">
        <f>_xll.qlQuoteValue(D24,AllTriggers)</f>
        <v>2.7600000000000003E-3</v>
      </c>
      <c r="H24" s="68">
        <f>_xll.qlOvernightIndexedSwapFairRate(B24,_xll.ohTrigger(C24,InterestRatesTrigger))</f>
        <v>3.5810596393556017E-4</v>
      </c>
      <c r="I24" s="69">
        <f t="shared" si="1"/>
        <v>2.40189403606444E-3</v>
      </c>
      <c r="J24" s="36" t="b">
        <f t="shared" si="10"/>
        <v>1</v>
      </c>
      <c r="K24" s="68">
        <f>(I24-_xll.ohFilter($I$15:$I$18,$J$15:$J$18))/(P24-_xll.ohFilter($P$15:$P$18,$J$15:$J$18))</f>
        <v>4.3355488015603611E-6</v>
      </c>
      <c r="L24" s="68">
        <f>_xll.ohFilter($I$15:$I$18,$J$15:$J$18)-K24*_xll.ohFilter($P$15:$P$18,$J$15:$J$18)</f>
        <v>0</v>
      </c>
      <c r="M24" s="70"/>
      <c r="N24" s="71">
        <f t="shared" si="11"/>
        <v>186</v>
      </c>
      <c r="O24" s="71">
        <f t="shared" si="12"/>
        <v>368</v>
      </c>
      <c r="P24" s="70">
        <f t="shared" si="6"/>
        <v>554</v>
      </c>
      <c r="T24" s="72">
        <f t="shared" si="4"/>
        <v>79489.333333333328</v>
      </c>
      <c r="U24" s="72">
        <f t="shared" si="5"/>
        <v>277</v>
      </c>
      <c r="V24" s="72">
        <v>1</v>
      </c>
    </row>
    <row r="25" spans="1:36" x14ac:dyDescent="0.2">
      <c r="A25" s="36">
        <v>12</v>
      </c>
      <c r="B25" s="43" t="str">
        <f>_xll.qlMakeDatedOIS(,E25,F25,OvernightIndex,0,,,,EvaluationDate)</f>
        <v>obj_003dd#0001</v>
      </c>
      <c r="C25" s="44" t="b">
        <f>_xll.qlInstrumentSetPricingEngine(B25,OisEngine)</f>
        <v>1</v>
      </c>
      <c r="D25" s="45" t="str">
        <f>Currency&amp;A26&amp;"D_Quote"</f>
        <v>EUR1YD_Quote</v>
      </c>
      <c r="E25" s="46">
        <f>SettlementDate</f>
        <v>41837</v>
      </c>
      <c r="F25" s="47">
        <f>_xll.qlCalendarAdvance(Calendar,E25,A26,"mf")</f>
        <v>42202</v>
      </c>
      <c r="G25" s="48">
        <f>_xll.qlQuoteValue($D25,AllTriggers)</f>
        <v>5.0000000000000001E-3</v>
      </c>
      <c r="H25" s="49">
        <f>_xll.qlOvernightIndexedSwapFairRate(B25,_xll.ohTrigger(C25,InterestRatesTrigger))</f>
        <v>3.8000000000018992E-4</v>
      </c>
      <c r="I25" s="50">
        <f t="shared" si="1"/>
        <v>4.61999999999981E-3</v>
      </c>
      <c r="J25" s="51" t="b">
        <v>0</v>
      </c>
      <c r="K25" s="51"/>
      <c r="L25" s="51"/>
      <c r="M25" s="52"/>
      <c r="N25" s="53">
        <f t="shared" si="11"/>
        <v>0</v>
      </c>
      <c r="O25" s="53">
        <f t="shared" si="12"/>
        <v>365</v>
      </c>
      <c r="P25" s="52">
        <f t="shared" si="6"/>
        <v>365</v>
      </c>
      <c r="Q25" s="51"/>
      <c r="R25" s="51"/>
      <c r="S25" s="51"/>
      <c r="T25" s="54">
        <f t="shared" si="4"/>
        <v>44408.333333333328</v>
      </c>
      <c r="U25" s="54">
        <f t="shared" si="5"/>
        <v>182.5</v>
      </c>
      <c r="V25" s="54">
        <v>1</v>
      </c>
    </row>
    <row r="26" spans="1:36" x14ac:dyDescent="0.2">
      <c r="A26" s="36" t="str">
        <f>_xll.qlPeriodEquivalent(A25&amp;"M")</f>
        <v>1Y</v>
      </c>
      <c r="B26" s="79" t="str">
        <f>_xll.qlMakeDatedOIS(,E26,F26,OvernightIndex,0,,,,EvaluationDate)</f>
        <v>obj_00421#0001</v>
      </c>
      <c r="C26" s="56" t="b">
        <f>_xll.qlInstrumentSetPricingEngine(B26,OisEngine)</f>
        <v>1</v>
      </c>
      <c r="D26" s="57" t="str">
        <f>PROPER(Currency&amp;IborType)&amp;A26&amp;"LastFixing_Quote"</f>
        <v>Euribor1YLastFixing_Quote</v>
      </c>
      <c r="E26" s="58">
        <f>_xll.qlCalendarAdvance(Calendar,_xll.qlLastFixingQuoteReferenceDate(D26),_xll.qlInterestRateIndexFixingDays(A27)&amp;"D","f",,LastFixingsTrigger)</f>
        <v>41810</v>
      </c>
      <c r="F26" s="59">
        <f>_xll.qlInterestRateIndexMaturity(A27,E26)</f>
        <v>42177</v>
      </c>
      <c r="G26" s="60">
        <f>_xll.qlQuoteValue(D26,AllTriggers)</f>
        <v>4.8999999999999998E-3</v>
      </c>
      <c r="H26" s="61" t="e">
        <f>_xll.qlOvernightIndexedSwapFairRate(B26,_xll.ohTrigger(C26,InterestRatesTrigger))</f>
        <v>#NUM!</v>
      </c>
      <c r="I26" s="62" t="e">
        <f t="shared" si="1"/>
        <v>#NUM!</v>
      </c>
      <c r="J26" s="51" t="b">
        <f>NOT(ISERROR(I26))</f>
        <v>0</v>
      </c>
      <c r="K26" s="63">
        <f>K27</f>
        <v>3.5833858598722914E-6</v>
      </c>
      <c r="L26" s="61">
        <f>_xll.ohFilter($I$25:$I$26,$J$25:$J$26)-K26*_xll.ohFilter($P$25:$P$26,$J$25:$J$26)</f>
        <v>0</v>
      </c>
      <c r="M26" s="52"/>
      <c r="N26" s="53">
        <f t="shared" si="11"/>
        <v>-27</v>
      </c>
      <c r="O26" s="53">
        <f t="shared" si="12"/>
        <v>340</v>
      </c>
      <c r="P26" s="52">
        <f t="shared" si="6"/>
        <v>313</v>
      </c>
      <c r="Q26" s="51"/>
      <c r="R26" s="51"/>
      <c r="S26" s="51"/>
      <c r="T26" s="54">
        <f t="shared" si="4"/>
        <v>35716.333333333336</v>
      </c>
      <c r="U26" s="54">
        <f t="shared" si="5"/>
        <v>156.5</v>
      </c>
      <c r="V26" s="54">
        <v>1</v>
      </c>
    </row>
    <row r="27" spans="1:36" x14ac:dyDescent="0.2">
      <c r="A27" s="36" t="str">
        <f>PROPER(Currency)&amp;IborType&amp;SynthDepo!A26</f>
        <v>Euribor1Y</v>
      </c>
      <c r="B27" s="79" t="str">
        <f>_xll.qlMakeDatedOIS(,E27,F27,OvernightIndex,0,,,,EvaluationDate)</f>
        <v>obj_003e0#0001</v>
      </c>
      <c r="C27" s="56" t="b">
        <f>_xll.qlInstrumentSetPricingEngine(B27,OisEngine)</f>
        <v>1</v>
      </c>
      <c r="D27" s="64" t="str">
        <f>Currency&amp;"12x24F"&amp;QuoteSuffix</f>
        <v>EUR12x24F_Quote</v>
      </c>
      <c r="E27" s="65">
        <f>_xll.qlCalendarAdvance(Calendar,SettlementDate,"12M","mf")</f>
        <v>42202</v>
      </c>
      <c r="F27" s="66">
        <f>_xll.qlInterestRateIndexMaturity(A27,E27)</f>
        <v>42569</v>
      </c>
      <c r="G27" s="67">
        <f>_xll.qlQuoteValue(D27,AllTriggers)</f>
        <v>4.7299999999999998E-3</v>
      </c>
      <c r="H27" s="68">
        <f>_xll.qlOvernightIndexedSwapFairRate(B27,_xll.ohTrigger(C27,InterestRatesTrigger))</f>
        <v>7.9902571172009624E-4</v>
      </c>
      <c r="I27" s="69">
        <f t="shared" si="1"/>
        <v>3.9309742882799037E-3</v>
      </c>
      <c r="J27" s="36" t="b">
        <f>NOT(ISERROR(I27))</f>
        <v>1</v>
      </c>
      <c r="K27" s="68">
        <f>(I27-_xll.ohFilter($I$25:$I$26,$J$25:$J$26))/(P27-_xll.ohFilter($P$25:$P$26,$J$25:$J$26))</f>
        <v>3.5833858598722914E-6</v>
      </c>
      <c r="L27" s="68">
        <f>_xll.ohFilter($I$25:$I$26,$J$25:$J$26)-K27*_xll.ohFilter($P$25:$P$26,$J$25:$J$26)</f>
        <v>0</v>
      </c>
      <c r="M27" s="70"/>
      <c r="N27" s="71">
        <f t="shared" si="11"/>
        <v>365</v>
      </c>
      <c r="O27" s="71">
        <f t="shared" si="12"/>
        <v>732</v>
      </c>
      <c r="P27" s="70">
        <f t="shared" si="6"/>
        <v>1097</v>
      </c>
      <c r="T27" s="72">
        <f t="shared" si="4"/>
        <v>312076.33333333331</v>
      </c>
      <c r="U27" s="72">
        <f t="shared" si="5"/>
        <v>548.5</v>
      </c>
      <c r="V27" s="72">
        <v>1</v>
      </c>
    </row>
    <row r="28" spans="1:36" x14ac:dyDescent="0.2">
      <c r="B28" s="106"/>
      <c r="C28" s="106"/>
      <c r="D28" s="107" t="e">
        <f>_xll.qlRateHelperQuoteName(D2)</f>
        <v>#NUM!</v>
      </c>
      <c r="E28" s="107"/>
      <c r="F28" s="107"/>
      <c r="G28" s="107"/>
      <c r="H28" s="107"/>
      <c r="I28" s="108"/>
      <c r="O28" s="109"/>
      <c r="U28" s="109"/>
      <c r="V28" s="109"/>
      <c r="W28" s="109"/>
      <c r="X28" s="109"/>
      <c r="Y28" s="109"/>
      <c r="Z28" s="109"/>
      <c r="AC28" s="109"/>
    </row>
    <row r="29" spans="1:36" x14ac:dyDescent="0.2">
      <c r="G29" s="41" t="s">
        <v>58</v>
      </c>
      <c r="H29" s="41" t="s">
        <v>58</v>
      </c>
      <c r="I29" s="41" t="s">
        <v>58</v>
      </c>
      <c r="J29" s="41" t="s">
        <v>58</v>
      </c>
    </row>
    <row r="30" spans="1:36" x14ac:dyDescent="0.2">
      <c r="A30" s="110"/>
      <c r="B30" s="110"/>
      <c r="C30" s="110"/>
      <c r="D30" s="110"/>
      <c r="E30" s="110"/>
      <c r="F30" s="110"/>
      <c r="G30" s="41" t="b">
        <v>0</v>
      </c>
      <c r="H30" s="41" t="b">
        <v>0</v>
      </c>
      <c r="I30" s="41" t="b">
        <v>0</v>
      </c>
      <c r="J30" s="41" t="b">
        <v>0</v>
      </c>
      <c r="M30" s="36" t="s">
        <v>59</v>
      </c>
      <c r="O30" s="41" t="b">
        <v>1</v>
      </c>
      <c r="P30" s="41" t="b">
        <v>1</v>
      </c>
      <c r="S30" s="111" t="s">
        <v>59</v>
      </c>
      <c r="T30" s="112">
        <f>AB9</f>
        <v>1.0691180323185918E-6</v>
      </c>
      <c r="U30" s="113">
        <f>AB18</f>
        <v>2.7022038639270821E-8</v>
      </c>
    </row>
    <row r="31" spans="1:36" x14ac:dyDescent="0.2">
      <c r="E31" s="42"/>
      <c r="F31" s="42" t="s">
        <v>60</v>
      </c>
      <c r="G31" s="114">
        <f>_xll.ohFilter(I2:I3,J2:J3)</f>
        <v>0</v>
      </c>
      <c r="H31" s="115">
        <f>_xll.ohFilter(I6:I9,J6:J9)</f>
        <v>0</v>
      </c>
      <c r="I31" s="115">
        <f>_xll.ohFilter(I15:I18,J15:J18)</f>
        <v>0</v>
      </c>
      <c r="J31" s="116">
        <f>_xll.ohFilter(I25:I26,J25:J26)</f>
        <v>0</v>
      </c>
      <c r="M31" s="41" t="s">
        <v>47</v>
      </c>
      <c r="N31" s="105">
        <f>K4</f>
        <v>1.13670811505386E-6</v>
      </c>
      <c r="O31" s="105">
        <f>K9</f>
        <v>7.8536793333178256E-6</v>
      </c>
      <c r="P31" s="105">
        <f>AVERAGE(K19:K21)</f>
        <v>8.1842644420215978E-6</v>
      </c>
      <c r="Q31" s="105">
        <f>K26</f>
        <v>3.5833858598722914E-6</v>
      </c>
      <c r="R31" s="105"/>
      <c r="S31" s="117" t="s">
        <v>47</v>
      </c>
      <c r="T31" s="118">
        <f>AB10</f>
        <v>-1.992494215316996E-4</v>
      </c>
      <c r="U31" s="69">
        <f>AB19</f>
        <v>-8.641240506514756E-6</v>
      </c>
    </row>
    <row r="32" spans="1:36" x14ac:dyDescent="0.2">
      <c r="E32" s="42"/>
      <c r="F32" s="42" t="s">
        <v>61</v>
      </c>
      <c r="G32" s="114">
        <f>IF(G31&lt;H31,G31,H31)</f>
        <v>0</v>
      </c>
      <c r="H32" s="115">
        <f>H31</f>
        <v>0</v>
      </c>
      <c r="I32" s="115">
        <f>IF(I31&lt;H31,H31,I31)</f>
        <v>0</v>
      </c>
      <c r="J32" s="116">
        <f>IF(J31&lt;I31,I31,J31)</f>
        <v>0</v>
      </c>
      <c r="M32" s="41" t="s">
        <v>48</v>
      </c>
      <c r="N32" s="105">
        <f>L4</f>
        <v>0</v>
      </c>
      <c r="O32" s="105">
        <f>L9</f>
        <v>0</v>
      </c>
      <c r="P32" s="105">
        <f>L18</f>
        <v>0</v>
      </c>
      <c r="Q32" s="105">
        <f>L26</f>
        <v>0</v>
      </c>
      <c r="R32" s="105"/>
      <c r="S32" s="117" t="s">
        <v>48</v>
      </c>
      <c r="T32" s="118">
        <f>AB11</f>
        <v>9.6775029234303922E-3</v>
      </c>
      <c r="U32" s="69">
        <f>AB20</f>
        <v>3.0421871543725928E-3</v>
      </c>
    </row>
    <row r="33" spans="2:21" x14ac:dyDescent="0.2">
      <c r="B33" s="37" t="s">
        <v>40</v>
      </c>
      <c r="C33" s="38"/>
      <c r="D33" s="37" t="s">
        <v>41</v>
      </c>
      <c r="E33" s="38" t="s">
        <v>42</v>
      </c>
      <c r="F33" s="39" t="s">
        <v>43</v>
      </c>
      <c r="G33" s="37" t="s">
        <v>62</v>
      </c>
      <c r="H33" s="38" t="s">
        <v>63</v>
      </c>
      <c r="I33" s="38" t="s">
        <v>64</v>
      </c>
      <c r="J33" s="40" t="s">
        <v>32</v>
      </c>
      <c r="K33" s="37" t="s">
        <v>65</v>
      </c>
      <c r="L33" s="40" t="s">
        <v>45</v>
      </c>
      <c r="N33" s="37" t="s">
        <v>62</v>
      </c>
      <c r="O33" s="38" t="s">
        <v>63</v>
      </c>
      <c r="P33" s="38" t="s">
        <v>64</v>
      </c>
      <c r="Q33" s="40" t="s">
        <v>32</v>
      </c>
      <c r="R33" s="38"/>
      <c r="S33" s="119"/>
      <c r="T33" s="38" t="s">
        <v>63</v>
      </c>
      <c r="U33" s="40" t="s">
        <v>64</v>
      </c>
    </row>
    <row r="34" spans="2:21" x14ac:dyDescent="0.2">
      <c r="B34" s="43" t="str">
        <f>_xll.qlMakeDatedOIS(,E34,F34,OvernightIndex,0,,,,EvaluationDate)</f>
        <v>obj_003d9#0001</v>
      </c>
      <c r="C34" s="106" t="b">
        <f>_xll.qlInstrumentSetPricingEngine(B34,OisEngine)</f>
        <v>1</v>
      </c>
      <c r="D34" s="120" t="s">
        <v>66</v>
      </c>
      <c r="E34" s="121">
        <f t="shared" ref="E34:E49" si="13">SettlementDate</f>
        <v>41837</v>
      </c>
      <c r="F34" s="122">
        <f>_xll.qlCalendarAdvance(Calendar,SettlementDate,D34,"Following")</f>
        <v>41838</v>
      </c>
      <c r="G34" s="123">
        <f t="shared" ref="G34:J49" si="14">$L34+IF(G$30,G$32,N34)</f>
        <v>3.0113670807705117E-4</v>
      </c>
      <c r="H34" s="123">
        <f t="shared" si="14"/>
        <v>9.8782345853039785E-3</v>
      </c>
      <c r="I34" s="123">
        <f t="shared" si="14"/>
        <v>3.3378755414275457E-3</v>
      </c>
      <c r="J34" s="123">
        <f t="shared" si="14"/>
        <v>3.0358338582186963E-4</v>
      </c>
      <c r="K34" s="272">
        <f t="shared" ref="K34:K49" si="15">F34-SettlementDate</f>
        <v>1</v>
      </c>
      <c r="L34" s="125">
        <f>_xll.qlOvernightIndexedSwapFairRate(B34,_xll.ohTrigger(C34,InterestRatesTrigger))</f>
        <v>2.9999999996199733E-4</v>
      </c>
      <c r="N34" s="126">
        <f>N$31*$K34+N$32</f>
        <v>1.13670811505386E-6</v>
      </c>
      <c r="O34" s="118">
        <f t="shared" ref="O34:P40" si="16">IF(O$30,T34,O$31*$K34+O$32)</f>
        <v>9.5782345853419812E-3</v>
      </c>
      <c r="P34" s="118">
        <f t="shared" si="16"/>
        <v>3.0378755414655484E-3</v>
      </c>
      <c r="Q34" s="69">
        <f t="shared" ref="Q34:Q49" si="17">Q$31*$K34+Q$32</f>
        <v>3.5833858598722914E-6</v>
      </c>
      <c r="R34" s="118"/>
      <c r="S34" s="127" t="s">
        <v>66</v>
      </c>
      <c r="T34" s="118">
        <f t="shared" ref="T34:U40" si="18">$K34*$K34/3*T$30+$K34/2*T$31+T$32</f>
        <v>9.5782345853419812E-3</v>
      </c>
      <c r="U34" s="69">
        <f t="shared" si="18"/>
        <v>3.0378755414655484E-3</v>
      </c>
    </row>
    <row r="35" spans="2:21" x14ac:dyDescent="0.2">
      <c r="B35" s="79" t="str">
        <f>_xll.qlMakeDatedOIS(,E35,F35,OvernightIndex,0,,,,EvaluationDate)</f>
        <v>obj_003d1#0001</v>
      </c>
      <c r="C35" s="70" t="b">
        <f>_xll.qlInstrumentSetPricingEngine(B35,OisEngine)</f>
        <v>1</v>
      </c>
      <c r="D35" s="128" t="s">
        <v>67</v>
      </c>
      <c r="E35" s="65">
        <f t="shared" si="13"/>
        <v>41837</v>
      </c>
      <c r="F35" s="129">
        <f>_xll.qlCalendarAdvance(Calendar,SettlementDate,D35,"Following")</f>
        <v>41844</v>
      </c>
      <c r="G35" s="123">
        <f t="shared" si="14"/>
        <v>2.2795695475017773E-4</v>
      </c>
      <c r="H35" s="123">
        <f t="shared" si="14"/>
        <v>9.2175922072087798E-3</v>
      </c>
      <c r="I35" s="123">
        <f t="shared" si="14"/>
        <v>3.2323841705090336E-3</v>
      </c>
      <c r="J35" s="123">
        <f t="shared" si="14"/>
        <v>2.4508369896390677E-4</v>
      </c>
      <c r="K35" s="130">
        <f t="shared" si="15"/>
        <v>7</v>
      </c>
      <c r="L35" s="131">
        <f>_xll.qlOvernightIndexedSwapFairRate(B35,_xll.ohTrigger(C35,InterestRatesTrigger))</f>
        <v>2.1999999794480071E-4</v>
      </c>
      <c r="N35" s="126">
        <f>N$31*$K35+N$32</f>
        <v>7.9569568053770204E-6</v>
      </c>
      <c r="O35" s="118">
        <f t="shared" si="16"/>
        <v>8.9975922092639798E-3</v>
      </c>
      <c r="P35" s="118">
        <f t="shared" si="16"/>
        <v>3.0123841725642328E-3</v>
      </c>
      <c r="Q35" s="69">
        <f t="shared" si="17"/>
        <v>2.5083701019106039E-5</v>
      </c>
      <c r="R35" s="118"/>
      <c r="S35" s="132" t="s">
        <v>67</v>
      </c>
      <c r="T35" s="118">
        <f t="shared" si="18"/>
        <v>8.9975922092639798E-3</v>
      </c>
      <c r="U35" s="69">
        <f t="shared" si="18"/>
        <v>3.0123841725642328E-3</v>
      </c>
    </row>
    <row r="36" spans="2:21" x14ac:dyDescent="0.2">
      <c r="B36" s="79" t="str">
        <f>_xll.qlMakeDatedOIS(,E36,F36,OvernightIndex,0,,,,EvaluationDate)</f>
        <v>obj_003ce#0001</v>
      </c>
      <c r="C36" s="70" t="b">
        <f>_xll.qlInstrumentSetPricingEngine(B36,OisEngine)</f>
        <v>1</v>
      </c>
      <c r="D36" s="128" t="s">
        <v>68</v>
      </c>
      <c r="E36" s="65">
        <f t="shared" si="13"/>
        <v>41837</v>
      </c>
      <c r="F36" s="129">
        <f>_xll.qlCalendarAdvance(Calendar,SettlementDate,D36,"Following")</f>
        <v>41851</v>
      </c>
      <c r="G36" s="123">
        <f t="shared" si="14"/>
        <v>2.9591391364798862E-4</v>
      </c>
      <c r="H36" s="123">
        <f t="shared" si="14"/>
        <v>8.6326060175238774E-3</v>
      </c>
      <c r="I36" s="123">
        <f t="shared" si="14"/>
        <v>3.2634639107219899E-3</v>
      </c>
      <c r="J36" s="123">
        <f t="shared" si="14"/>
        <v>3.3016740207544664E-4</v>
      </c>
      <c r="K36" s="130">
        <f t="shared" si="15"/>
        <v>14</v>
      </c>
      <c r="L36" s="131">
        <f>_xll.qlOvernightIndexedSwapFairRate(B36,_xll.ohTrigger(C36,InterestRatesTrigger))</f>
        <v>2.8000000003723457E-4</v>
      </c>
      <c r="N36" s="126">
        <f>N$31*$K36+N$32</f>
        <v>1.5913913610754041E-5</v>
      </c>
      <c r="O36" s="118">
        <f t="shared" si="16"/>
        <v>8.3526060174866426E-3</v>
      </c>
      <c r="P36" s="118">
        <f t="shared" si="16"/>
        <v>2.9834639106847555E-3</v>
      </c>
      <c r="Q36" s="69">
        <f t="shared" si="17"/>
        <v>5.0167402038212078E-5</v>
      </c>
      <c r="R36" s="118"/>
      <c r="S36" s="132" t="s">
        <v>68</v>
      </c>
      <c r="T36" s="118">
        <f t="shared" si="18"/>
        <v>8.3526060174866426E-3</v>
      </c>
      <c r="U36" s="69">
        <f t="shared" si="18"/>
        <v>2.9834639106847555E-3</v>
      </c>
    </row>
    <row r="37" spans="2:21" x14ac:dyDescent="0.2">
      <c r="B37" s="133" t="str">
        <f>_xll.qlMakeDatedOIS(,E37,F37,OvernightIndex,0,,,,EvaluationDate)</f>
        <v>obj_003cb#0001</v>
      </c>
      <c r="C37" s="134" t="b">
        <f>_xll.qlInstrumentSetPricingEngine(B37,OisEngine)</f>
        <v>1</v>
      </c>
      <c r="D37" s="135" t="s">
        <v>69</v>
      </c>
      <c r="E37" s="136">
        <f t="shared" si="13"/>
        <v>41837</v>
      </c>
      <c r="F37" s="137">
        <f>_xll.qlCalendarAdvance(Calendar,SettlementDate,D37,"Following")</f>
        <v>41858</v>
      </c>
      <c r="G37" s="138">
        <f t="shared" si="14"/>
        <v>3.0387087041720405E-4</v>
      </c>
      <c r="H37" s="138">
        <f t="shared" si="14"/>
        <v>8.0225443480994533E-3</v>
      </c>
      <c r="I37" s="138">
        <f t="shared" si="14"/>
        <v>3.2354263687352338E-3</v>
      </c>
      <c r="J37" s="138">
        <f t="shared" si="14"/>
        <v>3.5525110305839114E-4</v>
      </c>
      <c r="K37" s="139">
        <f t="shared" si="15"/>
        <v>21</v>
      </c>
      <c r="L37" s="140">
        <f>_xll.qlOvernightIndexedSwapFairRate(B37,_xll.ohTrigger(C37,InterestRatesTrigger))</f>
        <v>2.8000000000107301E-4</v>
      </c>
      <c r="N37" s="141">
        <f>N$31*$K37+N$32</f>
        <v>2.3870870416131061E-5</v>
      </c>
      <c r="O37" s="142">
        <f t="shared" si="16"/>
        <v>7.7425443480983796E-3</v>
      </c>
      <c r="P37" s="142">
        <f t="shared" si="16"/>
        <v>2.9554263687341605E-3</v>
      </c>
      <c r="Q37" s="143">
        <f t="shared" si="17"/>
        <v>7.525110305731812E-5</v>
      </c>
      <c r="R37" s="142"/>
      <c r="S37" s="144" t="s">
        <v>69</v>
      </c>
      <c r="T37" s="142">
        <f t="shared" si="18"/>
        <v>7.7425443480983796E-3</v>
      </c>
      <c r="U37" s="143">
        <f t="shared" si="18"/>
        <v>2.9554263687341605E-3</v>
      </c>
    </row>
    <row r="38" spans="2:21" x14ac:dyDescent="0.2">
      <c r="B38" s="79" t="str">
        <f>_xll.qlMakeDatedOIS(,E38,F38,OvernightIndex,0,,,,EvaluationDate)</f>
        <v>obj_003c8#0001</v>
      </c>
      <c r="C38" s="70" t="b">
        <f>_xll.qlInstrumentSetPricingEngine(B38,OisEngine)</f>
        <v>1</v>
      </c>
      <c r="D38" s="128" t="s">
        <v>62</v>
      </c>
      <c r="E38" s="65">
        <f t="shared" si="13"/>
        <v>41837</v>
      </c>
      <c r="F38" s="129">
        <f>_xll.qlCalendarAdvance(Calendar,SettlementDate,D38,"mf",TRUE)</f>
        <v>41869</v>
      </c>
      <c r="G38" s="145">
        <f t="shared" si="14"/>
        <v>3.363746597136649E-4</v>
      </c>
      <c r="H38" s="145">
        <f t="shared" si="14"/>
        <v>7.1544378006532187E-3</v>
      </c>
      <c r="I38" s="145">
        <f t="shared" si="14"/>
        <v>3.2131508288225025E-3</v>
      </c>
      <c r="J38" s="145">
        <f t="shared" si="14"/>
        <v>4.1466834754785473E-4</v>
      </c>
      <c r="K38" s="124">
        <f t="shared" si="15"/>
        <v>32</v>
      </c>
      <c r="L38" s="131">
        <f>_xll.qlOvernightIndexedSwapFairRate(B38,_xll.ohTrigger(C38,InterestRatesTrigger))</f>
        <v>3.0000000003194138E-4</v>
      </c>
      <c r="N38" s="126">
        <f>N$31*$K38+N$32</f>
        <v>3.6374659681723521E-5</v>
      </c>
      <c r="O38" s="118">
        <f t="shared" si="16"/>
        <v>6.8544378006212773E-3</v>
      </c>
      <c r="P38" s="118">
        <f t="shared" si="16"/>
        <v>2.9131508287905611E-3</v>
      </c>
      <c r="Q38" s="69">
        <f t="shared" si="17"/>
        <v>1.1466834751591332E-4</v>
      </c>
      <c r="R38" s="118"/>
      <c r="S38" s="132" t="s">
        <v>62</v>
      </c>
      <c r="T38" s="118">
        <f t="shared" si="18"/>
        <v>6.8544378006212773E-3</v>
      </c>
      <c r="U38" s="69">
        <f t="shared" si="18"/>
        <v>2.9131508287905611E-3</v>
      </c>
    </row>
    <row r="39" spans="2:21" x14ac:dyDescent="0.2">
      <c r="B39" s="79" t="str">
        <f>_xll.qlMakeDatedOIS(,E39,F39,OvernightIndex,0,,,,EvaluationDate)</f>
        <v>obj_003d6#0001</v>
      </c>
      <c r="C39" s="70" t="b">
        <f>_xll.qlInstrumentSetPricingEngine(B39,OisEngine)</f>
        <v>1</v>
      </c>
      <c r="D39" s="128" t="s">
        <v>70</v>
      </c>
      <c r="E39" s="65">
        <f t="shared" si="13"/>
        <v>41837</v>
      </c>
      <c r="F39" s="129">
        <f>_xll.qlCalendarAdvance(Calendar,SettlementDate,D39,"mf",TRUE)</f>
        <v>41899</v>
      </c>
      <c r="G39" s="146"/>
      <c r="H39" s="123">
        <f t="shared" si="14"/>
        <v>5.260667428024334E-3</v>
      </c>
      <c r="I39" s="123">
        <f t="shared" si="14"/>
        <v>3.198932937512828E-3</v>
      </c>
      <c r="J39" s="123">
        <f t="shared" si="14"/>
        <v>6.1216992331115602E-4</v>
      </c>
      <c r="K39" s="130">
        <f t="shared" si="15"/>
        <v>62</v>
      </c>
      <c r="L39" s="131">
        <f>_xll.qlOvernightIndexedSwapFairRate(B39,_xll.ohTrigger(C39,InterestRatesTrigger))</f>
        <v>3.8999999999907392E-4</v>
      </c>
      <c r="N39" s="146"/>
      <c r="O39" s="118">
        <f t="shared" si="16"/>
        <v>4.8706674280252597E-3</v>
      </c>
      <c r="P39" s="118">
        <f t="shared" si="16"/>
        <v>2.8089329375137542E-3</v>
      </c>
      <c r="Q39" s="69">
        <f t="shared" si="17"/>
        <v>2.2216992331208207E-4</v>
      </c>
      <c r="R39" s="118"/>
      <c r="S39" s="132" t="s">
        <v>70</v>
      </c>
      <c r="T39" s="118">
        <f t="shared" si="18"/>
        <v>4.8706674280252597E-3</v>
      </c>
      <c r="U39" s="69">
        <f t="shared" si="18"/>
        <v>2.8089329375137542E-3</v>
      </c>
    </row>
    <row r="40" spans="2:21" x14ac:dyDescent="0.2">
      <c r="B40" s="79" t="str">
        <f>_xll.qlMakeDatedOIS(,E40,F40,OvernightIndex,0,,,,EvaluationDate)</f>
        <v>obj_003c6#0001</v>
      </c>
      <c r="C40" s="70" t="b">
        <f>_xll.qlInstrumentSetPricingEngine(B40,OisEngine)</f>
        <v>1</v>
      </c>
      <c r="D40" s="128" t="s">
        <v>63</v>
      </c>
      <c r="E40" s="65">
        <f t="shared" si="13"/>
        <v>41837</v>
      </c>
      <c r="F40" s="129">
        <f>_xll.qlCalendarAdvance(Calendar,SettlementDate,D40,"mf",TRUE)</f>
        <v>41929</v>
      </c>
      <c r="G40" s="147"/>
      <c r="H40" s="123">
        <f t="shared" si="14"/>
        <v>3.9783678748207393E-3</v>
      </c>
      <c r="I40" s="123">
        <f t="shared" si="14"/>
        <v>3.1709282694208519E-3</v>
      </c>
      <c r="J40" s="123">
        <f t="shared" si="14"/>
        <v>7.7967149910859225E-4</v>
      </c>
      <c r="K40" s="130">
        <f t="shared" si="15"/>
        <v>92</v>
      </c>
      <c r="L40" s="131">
        <f>_xll.qlOvernightIndexedSwapFairRate(B40,_xll.ohTrigger(C40,InterestRatesTrigger))</f>
        <v>4.5000000000034146E-4</v>
      </c>
      <c r="N40" s="147"/>
      <c r="O40" s="118">
        <f t="shared" si="16"/>
        <v>3.5283678748203977E-3</v>
      </c>
      <c r="P40" s="118">
        <f t="shared" si="16"/>
        <v>2.7209282694205103E-3</v>
      </c>
      <c r="Q40" s="69">
        <f t="shared" si="17"/>
        <v>3.2967149910825079E-4</v>
      </c>
      <c r="R40" s="118"/>
      <c r="S40" s="132" t="s">
        <v>63</v>
      </c>
      <c r="T40" s="118">
        <f t="shared" si="18"/>
        <v>3.5283678748203977E-3</v>
      </c>
      <c r="U40" s="69">
        <f t="shared" si="18"/>
        <v>2.7209282694205103E-3</v>
      </c>
    </row>
    <row r="41" spans="2:21" x14ac:dyDescent="0.2">
      <c r="B41" s="79" t="str">
        <f>_xll.qlMakeDatedOIS(,E41,F41,OvernightIndex,0,,,,EvaluationDate)</f>
        <v>obj_003d8#0001</v>
      </c>
      <c r="C41" s="70" t="b">
        <f>_xll.qlInstrumentSetPricingEngine(B41,OisEngine)</f>
        <v>1</v>
      </c>
      <c r="D41" s="128" t="s">
        <v>71</v>
      </c>
      <c r="E41" s="65">
        <f t="shared" si="13"/>
        <v>41837</v>
      </c>
      <c r="F41" s="129">
        <f>_xll.qlCalendarAdvance(Calendar,SettlementDate,D41,"mf",TRUE)</f>
        <v>41960</v>
      </c>
      <c r="G41" s="148"/>
      <c r="H41" s="149"/>
      <c r="I41" s="123">
        <f t="shared" si="14"/>
        <v>3.1070230043435914E-3</v>
      </c>
      <c r="J41" s="123">
        <f t="shared" si="14"/>
        <v>9.0075646102810497E-4</v>
      </c>
      <c r="K41" s="130">
        <f t="shared" si="15"/>
        <v>123</v>
      </c>
      <c r="L41" s="131">
        <f>_xll.qlOvernightIndexedSwapFairRate(B41,_xll.ohTrigger(C41,InterestRatesTrigger))</f>
        <v>4.6000000026381313E-4</v>
      </c>
      <c r="N41" s="148"/>
      <c r="O41" s="149"/>
      <c r="P41" s="118">
        <f>IF(P$30,U41,P$31*$K41+P$32)</f>
        <v>2.6470230040797783E-3</v>
      </c>
      <c r="Q41" s="69">
        <f t="shared" si="17"/>
        <v>4.4075646076429184E-4</v>
      </c>
      <c r="R41" s="118"/>
      <c r="S41" s="132" t="s">
        <v>71</v>
      </c>
      <c r="T41" s="149"/>
      <c r="U41" s="69">
        <f>$K41*$K41/3*U$30+$K41/2*U$31+U$32</f>
        <v>2.6470230040797783E-3</v>
      </c>
    </row>
    <row r="42" spans="2:21" x14ac:dyDescent="0.2">
      <c r="B42" s="79" t="str">
        <f>_xll.qlMakeDatedOIS(,E42,F42,OvernightIndex,0,,,,EvaluationDate)</f>
        <v>obj_003d4#0001</v>
      </c>
      <c r="C42" s="70" t="b">
        <f>_xll.qlInstrumentSetPricingEngine(B42,OisEngine)</f>
        <v>1</v>
      </c>
      <c r="D42" s="128" t="s">
        <v>72</v>
      </c>
      <c r="E42" s="65">
        <f t="shared" si="13"/>
        <v>41837</v>
      </c>
      <c r="F42" s="129">
        <f>_xll.qlCalendarAdvance(Calendar,SettlementDate,D42,"mf",TRUE)</f>
        <v>41990</v>
      </c>
      <c r="G42" s="148"/>
      <c r="H42" s="150"/>
      <c r="I42" s="123">
        <f t="shared" si="14"/>
        <v>3.0319852231268192E-3</v>
      </c>
      <c r="J42" s="123">
        <f t="shared" si="14"/>
        <v>9.8825803656083519E-4</v>
      </c>
      <c r="K42" s="130">
        <f t="shared" si="15"/>
        <v>153</v>
      </c>
      <c r="L42" s="131">
        <f>_xll.qlOvernightIndexedSwapFairRate(B42,_xll.ohTrigger(C42,InterestRatesTrigger))</f>
        <v>4.4000000000037477E-4</v>
      </c>
      <c r="N42" s="148"/>
      <c r="O42" s="150"/>
      <c r="P42" s="118">
        <f>IF(P$30,U42,P$31*$K42+P$32)</f>
        <v>2.5919852231264442E-3</v>
      </c>
      <c r="Q42" s="69">
        <f t="shared" si="17"/>
        <v>5.4825803656046053E-4</v>
      </c>
      <c r="R42" s="118"/>
      <c r="S42" s="132" t="s">
        <v>72</v>
      </c>
      <c r="T42" s="150"/>
      <c r="U42" s="69">
        <f>$K42*$K42/3*U$30+$K42/2*U$31+U$32</f>
        <v>2.5919852231264442E-3</v>
      </c>
    </row>
    <row r="43" spans="2:21" x14ac:dyDescent="0.2">
      <c r="B43" s="79" t="str">
        <f>_xll.qlMakeDatedOIS(,E43,F43,OvernightIndex,0,,,,EvaluationDate)</f>
        <v>obj_003cd#0001</v>
      </c>
      <c r="C43" s="70" t="b">
        <f>_xll.qlInstrumentSetPricingEngine(B43,OisEngine)</f>
        <v>1</v>
      </c>
      <c r="D43" s="151" t="s">
        <v>64</v>
      </c>
      <c r="E43" s="65">
        <f t="shared" si="13"/>
        <v>41837</v>
      </c>
      <c r="F43" s="129">
        <f>_xll.qlCalendarAdvance(Calendar,SettlementDate,D43,"mf",TRUE)</f>
        <v>42023</v>
      </c>
      <c r="G43" s="148"/>
      <c r="H43" s="150"/>
      <c r="I43" s="123">
        <f t="shared" si="14"/>
        <v>2.9501699368548332E-3</v>
      </c>
      <c r="J43" s="123">
        <f t="shared" si="14"/>
        <v>1.0665097699362881E-3</v>
      </c>
      <c r="K43" s="130">
        <f t="shared" si="15"/>
        <v>186</v>
      </c>
      <c r="L43" s="131">
        <f>_xll.qlOvernightIndexedSwapFairRate(B43,_xll.ohTrigger(C43,InterestRatesTrigger))</f>
        <v>4.0000000000004187E-4</v>
      </c>
      <c r="N43" s="148"/>
      <c r="O43" s="150"/>
      <c r="P43" s="118">
        <f>IF(P$30,U43,P$31*$K43+P$32)</f>
        <v>2.5501699368547914E-3</v>
      </c>
      <c r="Q43" s="69">
        <f t="shared" si="17"/>
        <v>6.6650976993624619E-4</v>
      </c>
      <c r="R43" s="118"/>
      <c r="S43" s="152" t="s">
        <v>64</v>
      </c>
      <c r="T43" s="153"/>
      <c r="U43" s="143">
        <f>$K43*$K43/3*U$30+$K43/2*U$31+U$32</f>
        <v>2.5501699368547914E-3</v>
      </c>
    </row>
    <row r="44" spans="2:21" x14ac:dyDescent="0.2">
      <c r="B44" s="79" t="str">
        <f>_xll.qlMakeDatedOIS(,E44,F44,OvernightIndex,0,,,,EvaluationDate)</f>
        <v>obj_003ca#0001</v>
      </c>
      <c r="C44" s="70" t="b">
        <f>_xll.qlInstrumentSetPricingEngine(B44,OisEngine)</f>
        <v>1</v>
      </c>
      <c r="D44" s="151" t="s">
        <v>73</v>
      </c>
      <c r="E44" s="65">
        <f t="shared" si="13"/>
        <v>41837</v>
      </c>
      <c r="F44" s="129">
        <f>_xll.qlCalendarAdvance(Calendar,SettlementDate,D44,"mf",TRUE)</f>
        <v>42052</v>
      </c>
      <c r="G44" s="148"/>
      <c r="H44" s="154"/>
      <c r="I44" s="149"/>
      <c r="J44" s="123">
        <f t="shared" si="14"/>
        <v>1.1704279598725607E-3</v>
      </c>
      <c r="K44" s="130">
        <f t="shared" si="15"/>
        <v>215</v>
      </c>
      <c r="L44" s="131">
        <f>_xll.qlOvernightIndexedSwapFairRate(B44,_xll.ohTrigger(C44,InterestRatesTrigger))</f>
        <v>4.0000000000001796E-4</v>
      </c>
      <c r="N44" s="155" t="s">
        <v>74</v>
      </c>
      <c r="O44" s="156"/>
      <c r="P44" s="149"/>
      <c r="Q44" s="69">
        <f t="shared" si="17"/>
        <v>7.7042795987254263E-4</v>
      </c>
      <c r="R44" s="118"/>
      <c r="S44" s="118"/>
    </row>
    <row r="45" spans="2:21" x14ac:dyDescent="0.2">
      <c r="B45" s="79" t="str">
        <f>_xll.qlMakeDatedOIS(,E45,F45,OvernightIndex,0,,,,EvaluationDate)</f>
        <v>obj_003d2#0001</v>
      </c>
      <c r="C45" s="70" t="b">
        <f>_xll.qlInstrumentSetPricingEngine(B45,OisEngine)</f>
        <v>1</v>
      </c>
      <c r="D45" s="151" t="s">
        <v>75</v>
      </c>
      <c r="E45" s="65">
        <f t="shared" si="13"/>
        <v>41837</v>
      </c>
      <c r="F45" s="129">
        <f>_xll.qlCalendarAdvance(Calendar,SettlementDate,D45,"mf",TRUE)</f>
        <v>42080</v>
      </c>
      <c r="G45" s="148"/>
      <c r="H45" s="154"/>
      <c r="I45" s="150"/>
      <c r="J45" s="123">
        <f t="shared" si="14"/>
        <v>1.2707627639489557E-3</v>
      </c>
      <c r="K45" s="130">
        <f t="shared" si="15"/>
        <v>243</v>
      </c>
      <c r="L45" s="131">
        <f>_xll.qlOvernightIndexedSwapFairRate(B45,_xll.ohTrigger(C45,InterestRatesTrigger))</f>
        <v>3.9999999999998891E-4</v>
      </c>
      <c r="N45" s="157"/>
      <c r="O45" s="158" t="s">
        <v>76</v>
      </c>
      <c r="P45" s="159"/>
      <c r="Q45" s="69">
        <f t="shared" si="17"/>
        <v>8.7076276394896677E-4</v>
      </c>
      <c r="R45" s="118"/>
      <c r="S45" s="118"/>
    </row>
    <row r="46" spans="2:21" x14ac:dyDescent="0.2">
      <c r="B46" s="79" t="str">
        <f>_xll.qlMakeDatedOIS(,E46,F46,OvernightIndex,0,,,,EvaluationDate)</f>
        <v>obj_003cf#0001</v>
      </c>
      <c r="C46" s="70" t="b">
        <f>_xll.qlInstrumentSetPricingEngine(B46,OisEngine)</f>
        <v>1</v>
      </c>
      <c r="D46" s="151" t="s">
        <v>77</v>
      </c>
      <c r="E46" s="65">
        <f t="shared" si="13"/>
        <v>41837</v>
      </c>
      <c r="F46" s="129">
        <f>_xll.qlCalendarAdvance(Calendar,SettlementDate,D46,"mf",TRUE)</f>
        <v>42111</v>
      </c>
      <c r="G46" s="148"/>
      <c r="H46" s="154"/>
      <c r="I46" s="150"/>
      <c r="J46" s="123">
        <f t="shared" si="14"/>
        <v>1.3718477256049663E-3</v>
      </c>
      <c r="K46" s="130">
        <f t="shared" si="15"/>
        <v>274</v>
      </c>
      <c r="L46" s="131">
        <f>_xll.qlOvernightIndexedSwapFairRate(B46,_xll.ohTrigger(C46,InterestRatesTrigger))</f>
        <v>3.8999999999995852E-4</v>
      </c>
      <c r="N46" s="148"/>
      <c r="O46" s="156"/>
      <c r="P46" s="160" t="s">
        <v>78</v>
      </c>
      <c r="Q46" s="69">
        <f t="shared" si="17"/>
        <v>9.8184772560500782E-4</v>
      </c>
      <c r="R46" s="118"/>
      <c r="S46" s="118"/>
    </row>
    <row r="47" spans="2:21" x14ac:dyDescent="0.2">
      <c r="B47" s="79" t="str">
        <f>_xll.qlMakeDatedOIS(,E47,F47,OvernightIndex,0,,,,EvaluationDate)</f>
        <v>obj_003d0#0001</v>
      </c>
      <c r="C47" s="70" t="b">
        <f>_xll.qlInstrumentSetPricingEngine(B47,OisEngine)</f>
        <v>1</v>
      </c>
      <c r="D47" s="151" t="s">
        <v>79</v>
      </c>
      <c r="E47" s="65">
        <f t="shared" si="13"/>
        <v>41837</v>
      </c>
      <c r="F47" s="129">
        <f>_xll.qlCalendarAdvance(Calendar,SettlementDate,D47,"mf",TRUE)</f>
        <v>42142</v>
      </c>
      <c r="G47" s="148"/>
      <c r="H47" s="154"/>
      <c r="I47" s="150"/>
      <c r="J47" s="123">
        <f t="shared" si="14"/>
        <v>1.4829326872610486E-3</v>
      </c>
      <c r="K47" s="130">
        <f t="shared" si="15"/>
        <v>305</v>
      </c>
      <c r="L47" s="131">
        <f>_xll.qlOvernightIndexedSwapFairRate(B47,_xll.ohTrigger(C47,InterestRatesTrigger))</f>
        <v>3.8999999999999967E-4</v>
      </c>
      <c r="N47" s="148"/>
      <c r="O47" s="154"/>
      <c r="P47" s="150"/>
      <c r="Q47" s="69">
        <f t="shared" si="17"/>
        <v>1.0929326872610489E-3</v>
      </c>
      <c r="R47" s="118"/>
      <c r="S47" s="118"/>
    </row>
    <row r="48" spans="2:21" x14ac:dyDescent="0.2">
      <c r="B48" s="79" t="str">
        <f>_xll.qlMakeDatedOIS(,E48,F48,OvernightIndex,0,,,,EvaluationDate)</f>
        <v>obj_003c9#0001</v>
      </c>
      <c r="C48" s="70" t="b">
        <f>_xll.qlInstrumentSetPricingEngine(B48,OisEngine)</f>
        <v>1</v>
      </c>
      <c r="D48" s="151" t="s">
        <v>80</v>
      </c>
      <c r="E48" s="65">
        <f t="shared" si="13"/>
        <v>41837</v>
      </c>
      <c r="F48" s="129">
        <f>_xll.qlCalendarAdvance(Calendar,SettlementDate,D48,"mf",TRUE)</f>
        <v>42172</v>
      </c>
      <c r="G48" s="148"/>
      <c r="H48" s="154"/>
      <c r="I48" s="150"/>
      <c r="J48" s="123">
        <f t="shared" si="14"/>
        <v>1.5904342630573267E-3</v>
      </c>
      <c r="K48" s="130">
        <f t="shared" si="15"/>
        <v>335</v>
      </c>
      <c r="L48" s="131">
        <f>_xll.qlOvernightIndexedSwapFairRate(B48,_xll.ohTrigger(C48,InterestRatesTrigger))</f>
        <v>3.9000000000010912E-4</v>
      </c>
      <c r="N48" s="148"/>
      <c r="O48" s="154"/>
      <c r="P48" s="150"/>
      <c r="Q48" s="69">
        <f t="shared" si="17"/>
        <v>1.2004342630572175E-3</v>
      </c>
      <c r="R48" s="118"/>
      <c r="S48" s="118"/>
    </row>
    <row r="49" spans="2:19" x14ac:dyDescent="0.2">
      <c r="B49" s="133" t="str">
        <f>_xll.qlMakeDatedOIS(,E49,F49,OvernightIndex,0,,,,EvaluationDate)</f>
        <v>obj_003da#0001</v>
      </c>
      <c r="C49" s="134" t="b">
        <f>_xll.qlInstrumentSetPricingEngine(B49,OisEngine)</f>
        <v>1</v>
      </c>
      <c r="D49" s="151" t="s">
        <v>81</v>
      </c>
      <c r="E49" s="65">
        <f t="shared" si="13"/>
        <v>41837</v>
      </c>
      <c r="F49" s="129">
        <f>_xll.qlCalendarAdvance(Calendar,SettlementDate,D49,"mf",TRUE)</f>
        <v>42202</v>
      </c>
      <c r="G49" s="148"/>
      <c r="H49" s="154"/>
      <c r="I49" s="150"/>
      <c r="J49" s="123">
        <f t="shared" si="14"/>
        <v>1.6879358388535762E-3</v>
      </c>
      <c r="K49" s="130">
        <f t="shared" si="15"/>
        <v>365</v>
      </c>
      <c r="L49" s="131">
        <f>_xll.qlOvernightIndexedSwapFairRate(B49,_xll.ohTrigger(C49,InterestRatesTrigger))</f>
        <v>3.8000000000018992E-4</v>
      </c>
      <c r="N49" s="161"/>
      <c r="O49" s="162"/>
      <c r="P49" s="153"/>
      <c r="Q49" s="143">
        <f t="shared" si="17"/>
        <v>1.3079358388533864E-3</v>
      </c>
      <c r="R49" s="118"/>
      <c r="S49" s="118"/>
    </row>
    <row r="50" spans="2:19" x14ac:dyDescent="0.2">
      <c r="D50" s="106"/>
      <c r="E50" s="106"/>
      <c r="F50" s="106"/>
      <c r="G50" s="106"/>
      <c r="H50" s="106"/>
      <c r="I50" s="106"/>
      <c r="J50" s="106"/>
      <c r="K50" s="106"/>
      <c r="L50" s="106"/>
    </row>
    <row r="51" spans="2:19" x14ac:dyDescent="0.2">
      <c r="N51" s="163"/>
      <c r="O51" s="163"/>
      <c r="P51" s="163"/>
      <c r="Q51" s="163"/>
      <c r="R51" s="163"/>
      <c r="S51" s="163"/>
    </row>
  </sheetData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E3" sqref="E3"/>
    </sheetView>
  </sheetViews>
  <sheetFormatPr defaultRowHeight="11.25" outlineLevelCol="1" x14ac:dyDescent="0.2"/>
  <cols>
    <col min="1" max="1" width="6.6640625" style="195" hidden="1" customWidth="1" outlineLevel="1"/>
    <col min="2" max="3" width="7" style="225" hidden="1" customWidth="1" outlineLevel="1"/>
    <col min="4" max="4" width="6" style="225" customWidth="1" collapsed="1"/>
    <col min="5" max="5" width="31.1640625" style="195" bestFit="1" customWidth="1"/>
    <col min="6" max="6" width="22.5" style="195" bestFit="1" customWidth="1"/>
    <col min="7" max="8" width="9.33203125" style="225" bestFit="1" customWidth="1"/>
    <col min="9" max="10" width="10.5" style="225" bestFit="1" customWidth="1"/>
    <col min="11" max="12" width="20.1640625" style="225" bestFit="1" customWidth="1"/>
    <col min="13" max="13" width="3.1640625" style="195" bestFit="1" customWidth="1"/>
    <col min="14" max="16384" width="9.33203125" style="195"/>
  </cols>
  <sheetData>
    <row r="1" spans="2:13" ht="22.5" x14ac:dyDescent="0.2">
      <c r="B1" s="369" t="s">
        <v>103</v>
      </c>
      <c r="C1" s="370"/>
      <c r="D1" s="370"/>
      <c r="E1" s="193" t="s">
        <v>104</v>
      </c>
      <c r="F1" s="193" t="s">
        <v>105</v>
      </c>
      <c r="G1" s="193" t="s">
        <v>106</v>
      </c>
      <c r="H1" s="193" t="s">
        <v>107</v>
      </c>
      <c r="I1" s="193" t="s">
        <v>108</v>
      </c>
      <c r="J1" s="193" t="s">
        <v>109</v>
      </c>
      <c r="K1" s="193" t="s">
        <v>110</v>
      </c>
      <c r="L1" s="194" t="s">
        <v>111</v>
      </c>
    </row>
    <row r="2" spans="2:13" x14ac:dyDescent="0.2">
      <c r="B2" s="196"/>
      <c r="C2" s="197" t="s">
        <v>32</v>
      </c>
      <c r="D2" s="198" t="s">
        <v>112</v>
      </c>
      <c r="E2" s="265" t="str">
        <f>Contribution!$D$40</f>
        <v>EUR1YD_SYNTH1Y_Quote#0001</v>
      </c>
      <c r="F2" s="265" t="str">
        <f>_xll.qlDepositRateHelper(,E2,$F$10,)</f>
        <v>obj_003c7#0001</v>
      </c>
      <c r="G2" s="199" t="e">
        <f>_xll.qlRateHelperQuoteValue(F2,InterestRatesTrigger)</f>
        <v>#NUM!</v>
      </c>
      <c r="H2" s="200" t="b">
        <v>1</v>
      </c>
      <c r="I2" s="200">
        <v>70</v>
      </c>
      <c r="J2" s="200">
        <v>1</v>
      </c>
      <c r="K2" s="201">
        <f>_xll.qlRateHelperEarliestDate($F2,InterestRatesTrigger)</f>
        <v>41837</v>
      </c>
      <c r="L2" s="202">
        <f>_xll.qlRateHelperLatestDate($F2,InterestRatesTrigger)</f>
        <v>42202</v>
      </c>
    </row>
    <row r="3" spans="2:13" ht="11.25" customHeight="1" x14ac:dyDescent="0.2">
      <c r="B3" s="203">
        <v>12</v>
      </c>
      <c r="C3" s="204" t="s">
        <v>113</v>
      </c>
      <c r="D3" s="204" t="s">
        <v>114</v>
      </c>
      <c r="E3" s="266" t="s">
        <v>115</v>
      </c>
      <c r="F3" s="266" t="str">
        <f>_xll.qlFraRateHelper(,E3,B3&amp;"M",$F$10)</f>
        <v>obj_003d3#0001</v>
      </c>
      <c r="G3" s="205">
        <f>_xll.qlRateHelperQuoteValue(F3,InterestRatesTrigger)</f>
        <v>4.7299999999999998E-3</v>
      </c>
      <c r="H3" s="206" t="b">
        <v>1</v>
      </c>
      <c r="I3" s="206">
        <v>70</v>
      </c>
      <c r="J3" s="206">
        <v>1</v>
      </c>
      <c r="K3" s="207">
        <f>_xll.qlRateHelperEarliestDate($F3,InterestRatesTrigger)</f>
        <v>42202</v>
      </c>
      <c r="L3" s="208">
        <f>_xll.qlRateHelperLatestDate($F3,InterestRatesTrigger)</f>
        <v>42569</v>
      </c>
      <c r="M3" s="209"/>
    </row>
    <row r="4" spans="2:13" x14ac:dyDescent="0.2">
      <c r="B4" s="210" t="s">
        <v>116</v>
      </c>
      <c r="C4" s="211" t="s">
        <v>117</v>
      </c>
      <c r="D4" s="212" t="s">
        <v>118</v>
      </c>
      <c r="E4" s="267" t="s">
        <v>119</v>
      </c>
      <c r="F4" s="267" t="str">
        <f>_xll.qlSwapRateHelper2(,E4,D4,Calendar,"annual","mf","30/360 (Bond Basis)",$F$10,0,"0D",OisCurve)</f>
        <v>obj_003d7#0001</v>
      </c>
      <c r="G4" s="213">
        <f>_xll.qlRateHelperQuoteValue(F4,InterestRatesTrigger)</f>
        <v>5.5100000000000001E-3</v>
      </c>
      <c r="H4" s="214" t="b">
        <v>1</v>
      </c>
      <c r="I4" s="214">
        <v>50</v>
      </c>
      <c r="J4" s="214">
        <v>1</v>
      </c>
      <c r="K4" s="215">
        <f>_xll.qlRateHelperEarliestDate($F4,InterestRatesTrigger)</f>
        <v>41837</v>
      </c>
      <c r="L4" s="216">
        <f>_xll.qlRateHelperLatestDate($F4,InterestRatesTrigger)</f>
        <v>42933</v>
      </c>
    </row>
    <row r="5" spans="2:13" x14ac:dyDescent="0.2">
      <c r="B5" s="217" t="s">
        <v>116</v>
      </c>
      <c r="C5" s="218" t="s">
        <v>117</v>
      </c>
      <c r="D5" s="219" t="s">
        <v>120</v>
      </c>
      <c r="E5" s="268" t="s">
        <v>121</v>
      </c>
      <c r="F5" s="268" t="str">
        <f>_xll.qlSwapRateHelper2(,E5,D5,Calendar,"annual","mf","30/360 (Bond Basis)",$F$10,0,"0D",OisCurve)</f>
        <v>obj_003d5#0001</v>
      </c>
      <c r="G5" s="220">
        <f>_xll.qlRateHelperQuoteValue(F5,InterestRatesTrigger)</f>
        <v>6.8000000000000005E-3</v>
      </c>
      <c r="H5" s="221" t="b">
        <v>1</v>
      </c>
      <c r="I5" s="221">
        <v>50</v>
      </c>
      <c r="J5" s="221">
        <v>1</v>
      </c>
      <c r="K5" s="222">
        <f>_xll.qlRateHelperEarliestDate($F5,InterestRatesTrigger)</f>
        <v>41837</v>
      </c>
      <c r="L5" s="223">
        <f>_xll.qlRateHelperLatestDate($F5,InterestRatesTrigger)</f>
        <v>43298</v>
      </c>
    </row>
    <row r="6" spans="2:13" x14ac:dyDescent="0.2">
      <c r="B6" s="224" t="s">
        <v>116</v>
      </c>
      <c r="C6" s="197" t="s">
        <v>117</v>
      </c>
      <c r="D6" s="198" t="s">
        <v>122</v>
      </c>
      <c r="E6" s="265" t="s">
        <v>123</v>
      </c>
      <c r="F6" s="265" t="str">
        <f>_xll.qlSwapRateHelper2(,E6,D6,Calendar,"annual","mf","30/360 (Bond Basis)",$F$10,0,"0D",OisCurve)</f>
        <v>obj_003cc#0001</v>
      </c>
      <c r="G6" s="199">
        <f>_xll.qlRateHelperQuoteValue(F6,InterestRatesTrigger)</f>
        <v>8.4499999999999992E-3</v>
      </c>
      <c r="H6" s="200" t="b">
        <v>1</v>
      </c>
      <c r="I6" s="200">
        <v>50</v>
      </c>
      <c r="J6" s="200">
        <v>1</v>
      </c>
      <c r="K6" s="201">
        <f>_xll.qlRateHelperEarliestDate($F6,InterestRatesTrigger)</f>
        <v>41837</v>
      </c>
      <c r="L6" s="202">
        <f>_xll.qlRateHelperLatestDate($F6,InterestRatesTrigger)</f>
        <v>43663</v>
      </c>
    </row>
    <row r="10" spans="2:13" x14ac:dyDescent="0.2">
      <c r="F10" s="195" t="str">
        <f>_xll.qlEuribor(,IborTenor,,,EvaluationDate)</f>
        <v>obj_00399#0001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P127"/>
  <sheetViews>
    <sheetView zoomScaleNormal="100" workbookViewId="0"/>
  </sheetViews>
  <sheetFormatPr defaultRowHeight="11.25" outlineLevelCol="1" x14ac:dyDescent="0.2"/>
  <cols>
    <col min="1" max="1" width="17.6640625" style="225" bestFit="1" customWidth="1"/>
    <col min="2" max="2" width="9.33203125" style="225" bestFit="1" customWidth="1"/>
    <col min="3" max="4" width="20.1640625" style="225" bestFit="1" customWidth="1"/>
    <col min="5" max="5" width="11.6640625" style="195" bestFit="1" customWidth="1"/>
    <col min="6" max="6" width="7.33203125" style="195" customWidth="1"/>
    <col min="7" max="7" width="20.1640625" style="195" hidden="1" customWidth="1" outlineLevel="1"/>
    <col min="8" max="8" width="17.6640625" style="195" hidden="1" customWidth="1" outlineLevel="1"/>
    <col min="9" max="9" width="20.1640625" style="195" customWidth="1" collapsed="1"/>
    <col min="10" max="10" width="20.1640625" style="195" customWidth="1"/>
    <col min="11" max="12" width="9.33203125" style="195" bestFit="1" customWidth="1"/>
    <col min="13" max="13" width="10.5" style="195" bestFit="1" customWidth="1"/>
    <col min="14" max="14" width="9.33203125" style="195" customWidth="1"/>
    <col min="15" max="15" width="17.6640625" style="195" bestFit="1" customWidth="1"/>
    <col min="16" max="16384" width="9.33203125" style="195"/>
  </cols>
  <sheetData>
    <row r="1" spans="1:16" ht="22.5" x14ac:dyDescent="0.2">
      <c r="A1" s="226" t="s">
        <v>124</v>
      </c>
      <c r="B1" s="193" t="s">
        <v>125</v>
      </c>
      <c r="C1" s="193" t="s">
        <v>110</v>
      </c>
      <c r="D1" s="194" t="s">
        <v>111</v>
      </c>
      <c r="E1" s="227" t="s">
        <v>125</v>
      </c>
      <c r="F1" s="227"/>
      <c r="G1" s="227" t="s">
        <v>126</v>
      </c>
      <c r="H1" s="227"/>
      <c r="I1" s="227" t="s">
        <v>127</v>
      </c>
      <c r="J1" s="227" t="s">
        <v>128</v>
      </c>
      <c r="K1" s="227" t="s">
        <v>129</v>
      </c>
      <c r="L1" s="227" t="s">
        <v>45</v>
      </c>
      <c r="M1" s="227" t="s">
        <v>130</v>
      </c>
      <c r="N1" s="227" t="s">
        <v>131</v>
      </c>
    </row>
    <row r="2" spans="1:16" x14ac:dyDescent="0.2">
      <c r="A2" s="228"/>
      <c r="B2" s="229"/>
      <c r="C2" s="230"/>
      <c r="D2" s="231">
        <f>SettlementDate</f>
        <v>41837</v>
      </c>
      <c r="E2" s="232" t="e">
        <f t="array" ref="E2:E127">_xll.qlPiecewiseYieldCurveData(YieldCurve,InterestRatesTrigger)</f>
        <v>#NUM!</v>
      </c>
      <c r="F2" s="195">
        <v>0</v>
      </c>
      <c r="G2" s="233">
        <f>_xll.qlInterestRateIndexFixingDate(IborIndex,I2)</f>
        <v>41835</v>
      </c>
      <c r="H2" s="195" t="str">
        <f>_xll.qlMakeDatedOIS(,I2,J2,OvernightIndex,0,"Act/360",0)</f>
        <v>obj_00410#0001</v>
      </c>
      <c r="I2" s="233">
        <f>_xll.qlCalendarAdvance(Calendar,$D$2,F2&amp;"M","mf")</f>
        <v>41837</v>
      </c>
      <c r="J2" s="233">
        <f>_xll.qlInterestRateIndexMaturity(IborIndex,I2)</f>
        <v>42202</v>
      </c>
      <c r="K2" s="232" t="e">
        <f>_xll.qlIndexFixing(IborIndex,G2,TRUE,InterestRatesTrigger)</f>
        <v>#NUM!</v>
      </c>
      <c r="L2" s="232">
        <f>_xll.qlOvernightIndexedSwapFairRate(H2,Contribution!$P$25)</f>
        <v>3.8000000000018992E-4</v>
      </c>
      <c r="M2" s="209" t="e">
        <f>ROUND(K2-L2,6)</f>
        <v>#NUM!</v>
      </c>
      <c r="N2" s="232"/>
      <c r="O2" s="195" t="str">
        <f>_xll.qlSimpleQuote(,,,,EvaluationDate)</f>
        <v>obj_003b4#0001</v>
      </c>
      <c r="P2" s="232" t="e">
        <f>_xll.qlSimpleQuoteSetValue(O2,M2)</f>
        <v>#NUM!</v>
      </c>
    </row>
    <row r="3" spans="1:16" x14ac:dyDescent="0.2">
      <c r="A3" s="234" t="str">
        <f>RateHelpersFra!F2</f>
        <v>obj_003c7#0001</v>
      </c>
      <c r="B3" s="235" t="e">
        <f>_xll.qlRateHelperRate($A3,InterestRatesTrigger)</f>
        <v>#NUM!</v>
      </c>
      <c r="C3" s="236">
        <f>_xll.qlRateHelperEarliestDate($A3)</f>
        <v>41837</v>
      </c>
      <c r="D3" s="231">
        <f>_xll.qlRateHelperLatestDate($A3)</f>
        <v>42202</v>
      </c>
      <c r="E3" s="232" t="e">
        <v>#NUM!</v>
      </c>
      <c r="F3" s="195">
        <v>12</v>
      </c>
      <c r="G3" s="233">
        <f>_xll.qlInterestRateIndexFixingDate(IborIndex,I3)</f>
        <v>42200</v>
      </c>
      <c r="H3" s="195" t="str">
        <f>_xll.qlMakeDatedOIS(,I3,J3,OvernightIndex,0,"Act/360",0)</f>
        <v>obj_003f5#0001</v>
      </c>
      <c r="I3" s="233">
        <f>_xll.qlCalendarAdvance(Calendar,$D$2,F3&amp;"M","mf")</f>
        <v>42202</v>
      </c>
      <c r="J3" s="233">
        <f>_xll.qlInterestRateIndexMaturity(IborIndex,I3)</f>
        <v>42569</v>
      </c>
      <c r="K3" s="232" t="e">
        <f>_xll.qlIndexFixing(IborIndex,G3,TRUE,InterestRatesTrigger)</f>
        <v>#NUM!</v>
      </c>
      <c r="L3" s="232">
        <f>_xll.qlOvernightIndexedSwapFairRate(H3,Contribution!$P$25)</f>
        <v>7.9902571172009624E-4</v>
      </c>
      <c r="M3" s="209" t="e">
        <f>ROUND(K3-L3,6)</f>
        <v>#NUM!</v>
      </c>
      <c r="N3" s="232"/>
      <c r="O3" s="195" t="str">
        <f>_xll.qlSimpleQuote(,,,,EvaluationDate)</f>
        <v>obj_003ac#0001</v>
      </c>
      <c r="P3" s="232" t="e">
        <f>_xll.qlSimpleQuoteSetValue(O3,M3)</f>
        <v>#NUM!</v>
      </c>
    </row>
    <row r="4" spans="1:16" x14ac:dyDescent="0.2">
      <c r="A4" s="234" t="str">
        <f>RateHelpersFra!F3</f>
        <v>obj_003d3#0001</v>
      </c>
      <c r="B4" s="235">
        <f>_xll.qlRateHelperRate($A4,InterestRatesTrigger)</f>
        <v>4.7299999999999998E-3</v>
      </c>
      <c r="C4" s="236">
        <f>_xll.qlRateHelperEarliestDate($A4)</f>
        <v>42202</v>
      </c>
      <c r="D4" s="231">
        <f>_xll.qlRateHelperLatestDate($A4)</f>
        <v>42569</v>
      </c>
      <c r="E4" s="232" t="e">
        <v>#NUM!</v>
      </c>
      <c r="F4" s="195">
        <v>24</v>
      </c>
      <c r="G4" s="233">
        <f>_xll.qlInterestRateIndexFixingDate(IborIndex,I4)</f>
        <v>42565</v>
      </c>
      <c r="H4" s="195" t="str">
        <f>_xll.qlMakeDatedOIS(,I4,J4,OvernightIndex,0,"Act/360",0)</f>
        <v>obj_00413#0001</v>
      </c>
      <c r="I4" s="233">
        <f>_xll.qlCalendarAdvance(Calendar,$D$2,F4&amp;"M","mf")</f>
        <v>42569</v>
      </c>
      <c r="J4" s="233">
        <f>_xll.qlInterestRateIndexMaturity(IborIndex,I4)</f>
        <v>42934</v>
      </c>
      <c r="K4" s="232" t="e">
        <f>_xll.qlIndexFixing(IborIndex,G4,TRUE,InterestRatesTrigger)</f>
        <v>#NUM!</v>
      </c>
      <c r="L4" s="232">
        <f>_xll.qlOvernightIndexedSwapFairRate(H4,Contribution!$P$25)</f>
        <v>2.6154794251816034E-3</v>
      </c>
      <c r="M4" s="209" t="e">
        <f>ROUND(K4-L4,6)</f>
        <v>#NUM!</v>
      </c>
      <c r="N4" s="232"/>
      <c r="O4" s="195" t="str">
        <f>_xll.qlSimpleQuote(,,,,EvaluationDate)</f>
        <v>obj_0039f#0001</v>
      </c>
      <c r="P4" s="232" t="e">
        <f>_xll.qlSimpleQuoteSetValue(O4,M4)</f>
        <v>#NUM!</v>
      </c>
    </row>
    <row r="5" spans="1:16" x14ac:dyDescent="0.2">
      <c r="A5" s="234" t="str">
        <f>RateHelpersFra!F4</f>
        <v>obj_003d7#0001</v>
      </c>
      <c r="B5" s="235">
        <f>_xll.qlRateHelperRate($A5,InterestRatesTrigger)</f>
        <v>5.5100000000000001E-3</v>
      </c>
      <c r="C5" s="236">
        <f>_xll.qlRateHelperEarliestDate($A5)</f>
        <v>41837</v>
      </c>
      <c r="D5" s="231">
        <f>_xll.qlRateHelperLatestDate($A5)</f>
        <v>42933</v>
      </c>
      <c r="E5" s="232" t="e">
        <v>#NUM!</v>
      </c>
      <c r="F5" s="195">
        <v>36</v>
      </c>
      <c r="G5" s="233">
        <f>_xll.qlInterestRateIndexFixingDate(IborIndex,I5)</f>
        <v>42929</v>
      </c>
      <c r="H5" s="195" t="str">
        <f>_xll.qlMakeDatedOIS(,I5,J5,OvernightIndex,0,"Act/360",0)</f>
        <v>obj_0041a#0001</v>
      </c>
      <c r="I5" s="233">
        <f>_xll.qlCalendarAdvance(Calendar,$D$2,F5&amp;"M","mf")</f>
        <v>42933</v>
      </c>
      <c r="J5" s="233">
        <f>_xll.qlInterestRateIndexMaturity(IborIndex,I5)</f>
        <v>43298</v>
      </c>
      <c r="K5" s="232" t="e">
        <f>_xll.qlIndexFixing(IborIndex,G5,TRUE,InterestRatesTrigger)</f>
        <v>#NUM!</v>
      </c>
      <c r="L5" s="232">
        <f>_xll.qlOvernightIndexedSwapFairRate(H5,Contribution!$P$25)</f>
        <v>5.9716710878787776E-3</v>
      </c>
      <c r="M5" s="209" t="e">
        <f>ROUND(K5-L5,6)</f>
        <v>#NUM!</v>
      </c>
      <c r="N5" s="232"/>
      <c r="O5" s="195" t="str">
        <f>_xll.qlSimpleQuote(,,,,EvaluationDate)</f>
        <v>obj_003aa#0001</v>
      </c>
      <c r="P5" s="232" t="e">
        <f>_xll.qlSimpleQuoteSetValue(O5,M5)</f>
        <v>#NUM!</v>
      </c>
    </row>
    <row r="6" spans="1:16" x14ac:dyDescent="0.2">
      <c r="A6" s="234" t="str">
        <f>RateHelpersFra!F5</f>
        <v>obj_003d5#0001</v>
      </c>
      <c r="B6" s="235">
        <f>_xll.qlRateHelperRate($A6,InterestRatesTrigger)</f>
        <v>6.8000000000000005E-3</v>
      </c>
      <c r="C6" s="236">
        <f>_xll.qlRateHelperEarliestDate($A6)</f>
        <v>41837</v>
      </c>
      <c r="D6" s="231">
        <f>_xll.qlRateHelperLatestDate($A6)</f>
        <v>43298</v>
      </c>
      <c r="E6" s="232" t="e">
        <v>#NUM!</v>
      </c>
      <c r="F6" s="195">
        <v>48</v>
      </c>
      <c r="G6" s="233">
        <f>_xll.qlInterestRateIndexFixingDate(IborIndex,I6)</f>
        <v>43294</v>
      </c>
      <c r="H6" s="195" t="str">
        <f>_xll.qlMakeDatedOIS(,I6,J6,OvernightIndex,0,"Act/360",0)</f>
        <v>obj_00406#0001</v>
      </c>
      <c r="I6" s="233">
        <f>_xll.qlCalendarAdvance(Calendar,$D$2,F6&amp;"M","mf")</f>
        <v>43298</v>
      </c>
      <c r="J6" s="233">
        <f>_xll.qlInterestRateIndexMaturity(IborIndex,I6)</f>
        <v>43663</v>
      </c>
      <c r="K6" s="232" t="e">
        <f>_xll.qlIndexFixing(IborIndex,G6,TRUE,InterestRatesTrigger)</f>
        <v>#NUM!</v>
      </c>
      <c r="L6" s="232">
        <f>_xll.qlOvernightIndexedSwapFairRate(H6,Contribution!$P$25)</f>
        <v>1.0236049178791033E-2</v>
      </c>
      <c r="M6" s="209" t="e">
        <f>ROUND(K6-L6,6)</f>
        <v>#NUM!</v>
      </c>
      <c r="N6" s="232"/>
      <c r="O6" s="195" t="str">
        <f>_xll.qlSimpleQuote(,,,,EvaluationDate)</f>
        <v>obj_003b5#0001</v>
      </c>
      <c r="P6" s="232" t="e">
        <f>_xll.qlSimpleQuoteSetValue(O6,M6)</f>
        <v>#NUM!</v>
      </c>
    </row>
    <row r="7" spans="1:16" x14ac:dyDescent="0.2">
      <c r="A7" s="234" t="str">
        <f>RateHelpersFra!F6</f>
        <v>obj_003cc#0001</v>
      </c>
      <c r="B7" s="235">
        <f>_xll.qlRateHelperRate($A7,InterestRatesTrigger)</f>
        <v>8.4499999999999992E-3</v>
      </c>
      <c r="C7" s="236">
        <f>_xll.qlRateHelperEarliestDate($A7)</f>
        <v>41837</v>
      </c>
      <c r="D7" s="231">
        <f>_xll.qlRateHelperLatestDate($A7)</f>
        <v>43663</v>
      </c>
      <c r="E7" s="232" t="e">
        <v>#NUM!</v>
      </c>
      <c r="G7" s="233"/>
      <c r="I7" s="233"/>
      <c r="J7" s="233"/>
      <c r="K7" s="232"/>
      <c r="L7" s="232"/>
      <c r="M7" s="209"/>
    </row>
    <row r="8" spans="1:16" x14ac:dyDescent="0.2">
      <c r="A8" s="234"/>
      <c r="B8" s="235"/>
      <c r="C8" s="236"/>
      <c r="D8" s="231"/>
      <c r="E8" s="232" t="e">
        <v>#NUM!</v>
      </c>
      <c r="F8" s="195">
        <v>1</v>
      </c>
      <c r="G8" s="233">
        <f>_xll.qlInterestRateIndexFixingDate(IborIndex,I8)</f>
        <v>41865</v>
      </c>
      <c r="H8" s="195" t="str">
        <f>_xll.qlMakeDatedOIS(,I8,J8,OvernightIndex,0,"Act/360",0)</f>
        <v>obj_00407#0001</v>
      </c>
      <c r="I8" s="233">
        <f>_xll.qlCalendarAdvance(Calendar,$D$2,F8&amp;"M","mf")</f>
        <v>41869</v>
      </c>
      <c r="J8" s="233">
        <f>_xll.qlInterestRateIndexMaturity(IborIndex,I8)</f>
        <v>42234</v>
      </c>
      <c r="L8" s="232">
        <f>_xll.qlOvernightIndexedSwapFairRate(H8,_xll.ohTrigger($P$2:$P$6))</f>
        <v>3.8618442947808875E-4</v>
      </c>
      <c r="M8" s="209" t="e">
        <f>_xll.qlInterpolationInterpolate(BasisInterpolator,I8,,L8)</f>
        <v>#NUM!</v>
      </c>
      <c r="N8" s="232" t="e">
        <f>L8+M8</f>
        <v>#NUM!</v>
      </c>
    </row>
    <row r="9" spans="1:16" x14ac:dyDescent="0.2">
      <c r="A9" s="234"/>
      <c r="B9" s="235"/>
      <c r="C9" s="236"/>
      <c r="D9" s="231"/>
      <c r="E9" s="232" t="e">
        <v>#NUM!</v>
      </c>
      <c r="F9" s="195">
        <v>2</v>
      </c>
      <c r="G9" s="233">
        <f>_xll.qlInterestRateIndexFixingDate(IborIndex,I9)</f>
        <v>41897</v>
      </c>
      <c r="H9" s="195" t="str">
        <f>_xll.qlMakeDatedOIS(,I9,J9,OvernightIndex,0,"Act/360",0)</f>
        <v>obj_003f8#0001</v>
      </c>
      <c r="I9" s="233">
        <f>_xll.qlCalendarAdvance(Calendar,$D$2,F9&amp;"M","mf")</f>
        <v>41899</v>
      </c>
      <c r="J9" s="233">
        <f>_xll.qlInterestRateIndexMaturity(IborIndex,I9)</f>
        <v>42264</v>
      </c>
      <c r="L9" s="232">
        <f>_xll.qlOvernightIndexedSwapFairRate(H9,_xll.ohTrigger($P$2:$P$6))</f>
        <v>3.869987404912291E-4</v>
      </c>
      <c r="M9" s="209" t="e">
        <f>_xll.qlInterpolationInterpolate(BasisInterpolator,I9,,L9)</f>
        <v>#NUM!</v>
      </c>
      <c r="N9" s="232" t="e">
        <f t="shared" ref="N9:N51" si="0">L9+M9</f>
        <v>#NUM!</v>
      </c>
    </row>
    <row r="10" spans="1:16" x14ac:dyDescent="0.2">
      <c r="A10" s="234"/>
      <c r="B10" s="235"/>
      <c r="C10" s="236"/>
      <c r="D10" s="231"/>
      <c r="E10" s="232" t="e">
        <v>#NUM!</v>
      </c>
      <c r="F10" s="195">
        <v>3</v>
      </c>
      <c r="G10" s="233">
        <f>_xll.qlInterestRateIndexFixingDate(IborIndex,I10)</f>
        <v>41927</v>
      </c>
      <c r="H10" s="195" t="str">
        <f>_xll.qlMakeDatedOIS(,I10,J10,OvernightIndex,0,"Act/360",0)</f>
        <v>obj_00404#0001</v>
      </c>
      <c r="I10" s="233">
        <f>_xll.qlCalendarAdvance(Calendar,$D$2,F10&amp;"M","mf")</f>
        <v>41929</v>
      </c>
      <c r="J10" s="233">
        <f>_xll.qlInterestRateIndexMaturity(IborIndex,I10)</f>
        <v>42296</v>
      </c>
      <c r="L10" s="232">
        <f>_xll.qlOvernightIndexedSwapFairRate(H10,_xll.ohTrigger($P$2:$P$6))</f>
        <v>3.8747099870415947E-4</v>
      </c>
      <c r="M10" s="209" t="e">
        <f>_xll.qlInterpolationInterpolate(BasisInterpolator,I10,,L10)</f>
        <v>#NUM!</v>
      </c>
      <c r="N10" s="232" t="e">
        <f t="shared" si="0"/>
        <v>#NUM!</v>
      </c>
    </row>
    <row r="11" spans="1:16" x14ac:dyDescent="0.2">
      <c r="A11" s="234"/>
      <c r="B11" s="235"/>
      <c r="C11" s="236"/>
      <c r="D11" s="231"/>
      <c r="E11" s="232" t="e">
        <v>#NUM!</v>
      </c>
      <c r="F11" s="195">
        <v>4</v>
      </c>
      <c r="G11" s="233">
        <f>_xll.qlInterestRateIndexFixingDate(IborIndex,I11)</f>
        <v>41956</v>
      </c>
      <c r="H11" s="195" t="str">
        <f>_xll.qlMakeDatedOIS(,I11,J11,OvernightIndex,0,"Act/360",0)</f>
        <v>obj_003f6#0001</v>
      </c>
      <c r="I11" s="233">
        <f>_xll.qlCalendarAdvance(Calendar,$D$2,F11&amp;"M","mf")</f>
        <v>41960</v>
      </c>
      <c r="J11" s="233">
        <f>_xll.qlInterestRateIndexMaturity(IborIndex,I11)</f>
        <v>42325</v>
      </c>
      <c r="L11" s="232">
        <f>_xll.qlOvernightIndexedSwapFairRate(H11,_xll.ohTrigger($P$2:$P$6))</f>
        <v>3.9551636693254213E-4</v>
      </c>
      <c r="M11" s="209" t="e">
        <f>_xll.qlInterpolationInterpolate(BasisInterpolator,I11,,L11)</f>
        <v>#NUM!</v>
      </c>
      <c r="N11" s="232" t="e">
        <f t="shared" si="0"/>
        <v>#NUM!</v>
      </c>
    </row>
    <row r="12" spans="1:16" x14ac:dyDescent="0.2">
      <c r="A12" s="234"/>
      <c r="B12" s="235"/>
      <c r="C12" s="236"/>
      <c r="D12" s="231"/>
      <c r="E12" s="232" t="e">
        <v>#NUM!</v>
      </c>
      <c r="F12" s="195">
        <v>5</v>
      </c>
      <c r="G12" s="233">
        <f>_xll.qlInterestRateIndexFixingDate(IborIndex,I12)</f>
        <v>41988</v>
      </c>
      <c r="H12" s="195" t="str">
        <f>_xll.qlMakeDatedOIS(,I12,J12,OvernightIndex,0,"Act/360",0)</f>
        <v>obj_003ff#0001</v>
      </c>
      <c r="I12" s="233">
        <f>_xll.qlCalendarAdvance(Calendar,$D$2,F12&amp;"M","mf")</f>
        <v>41990</v>
      </c>
      <c r="J12" s="233">
        <f>_xll.qlInterestRateIndexMaturity(IborIndex,I12)</f>
        <v>42355</v>
      </c>
      <c r="L12" s="232">
        <f>_xll.qlOvernightIndexedSwapFairRate(H12,_xll.ohTrigger($P$2:$P$6))</f>
        <v>4.1813929916517895E-4</v>
      </c>
      <c r="M12" s="209" t="e">
        <f>_xll.qlInterpolationInterpolate(BasisInterpolator,I12,,L12)</f>
        <v>#NUM!</v>
      </c>
      <c r="N12" s="232" t="e">
        <f t="shared" si="0"/>
        <v>#NUM!</v>
      </c>
    </row>
    <row r="13" spans="1:16" x14ac:dyDescent="0.2">
      <c r="A13" s="234"/>
      <c r="B13" s="235"/>
      <c r="C13" s="236"/>
      <c r="D13" s="231"/>
      <c r="E13" s="232" t="e">
        <v>#NUM!</v>
      </c>
      <c r="F13" s="195">
        <v>6</v>
      </c>
      <c r="G13" s="233">
        <f>_xll.qlInterestRateIndexFixingDate(IborIndex,I13)</f>
        <v>42019</v>
      </c>
      <c r="H13" s="195" t="str">
        <f>_xll.qlMakeDatedOIS(,I13,J13,OvernightIndex,0,"Act/360",0)</f>
        <v>obj_003fe#0001</v>
      </c>
      <c r="I13" s="233">
        <f>_xll.qlCalendarAdvance(Calendar,$D$2,F13&amp;"M","mf")</f>
        <v>42023</v>
      </c>
      <c r="J13" s="233">
        <f>_xll.qlInterestRateIndexMaturity(IborIndex,I13)</f>
        <v>42388</v>
      </c>
      <c r="L13" s="232">
        <f>_xll.qlOvernightIndexedSwapFairRate(H13,_xll.ohTrigger($P$2:$P$6))</f>
        <v>4.6120110328264362E-4</v>
      </c>
      <c r="M13" s="209" t="e">
        <f>_xll.qlInterpolationInterpolate(BasisInterpolator,I13,,L13)</f>
        <v>#NUM!</v>
      </c>
      <c r="N13" s="232" t="e">
        <f t="shared" si="0"/>
        <v>#NUM!</v>
      </c>
    </row>
    <row r="14" spans="1:16" x14ac:dyDescent="0.2">
      <c r="A14" s="234"/>
      <c r="B14" s="235"/>
      <c r="C14" s="236"/>
      <c r="D14" s="231"/>
      <c r="E14" s="232" t="e">
        <v>#NUM!</v>
      </c>
      <c r="F14" s="195">
        <v>7</v>
      </c>
      <c r="G14" s="233">
        <f>_xll.qlInterestRateIndexFixingDate(IborIndex,I14)</f>
        <v>42048</v>
      </c>
      <c r="H14" s="195" t="str">
        <f>_xll.qlMakeDatedOIS(,I14,J14,OvernightIndex,0,"Act/360",0)</f>
        <v>obj_0040a#0001</v>
      </c>
      <c r="I14" s="233">
        <f>_xll.qlCalendarAdvance(Calendar,$D$2,F14&amp;"M","mf")</f>
        <v>42052</v>
      </c>
      <c r="J14" s="233">
        <f>_xll.qlInterestRateIndexMaturity(IborIndex,I14)</f>
        <v>42417</v>
      </c>
      <c r="L14" s="232">
        <f>_xll.qlOvernightIndexedSwapFairRate(H14,_xll.ohTrigger($P$2:$P$6))</f>
        <v>4.9033331908880293E-4</v>
      </c>
      <c r="M14" s="209" t="e">
        <f>_xll.qlInterpolationInterpolate(BasisInterpolator,I14,,L14)</f>
        <v>#NUM!</v>
      </c>
      <c r="N14" s="232" t="e">
        <f t="shared" si="0"/>
        <v>#NUM!</v>
      </c>
    </row>
    <row r="15" spans="1:16" x14ac:dyDescent="0.2">
      <c r="A15" s="234"/>
      <c r="B15" s="235"/>
      <c r="C15" s="236"/>
      <c r="D15" s="231"/>
      <c r="E15" s="232" t="e">
        <v>#NUM!</v>
      </c>
      <c r="F15" s="195">
        <v>8</v>
      </c>
      <c r="G15" s="233">
        <f>_xll.qlInterestRateIndexFixingDate(IborIndex,I15)</f>
        <v>42076</v>
      </c>
      <c r="H15" s="195" t="str">
        <f>_xll.qlMakeDatedOIS(,I15,J15,OvernightIndex,0,"Act/360",0)</f>
        <v>obj_00402#0001</v>
      </c>
      <c r="I15" s="233">
        <f>_xll.qlCalendarAdvance(Calendar,$D$2,F15&amp;"M","mf")</f>
        <v>42080</v>
      </c>
      <c r="J15" s="233">
        <f>_xll.qlInterestRateIndexMaturity(IborIndex,I15)</f>
        <v>42446</v>
      </c>
      <c r="L15" s="232">
        <f>_xll.qlOvernightIndexedSwapFairRate(H15,_xll.ohTrigger($P$2:$P$6))</f>
        <v>5.2605429373450024E-4</v>
      </c>
      <c r="M15" s="209" t="e">
        <f>_xll.qlInterpolationInterpolate(BasisInterpolator,I15,,L15)</f>
        <v>#NUM!</v>
      </c>
      <c r="N15" s="232" t="e">
        <f t="shared" si="0"/>
        <v>#NUM!</v>
      </c>
    </row>
    <row r="16" spans="1:16" x14ac:dyDescent="0.2">
      <c r="A16" s="234"/>
      <c r="B16" s="235"/>
      <c r="C16" s="236"/>
      <c r="D16" s="231"/>
      <c r="E16" s="232" t="e">
        <v>#NUM!</v>
      </c>
      <c r="F16" s="195">
        <v>9</v>
      </c>
      <c r="G16" s="233">
        <f>_xll.qlInterestRateIndexFixingDate(IborIndex,I16)</f>
        <v>42109</v>
      </c>
      <c r="H16" s="195" t="str">
        <f>_xll.qlMakeDatedOIS(,I16,J16,OvernightIndex,0,"Act/360",0)</f>
        <v>obj_003f2#0001</v>
      </c>
      <c r="I16" s="233">
        <f>_xll.qlCalendarAdvance(Calendar,$D$2,F16&amp;"M","mf")</f>
        <v>42111</v>
      </c>
      <c r="J16" s="233">
        <f>_xll.qlInterestRateIndexMaturity(IborIndex,I16)</f>
        <v>42478</v>
      </c>
      <c r="L16" s="232">
        <f>_xll.qlOvernightIndexedSwapFairRate(H16,_xll.ohTrigger($P$2:$P$6))</f>
        <v>5.8220367767620616E-4</v>
      </c>
      <c r="M16" s="209" t="e">
        <f>_xll.qlInterpolationInterpolate(BasisInterpolator,I16,,L16)</f>
        <v>#NUM!</v>
      </c>
      <c r="N16" s="232" t="e">
        <f t="shared" si="0"/>
        <v>#NUM!</v>
      </c>
    </row>
    <row r="17" spans="1:14" x14ac:dyDescent="0.2">
      <c r="A17" s="234"/>
      <c r="B17" s="235"/>
      <c r="C17" s="236"/>
      <c r="D17" s="231"/>
      <c r="E17" s="232" t="e">
        <v>#NUM!</v>
      </c>
      <c r="F17" s="195">
        <v>10</v>
      </c>
      <c r="G17" s="233">
        <f>_xll.qlInterestRateIndexFixingDate(IborIndex,I17)</f>
        <v>42138</v>
      </c>
      <c r="H17" s="195" t="str">
        <f>_xll.qlMakeDatedOIS(,I17,J17,OvernightIndex,0,"Act/360",0)</f>
        <v>obj_00403#0001</v>
      </c>
      <c r="I17" s="233">
        <f>_xll.qlCalendarAdvance(Calendar,$D$2,F17&amp;"M","mf")</f>
        <v>42142</v>
      </c>
      <c r="J17" s="233">
        <f>_xll.qlInterestRateIndexMaturity(IborIndex,I17)</f>
        <v>42508</v>
      </c>
      <c r="L17" s="232">
        <f>_xll.qlOvernightIndexedSwapFairRate(H17,_xll.ohTrigger($P$2:$P$6))</f>
        <v>6.3993839362461039E-4</v>
      </c>
      <c r="M17" s="209" t="e">
        <f>_xll.qlInterpolationInterpolate(BasisInterpolator,I17,,L17)</f>
        <v>#NUM!</v>
      </c>
      <c r="N17" s="232" t="e">
        <f t="shared" si="0"/>
        <v>#NUM!</v>
      </c>
    </row>
    <row r="18" spans="1:14" x14ac:dyDescent="0.2">
      <c r="A18" s="234"/>
      <c r="B18" s="235"/>
      <c r="C18" s="236"/>
      <c r="D18" s="231"/>
      <c r="E18" s="232" t="e">
        <v>#NUM!</v>
      </c>
      <c r="F18" s="195">
        <v>11</v>
      </c>
      <c r="G18" s="233">
        <f>_xll.qlInterestRateIndexFixingDate(IborIndex,I18)</f>
        <v>42170</v>
      </c>
      <c r="H18" s="195" t="str">
        <f>_xll.qlMakeDatedOIS(,I18,J18,OvernightIndex,0,"Act/360",0)</f>
        <v>obj_003ee#0001</v>
      </c>
      <c r="I18" s="233">
        <f>_xll.qlCalendarAdvance(Calendar,$D$2,F18&amp;"M","mf")</f>
        <v>42172</v>
      </c>
      <c r="J18" s="233">
        <f>_xll.qlInterestRateIndexMaturity(IborIndex,I18)</f>
        <v>42538</v>
      </c>
      <c r="L18" s="232">
        <f>_xll.qlOvernightIndexedSwapFairRate(H18,_xll.ohTrigger($P$2:$P$6))</f>
        <v>7.0791493002723266E-4</v>
      </c>
      <c r="M18" s="209" t="e">
        <f>_xll.qlInterpolationInterpolate(BasisInterpolator,I18,,L18)</f>
        <v>#NUM!</v>
      </c>
      <c r="N18" s="232" t="e">
        <f t="shared" si="0"/>
        <v>#NUM!</v>
      </c>
    </row>
    <row r="19" spans="1:14" x14ac:dyDescent="0.2">
      <c r="A19" s="234"/>
      <c r="B19" s="235"/>
      <c r="C19" s="236"/>
      <c r="D19" s="231"/>
      <c r="E19" s="232" t="e">
        <v>#NUM!</v>
      </c>
      <c r="F19" s="195">
        <v>13</v>
      </c>
      <c r="G19" s="233">
        <f>_xll.qlInterestRateIndexFixingDate(IborIndex,I19)</f>
        <v>42229</v>
      </c>
      <c r="H19" s="195" t="str">
        <f>_xll.qlMakeDatedOIS(,I19,J19,OvernightIndex,0,"Act/360",0)</f>
        <v>obj_003f7#0001</v>
      </c>
      <c r="I19" s="233">
        <f>_xll.qlCalendarAdvance(Calendar,$D$2,F19&amp;"M","mf")</f>
        <v>42233</v>
      </c>
      <c r="J19" s="233">
        <f>_xll.qlInterestRateIndexMaturity(IborIndex,I19)</f>
        <v>42599</v>
      </c>
      <c r="L19" s="232">
        <f>_xll.qlOvernightIndexedSwapFairRate(H19,_xll.ohTrigger($P$2:$P$6))</f>
        <v>8.9391903127034598E-4</v>
      </c>
      <c r="M19" s="209" t="e">
        <f>_xll.qlInterpolationInterpolate(BasisInterpolator,I19,,L19)</f>
        <v>#NUM!</v>
      </c>
      <c r="N19" s="232" t="e">
        <f t="shared" si="0"/>
        <v>#NUM!</v>
      </c>
    </row>
    <row r="20" spans="1:14" x14ac:dyDescent="0.2">
      <c r="A20" s="234"/>
      <c r="B20" s="235"/>
      <c r="C20" s="236"/>
      <c r="D20" s="231"/>
      <c r="E20" s="232" t="e">
        <v>#NUM!</v>
      </c>
      <c r="F20" s="195">
        <v>14</v>
      </c>
      <c r="G20" s="233">
        <f>_xll.qlInterestRateIndexFixingDate(IborIndex,I20)</f>
        <v>42262</v>
      </c>
      <c r="H20" s="195" t="str">
        <f>_xll.qlMakeDatedOIS(,I20,J20,OvernightIndex,0,"Act/360",0)</f>
        <v>obj_0041b#0001</v>
      </c>
      <c r="I20" s="233">
        <f>_xll.qlCalendarAdvance(Calendar,$D$2,F20&amp;"M","mf")</f>
        <v>42264</v>
      </c>
      <c r="J20" s="233">
        <f>_xll.qlInterestRateIndexMaturity(IborIndex,I20)</f>
        <v>42632</v>
      </c>
      <c r="L20" s="232">
        <f>_xll.qlOvernightIndexedSwapFairRate(H20,_xll.ohTrigger($P$2:$P$6))</f>
        <v>9.9798460411811311E-4</v>
      </c>
      <c r="M20" s="209" t="e">
        <f>_xll.qlInterpolationInterpolate(BasisInterpolator,I20,,L20)</f>
        <v>#NUM!</v>
      </c>
      <c r="N20" s="232" t="e">
        <f t="shared" si="0"/>
        <v>#NUM!</v>
      </c>
    </row>
    <row r="21" spans="1:14" x14ac:dyDescent="0.2">
      <c r="A21" s="234"/>
      <c r="B21" s="235"/>
      <c r="C21" s="236"/>
      <c r="D21" s="231"/>
      <c r="E21" s="232" t="e">
        <v>#NUM!</v>
      </c>
      <c r="F21" s="195">
        <v>15</v>
      </c>
      <c r="G21" s="233">
        <f>_xll.qlInterestRateIndexFixingDate(IborIndex,I21)</f>
        <v>42292</v>
      </c>
      <c r="H21" s="195" t="str">
        <f>_xll.qlMakeDatedOIS(,I21,J21,OvernightIndex,0,"Act/360",0)</f>
        <v>obj_00417#0001</v>
      </c>
      <c r="I21" s="233">
        <f>_xll.qlCalendarAdvance(Calendar,$D$2,F21&amp;"M","mf")</f>
        <v>42296</v>
      </c>
      <c r="J21" s="233">
        <f>_xll.qlInterestRateIndexMaturity(IborIndex,I21)</f>
        <v>42662</v>
      </c>
      <c r="L21" s="232">
        <f>_xll.qlOvernightIndexedSwapFairRate(H21,_xll.ohTrigger($P$2:$P$6))</f>
        <v>1.1061403001476823E-3</v>
      </c>
      <c r="M21" s="209" t="e">
        <f>_xll.qlInterpolationInterpolate(BasisInterpolator,I21,,L21)</f>
        <v>#NUM!</v>
      </c>
      <c r="N21" s="232" t="e">
        <f t="shared" si="0"/>
        <v>#NUM!</v>
      </c>
    </row>
    <row r="22" spans="1:14" x14ac:dyDescent="0.2">
      <c r="A22" s="234"/>
      <c r="B22" s="235"/>
      <c r="C22" s="236"/>
      <c r="D22" s="231"/>
      <c r="E22" s="232" t="e">
        <v>#NUM!</v>
      </c>
      <c r="F22" s="195">
        <v>16</v>
      </c>
      <c r="G22" s="233">
        <f>_xll.qlInterestRateIndexFixingDate(IborIndex,I22)</f>
        <v>42321</v>
      </c>
      <c r="H22" s="195" t="str">
        <f>_xll.qlMakeDatedOIS(,I22,J22,OvernightIndex,0,"Act/360",0)</f>
        <v>obj_0041e#0001</v>
      </c>
      <c r="I22" s="233">
        <f>_xll.qlCalendarAdvance(Calendar,$D$2,F22&amp;"M","mf")</f>
        <v>42325</v>
      </c>
      <c r="J22" s="233">
        <f>_xll.qlInterestRateIndexMaturity(IborIndex,I22)</f>
        <v>42691</v>
      </c>
      <c r="L22" s="232">
        <f>_xll.qlOvernightIndexedSwapFairRate(H22,_xll.ohTrigger($P$2:$P$6))</f>
        <v>1.2202720938108258E-3</v>
      </c>
      <c r="M22" s="209" t="e">
        <f>_xll.qlInterpolationInterpolate(BasisInterpolator,I22,,L22)</f>
        <v>#NUM!</v>
      </c>
      <c r="N22" s="232" t="e">
        <f t="shared" si="0"/>
        <v>#NUM!</v>
      </c>
    </row>
    <row r="23" spans="1:14" x14ac:dyDescent="0.2">
      <c r="A23" s="234"/>
      <c r="B23" s="235"/>
      <c r="C23" s="236"/>
      <c r="D23" s="231"/>
      <c r="E23" s="232" t="e">
        <v>#NUM!</v>
      </c>
      <c r="F23" s="195">
        <v>17</v>
      </c>
      <c r="G23" s="233">
        <f>_xll.qlInterestRateIndexFixingDate(IborIndex,I23)</f>
        <v>42353</v>
      </c>
      <c r="H23" s="195" t="str">
        <f>_xll.qlMakeDatedOIS(,I23,J23,OvernightIndex,0,"Act/360",0)</f>
        <v>obj_00418#0001</v>
      </c>
      <c r="I23" s="233">
        <f>_xll.qlCalendarAdvance(Calendar,$D$2,F23&amp;"M","mf")</f>
        <v>42355</v>
      </c>
      <c r="J23" s="233">
        <f>_xll.qlInterestRateIndexMaturity(IborIndex,I23)</f>
        <v>42723</v>
      </c>
      <c r="L23" s="232">
        <f>_xll.qlOvernightIndexedSwapFairRate(H23,_xll.ohTrigger($P$2:$P$6))</f>
        <v>1.3564649362916789E-3</v>
      </c>
      <c r="M23" s="209" t="e">
        <f>_xll.qlInterpolationInterpolate(BasisInterpolator,I23,,L23)</f>
        <v>#NUM!</v>
      </c>
      <c r="N23" s="232" t="e">
        <f t="shared" si="0"/>
        <v>#NUM!</v>
      </c>
    </row>
    <row r="24" spans="1:14" x14ac:dyDescent="0.2">
      <c r="A24" s="234"/>
      <c r="B24" s="235"/>
      <c r="C24" s="236"/>
      <c r="D24" s="231"/>
      <c r="E24" s="232" t="e">
        <v>#NUM!</v>
      </c>
      <c r="F24" s="195">
        <v>18</v>
      </c>
      <c r="G24" s="233">
        <f>_xll.qlInterestRateIndexFixingDate(IborIndex,I24)</f>
        <v>42383</v>
      </c>
      <c r="H24" s="195" t="str">
        <f>_xll.qlMakeDatedOIS(,I24,J24,OvernightIndex,0,"Act/360",0)</f>
        <v>obj_00409#0001</v>
      </c>
      <c r="I24" s="233">
        <f>_xll.qlCalendarAdvance(Calendar,$D$2,F24&amp;"M","mf")</f>
        <v>42387</v>
      </c>
      <c r="J24" s="233">
        <f>_xll.qlInterestRateIndexMaturity(IborIndex,I24)</f>
        <v>42753</v>
      </c>
      <c r="L24" s="232">
        <f>_xll.qlOvernightIndexedSwapFairRate(H24,_xll.ohTrigger($P$2:$P$6))</f>
        <v>1.5043064939428709E-3</v>
      </c>
      <c r="M24" s="209" t="e">
        <f>_xll.qlInterpolationInterpolate(BasisInterpolator,I24,,L24)</f>
        <v>#NUM!</v>
      </c>
      <c r="N24" s="232" t="e">
        <f t="shared" si="0"/>
        <v>#NUM!</v>
      </c>
    </row>
    <row r="25" spans="1:14" x14ac:dyDescent="0.2">
      <c r="A25" s="234"/>
      <c r="B25" s="235"/>
      <c r="C25" s="236"/>
      <c r="D25" s="231"/>
      <c r="E25" s="232" t="e">
        <v>#NUM!</v>
      </c>
      <c r="F25" s="195">
        <v>19</v>
      </c>
      <c r="G25" s="233">
        <f>_xll.qlInterestRateIndexFixingDate(IborIndex,I25)</f>
        <v>42415</v>
      </c>
      <c r="H25" s="195" t="str">
        <f>_xll.qlMakeDatedOIS(,I25,J25,OvernightIndex,0,"Act/360",0)</f>
        <v>obj_0040b#0001</v>
      </c>
      <c r="I25" s="233">
        <f>_xll.qlCalendarAdvance(Calendar,$D$2,F25&amp;"M","mf")</f>
        <v>42417</v>
      </c>
      <c r="J25" s="233">
        <f>_xll.qlInterestRateIndexMaturity(IborIndex,I25)</f>
        <v>42783</v>
      </c>
      <c r="L25" s="232">
        <f>_xll.qlOvernightIndexedSwapFairRate(H25,_xll.ohTrigger($P$2:$P$6))</f>
        <v>1.6601448109502023E-3</v>
      </c>
      <c r="M25" s="209" t="e">
        <f>_xll.qlInterpolationInterpolate(BasisInterpolator,I25,,L25)</f>
        <v>#NUM!</v>
      </c>
      <c r="N25" s="232" t="e">
        <f t="shared" si="0"/>
        <v>#NUM!</v>
      </c>
    </row>
    <row r="26" spans="1:14" x14ac:dyDescent="0.2">
      <c r="A26" s="234"/>
      <c r="B26" s="235"/>
      <c r="C26" s="236"/>
      <c r="D26" s="231"/>
      <c r="E26" s="232" t="e">
        <v>#NUM!</v>
      </c>
      <c r="F26" s="195">
        <v>20</v>
      </c>
      <c r="G26" s="233">
        <f>_xll.qlInterestRateIndexFixingDate(IborIndex,I26)</f>
        <v>42444</v>
      </c>
      <c r="H26" s="195" t="str">
        <f>_xll.qlMakeDatedOIS(,I26,J26,OvernightIndex,0,"Act/360",0)</f>
        <v>obj_003fc#0001</v>
      </c>
      <c r="I26" s="233">
        <f>_xll.qlCalendarAdvance(Calendar,$D$2,F26&amp;"M","mf")</f>
        <v>42446</v>
      </c>
      <c r="J26" s="233">
        <f>_xll.qlInterestRateIndexMaturity(IborIndex,I26)</f>
        <v>42811</v>
      </c>
      <c r="L26" s="232">
        <f>_xll.qlOvernightIndexedSwapFairRate(H26,_xll.ohTrigger($P$2:$P$6))</f>
        <v>1.8183692199717106E-3</v>
      </c>
      <c r="M26" s="209" t="e">
        <f>_xll.qlInterpolationInterpolate(BasisInterpolator,I26,,L26)</f>
        <v>#NUM!</v>
      </c>
      <c r="N26" s="232" t="e">
        <f t="shared" si="0"/>
        <v>#NUM!</v>
      </c>
    </row>
    <row r="27" spans="1:14" x14ac:dyDescent="0.2">
      <c r="A27" s="234"/>
      <c r="B27" s="235"/>
      <c r="C27" s="236"/>
      <c r="D27" s="231"/>
      <c r="E27" s="232" t="e">
        <v>#NUM!</v>
      </c>
      <c r="F27" s="195">
        <v>21</v>
      </c>
      <c r="G27" s="233">
        <f>_xll.qlInterestRateIndexFixingDate(IborIndex,I27)</f>
        <v>42474</v>
      </c>
      <c r="H27" s="195" t="str">
        <f>_xll.qlMakeDatedOIS(,I27,J27,OvernightIndex,0,"Act/360",0)</f>
        <v>obj_00414#0001</v>
      </c>
      <c r="I27" s="233">
        <f>_xll.qlCalendarAdvance(Calendar,$D$2,F27&amp;"M","mf")</f>
        <v>42478</v>
      </c>
      <c r="J27" s="233">
        <f>_xll.qlInterestRateIndexMaturity(IborIndex,I27)</f>
        <v>42843</v>
      </c>
      <c r="L27" s="232">
        <f>_xll.qlOvernightIndexedSwapFairRate(H27,_xll.ohTrigger($P$2:$P$6))</f>
        <v>2.008243390374872E-3</v>
      </c>
      <c r="M27" s="209" t="e">
        <f>_xll.qlInterpolationInterpolate(BasisInterpolator,I27,,L27)</f>
        <v>#NUM!</v>
      </c>
      <c r="N27" s="232" t="e">
        <f t="shared" si="0"/>
        <v>#NUM!</v>
      </c>
    </row>
    <row r="28" spans="1:14" x14ac:dyDescent="0.2">
      <c r="A28" s="234"/>
      <c r="B28" s="235"/>
      <c r="C28" s="236"/>
      <c r="D28" s="231"/>
      <c r="E28" s="232" t="e">
        <v>#NUM!</v>
      </c>
      <c r="F28" s="195">
        <v>22</v>
      </c>
      <c r="G28" s="233">
        <f>_xll.qlInterestRateIndexFixingDate(IborIndex,I28)</f>
        <v>42503</v>
      </c>
      <c r="H28" s="195" t="str">
        <f>_xll.qlMakeDatedOIS(,I28,J28,OvernightIndex,0,"Act/360",0)</f>
        <v>obj_0040e#0001</v>
      </c>
      <c r="I28" s="233">
        <f>_xll.qlCalendarAdvance(Calendar,$D$2,F28&amp;"M","mf")</f>
        <v>42507</v>
      </c>
      <c r="J28" s="233">
        <f>_xll.qlInterestRateIndexMaturity(IborIndex,I28)</f>
        <v>42872</v>
      </c>
      <c r="L28" s="232">
        <f>_xll.qlOvernightIndexedSwapFairRate(H28,_xll.ohTrigger($P$2:$P$6))</f>
        <v>2.1908205959803744E-3</v>
      </c>
      <c r="M28" s="209" t="e">
        <f>_xll.qlInterpolationInterpolate(BasisInterpolator,I28,,L28)</f>
        <v>#NUM!</v>
      </c>
      <c r="N28" s="232" t="e">
        <f t="shared" si="0"/>
        <v>#NUM!</v>
      </c>
    </row>
    <row r="29" spans="1:14" x14ac:dyDescent="0.2">
      <c r="A29" s="234"/>
      <c r="B29" s="235"/>
      <c r="C29" s="236"/>
      <c r="D29" s="231"/>
      <c r="E29" s="232" t="e">
        <v>#NUM!</v>
      </c>
      <c r="F29" s="195">
        <v>23</v>
      </c>
      <c r="G29" s="233">
        <f>_xll.qlInterestRateIndexFixingDate(IborIndex,I29)</f>
        <v>42536</v>
      </c>
      <c r="H29" s="195" t="str">
        <f>_xll.qlMakeDatedOIS(,I29,J29,OvernightIndex,0,"Act/360",0)</f>
        <v>obj_00416#0001</v>
      </c>
      <c r="I29" s="233">
        <f>_xll.qlCalendarAdvance(Calendar,$D$2,F29&amp;"M","mf")</f>
        <v>42538</v>
      </c>
      <c r="J29" s="233">
        <f>_xll.qlInterestRateIndexMaturity(IborIndex,I29)</f>
        <v>42905</v>
      </c>
      <c r="L29" s="232">
        <f>_xll.qlOvernightIndexedSwapFairRate(H29,_xll.ohTrigger($P$2:$P$6))</f>
        <v>2.404839647062001E-3</v>
      </c>
      <c r="M29" s="209" t="e">
        <f>_xll.qlInterpolationInterpolate(BasisInterpolator,I29,,L29)</f>
        <v>#NUM!</v>
      </c>
      <c r="N29" s="232" t="e">
        <f t="shared" si="0"/>
        <v>#NUM!</v>
      </c>
    </row>
    <row r="30" spans="1:14" x14ac:dyDescent="0.2">
      <c r="A30" s="234"/>
      <c r="B30" s="235"/>
      <c r="C30" s="236"/>
      <c r="D30" s="231"/>
      <c r="E30" s="232" t="e">
        <v>#NUM!</v>
      </c>
      <c r="F30" s="195">
        <v>25</v>
      </c>
      <c r="G30" s="233">
        <f>_xll.qlInterestRateIndexFixingDate(IborIndex,I30)</f>
        <v>42597</v>
      </c>
      <c r="H30" s="195" t="str">
        <f>_xll.qlMakeDatedOIS(,I30,J30,OvernightIndex,0,"Act/360",0)</f>
        <v>obj_0041c#0001</v>
      </c>
      <c r="I30" s="233">
        <f>_xll.qlCalendarAdvance(Calendar,$D$2,F30&amp;"M","mf")</f>
        <v>42599</v>
      </c>
      <c r="J30" s="233">
        <f>_xll.qlInterestRateIndexMaturity(IborIndex,I30)</f>
        <v>42964</v>
      </c>
      <c r="L30" s="232">
        <f>_xll.qlOvernightIndexedSwapFairRate(H30,_xll.ohTrigger($P$2:$P$6))</f>
        <v>2.8382161213293474E-3</v>
      </c>
      <c r="M30" s="209" t="e">
        <f>_xll.qlInterpolationInterpolate(BasisInterpolator,I30,,L30)</f>
        <v>#NUM!</v>
      </c>
      <c r="N30" s="232" t="e">
        <f t="shared" si="0"/>
        <v>#NUM!</v>
      </c>
    </row>
    <row r="31" spans="1:14" x14ac:dyDescent="0.2">
      <c r="A31" s="234"/>
      <c r="B31" s="235"/>
      <c r="C31" s="236"/>
      <c r="D31" s="231"/>
      <c r="E31" s="232" t="e">
        <v>#NUM!</v>
      </c>
      <c r="F31" s="195">
        <v>26</v>
      </c>
      <c r="G31" s="233">
        <f>_xll.qlInterestRateIndexFixingDate(IborIndex,I31)</f>
        <v>42628</v>
      </c>
      <c r="H31" s="195" t="str">
        <f>_xll.qlMakeDatedOIS(,I31,J31,OvernightIndex,0,"Act/360",0)</f>
        <v>obj_0040f#0001</v>
      </c>
      <c r="I31" s="233">
        <f>_xll.qlCalendarAdvance(Calendar,$D$2,F31&amp;"M","mf")</f>
        <v>42632</v>
      </c>
      <c r="J31" s="233">
        <f>_xll.qlInterestRateIndexMaturity(IborIndex,I31)</f>
        <v>42997</v>
      </c>
      <c r="L31" s="232">
        <f>_xll.qlOvernightIndexedSwapFairRate(H31,_xll.ohTrigger($P$2:$P$6))</f>
        <v>3.0959428824502994E-3</v>
      </c>
      <c r="M31" s="209" t="e">
        <f>_xll.qlInterpolationInterpolate(BasisInterpolator,I31,,L31)</f>
        <v>#NUM!</v>
      </c>
      <c r="N31" s="232" t="e">
        <f t="shared" si="0"/>
        <v>#NUM!</v>
      </c>
    </row>
    <row r="32" spans="1:14" x14ac:dyDescent="0.2">
      <c r="A32" s="234"/>
      <c r="B32" s="235"/>
      <c r="C32" s="236"/>
      <c r="D32" s="231"/>
      <c r="E32" s="232" t="e">
        <v>#NUM!</v>
      </c>
      <c r="F32" s="195">
        <v>27</v>
      </c>
      <c r="G32" s="233">
        <f>_xll.qlInterestRateIndexFixingDate(IborIndex,I32)</f>
        <v>42656</v>
      </c>
      <c r="H32" s="195" t="str">
        <f>_xll.qlMakeDatedOIS(,I32,J32,OvernightIndex,0,"Act/360",0)</f>
        <v>obj_00401#0001</v>
      </c>
      <c r="I32" s="233">
        <f>_xll.qlCalendarAdvance(Calendar,$D$2,F32&amp;"M","mf")</f>
        <v>42660</v>
      </c>
      <c r="J32" s="233">
        <f>_xll.qlInterestRateIndexMaturity(IborIndex,I32)</f>
        <v>43025</v>
      </c>
      <c r="L32" s="232">
        <f>_xll.qlOvernightIndexedSwapFairRate(H32,_xll.ohTrigger($P$2:$P$6))</f>
        <v>3.324685364173859E-3</v>
      </c>
      <c r="M32" s="209" t="e">
        <f>_xll.qlInterpolationInterpolate(BasisInterpolator,I32,,L32)</f>
        <v>#NUM!</v>
      </c>
      <c r="N32" s="232" t="e">
        <f t="shared" si="0"/>
        <v>#NUM!</v>
      </c>
    </row>
    <row r="33" spans="1:14" x14ac:dyDescent="0.2">
      <c r="A33" s="234"/>
      <c r="B33" s="235"/>
      <c r="C33" s="236"/>
      <c r="D33" s="231"/>
      <c r="E33" s="232" t="e">
        <v>#NUM!</v>
      </c>
      <c r="F33" s="195">
        <v>28</v>
      </c>
      <c r="G33" s="233">
        <f>_xll.qlInterestRateIndexFixingDate(IborIndex,I33)</f>
        <v>42689</v>
      </c>
      <c r="H33" s="195" t="str">
        <f>_xll.qlMakeDatedOIS(,I33,J33,OvernightIndex,0,"Act/360",0)</f>
        <v>obj_00411#0001</v>
      </c>
      <c r="I33" s="233">
        <f>_xll.qlCalendarAdvance(Calendar,$D$2,F33&amp;"M","mf")</f>
        <v>42691</v>
      </c>
      <c r="J33" s="233">
        <f>_xll.qlInterestRateIndexMaturity(IborIndex,I33)</f>
        <v>43056</v>
      </c>
      <c r="L33" s="232">
        <f>_xll.qlOvernightIndexedSwapFairRate(H33,_xll.ohTrigger($P$2:$P$6))</f>
        <v>3.5883007369435192E-3</v>
      </c>
      <c r="M33" s="209" t="e">
        <f>_xll.qlInterpolationInterpolate(BasisInterpolator,I33,,L33)</f>
        <v>#NUM!</v>
      </c>
      <c r="N33" s="232" t="e">
        <f t="shared" si="0"/>
        <v>#NUM!</v>
      </c>
    </row>
    <row r="34" spans="1:14" x14ac:dyDescent="0.2">
      <c r="A34" s="234"/>
      <c r="B34" s="235"/>
      <c r="C34" s="236"/>
      <c r="D34" s="231"/>
      <c r="E34" s="232" t="e">
        <v>#NUM!</v>
      </c>
      <c r="F34" s="195">
        <v>29</v>
      </c>
      <c r="G34" s="233">
        <f>_xll.qlInterestRateIndexFixingDate(IborIndex,I34)</f>
        <v>42719</v>
      </c>
      <c r="H34" s="195" t="str">
        <f>_xll.qlMakeDatedOIS(,I34,J34,OvernightIndex,0,"Act/360",0)</f>
        <v>obj_003f0#0001</v>
      </c>
      <c r="I34" s="233">
        <f>_xll.qlCalendarAdvance(Calendar,$D$2,F34&amp;"M","mf")</f>
        <v>42723</v>
      </c>
      <c r="J34" s="233">
        <f>_xll.qlInterestRateIndexMaturity(IborIndex,I34)</f>
        <v>43088</v>
      </c>
      <c r="L34" s="232">
        <f>_xll.qlOvernightIndexedSwapFairRate(H34,_xll.ohTrigger($P$2:$P$6))</f>
        <v>3.8713933616342949E-3</v>
      </c>
      <c r="M34" s="209" t="e">
        <f>_xll.qlInterpolationInterpolate(BasisInterpolator,I34,,L34)</f>
        <v>#NUM!</v>
      </c>
      <c r="N34" s="232" t="e">
        <f t="shared" si="0"/>
        <v>#NUM!</v>
      </c>
    </row>
    <row r="35" spans="1:14" x14ac:dyDescent="0.2">
      <c r="A35" s="234"/>
      <c r="B35" s="235"/>
      <c r="C35" s="236"/>
      <c r="D35" s="231"/>
      <c r="E35" s="232" t="e">
        <v>#NUM!</v>
      </c>
      <c r="F35" s="195">
        <v>30</v>
      </c>
      <c r="G35" s="233">
        <f>_xll.qlInterestRateIndexFixingDate(IborIndex,I35)</f>
        <v>42748</v>
      </c>
      <c r="H35" s="195" t="str">
        <f>_xll.qlMakeDatedOIS(,I35,J35,OvernightIndex,0,"Act/360",0)</f>
        <v>obj_00415#0001</v>
      </c>
      <c r="I35" s="233">
        <f>_xll.qlCalendarAdvance(Calendar,$D$2,F35&amp;"M","mf")</f>
        <v>42752</v>
      </c>
      <c r="J35" s="233">
        <f>_xll.qlInterestRateIndexMaturity(IborIndex,I35)</f>
        <v>43117</v>
      </c>
      <c r="L35" s="232">
        <f>_xll.qlOvernightIndexedSwapFairRate(H35,_xll.ohTrigger($P$2:$P$6))</f>
        <v>4.1371749238741651E-3</v>
      </c>
      <c r="M35" s="209" t="e">
        <f>_xll.qlInterpolationInterpolate(BasisInterpolator,I35,,L35)</f>
        <v>#NUM!</v>
      </c>
      <c r="N35" s="232" t="e">
        <f t="shared" si="0"/>
        <v>#NUM!</v>
      </c>
    </row>
    <row r="36" spans="1:14" x14ac:dyDescent="0.2">
      <c r="A36" s="234"/>
      <c r="B36" s="235"/>
      <c r="C36" s="236"/>
      <c r="D36" s="231"/>
      <c r="E36" s="232" t="e">
        <v>#NUM!</v>
      </c>
      <c r="F36" s="195">
        <v>31</v>
      </c>
      <c r="G36" s="233">
        <f>_xll.qlInterestRateIndexFixingDate(IborIndex,I36)</f>
        <v>42781</v>
      </c>
      <c r="H36" s="195" t="str">
        <f>_xll.qlMakeDatedOIS(,I36,J36,OvernightIndex,0,"Act/360",0)</f>
        <v>obj_00408#0001</v>
      </c>
      <c r="I36" s="233">
        <f>_xll.qlCalendarAdvance(Calendar,$D$2,F36&amp;"M","mf")</f>
        <v>42783</v>
      </c>
      <c r="J36" s="233">
        <f>_xll.qlInterestRateIndexMaturity(IborIndex,I36)</f>
        <v>43150</v>
      </c>
      <c r="L36" s="232">
        <f>_xll.qlOvernightIndexedSwapFairRate(H36,_xll.ohTrigger($P$2:$P$6))</f>
        <v>4.4408030219618084E-3</v>
      </c>
      <c r="M36" s="209" t="e">
        <f>_xll.qlInterpolationInterpolate(BasisInterpolator,I36,,L36)</f>
        <v>#NUM!</v>
      </c>
      <c r="N36" s="232" t="e">
        <f t="shared" si="0"/>
        <v>#NUM!</v>
      </c>
    </row>
    <row r="37" spans="1:14" x14ac:dyDescent="0.2">
      <c r="A37" s="234"/>
      <c r="B37" s="235"/>
      <c r="C37" s="236"/>
      <c r="D37" s="231"/>
      <c r="E37" s="232" t="e">
        <v>#NUM!</v>
      </c>
      <c r="F37" s="195">
        <v>32</v>
      </c>
      <c r="G37" s="233">
        <f>_xll.qlInterestRateIndexFixingDate(IborIndex,I37)</f>
        <v>42809</v>
      </c>
      <c r="H37" s="195" t="str">
        <f>_xll.qlMakeDatedOIS(,I37,J37,OvernightIndex,0,"Act/360",0)</f>
        <v>obj_003f1#0001</v>
      </c>
      <c r="I37" s="233">
        <f>_xll.qlCalendarAdvance(Calendar,$D$2,F37&amp;"M","mf")</f>
        <v>42811</v>
      </c>
      <c r="J37" s="233">
        <f>_xll.qlInterestRateIndexMaturity(IborIndex,I37)</f>
        <v>43178</v>
      </c>
      <c r="L37" s="232">
        <f>_xll.qlOvernightIndexedSwapFairRate(H37,_xll.ohTrigger($P$2:$P$6))</f>
        <v>4.713923042939357E-3</v>
      </c>
      <c r="M37" s="209" t="e">
        <f>_xll.qlInterpolationInterpolate(BasisInterpolator,I37,,L37)</f>
        <v>#NUM!</v>
      </c>
      <c r="N37" s="232" t="e">
        <f t="shared" si="0"/>
        <v>#NUM!</v>
      </c>
    </row>
    <row r="38" spans="1:14" x14ac:dyDescent="0.2">
      <c r="A38" s="234"/>
      <c r="B38" s="235"/>
      <c r="C38" s="236"/>
      <c r="D38" s="231"/>
      <c r="E38" s="232" t="e">
        <v>#NUM!</v>
      </c>
      <c r="F38" s="195">
        <v>33</v>
      </c>
      <c r="G38" s="233">
        <f>_xll.qlInterestRateIndexFixingDate(IborIndex,I38)</f>
        <v>42837</v>
      </c>
      <c r="H38" s="195" t="str">
        <f>_xll.qlMakeDatedOIS(,I38,J38,OvernightIndex,0,"Act/360",0)</f>
        <v>obj_003fd#0001</v>
      </c>
      <c r="I38" s="233">
        <f>_xll.qlCalendarAdvance(Calendar,$D$2,F38&amp;"M","mf")</f>
        <v>42843</v>
      </c>
      <c r="J38" s="233">
        <f>_xll.qlInterestRateIndexMaturity(IborIndex,I38)</f>
        <v>43208</v>
      </c>
      <c r="L38" s="232">
        <f>_xll.qlOvernightIndexedSwapFairRate(H38,_xll.ohTrigger($P$2:$P$6))</f>
        <v>5.0240643814051696E-3</v>
      </c>
      <c r="M38" s="209" t="e">
        <f>_xll.qlInterpolationInterpolate(BasisInterpolator,I38,,L38)</f>
        <v>#NUM!</v>
      </c>
      <c r="N38" s="232" t="e">
        <f t="shared" si="0"/>
        <v>#NUM!</v>
      </c>
    </row>
    <row r="39" spans="1:14" x14ac:dyDescent="0.2">
      <c r="A39" s="234"/>
      <c r="B39" s="235"/>
      <c r="C39" s="236"/>
      <c r="D39" s="231"/>
      <c r="E39" s="232" t="e">
        <v>#NUM!</v>
      </c>
      <c r="F39" s="195">
        <v>34</v>
      </c>
      <c r="G39" s="233">
        <f>_xll.qlInterestRateIndexFixingDate(IborIndex,I39)</f>
        <v>42870</v>
      </c>
      <c r="H39" s="195" t="str">
        <f>_xll.qlMakeDatedOIS(,I39,J39,OvernightIndex,0,"Act/360",0)</f>
        <v>obj_003f9#0001</v>
      </c>
      <c r="I39" s="233">
        <f>_xll.qlCalendarAdvance(Calendar,$D$2,F39&amp;"M","mf")</f>
        <v>42872</v>
      </c>
      <c r="J39" s="233">
        <f>_xll.qlInterestRateIndexMaturity(IborIndex,I39)</f>
        <v>43237</v>
      </c>
      <c r="L39" s="232">
        <f>_xll.qlOvernightIndexedSwapFairRate(H39,_xll.ohTrigger($P$2:$P$6))</f>
        <v>5.3222759297090541E-3</v>
      </c>
      <c r="M39" s="209" t="e">
        <f>_xll.qlInterpolationInterpolate(BasisInterpolator,I39,,L39)</f>
        <v>#NUM!</v>
      </c>
      <c r="N39" s="232" t="e">
        <f t="shared" si="0"/>
        <v>#NUM!</v>
      </c>
    </row>
    <row r="40" spans="1:14" x14ac:dyDescent="0.2">
      <c r="A40" s="234"/>
      <c r="B40" s="235"/>
      <c r="C40" s="236"/>
      <c r="D40" s="231"/>
      <c r="E40" s="232" t="e">
        <v>#NUM!</v>
      </c>
      <c r="F40" s="195">
        <v>35</v>
      </c>
      <c r="G40" s="233">
        <f>_xll.qlInterestRateIndexFixingDate(IborIndex,I40)</f>
        <v>42901</v>
      </c>
      <c r="H40" s="195" t="str">
        <f>_xll.qlMakeDatedOIS(,I40,J40,OvernightIndex,0,"Act/360",0)</f>
        <v>obj_00419#0001</v>
      </c>
      <c r="I40" s="233">
        <f>_xll.qlCalendarAdvance(Calendar,$D$2,F40&amp;"M","mf")</f>
        <v>42905</v>
      </c>
      <c r="J40" s="233">
        <f>_xll.qlInterestRateIndexMaturity(IborIndex,I40)</f>
        <v>43270</v>
      </c>
      <c r="L40" s="232">
        <f>_xll.qlOvernightIndexedSwapFairRate(H40,_xll.ohTrigger($P$2:$P$6))</f>
        <v>5.6700061316174851E-3</v>
      </c>
      <c r="M40" s="209" t="e">
        <f>_xll.qlInterpolationInterpolate(BasisInterpolator,I40,,L40)</f>
        <v>#NUM!</v>
      </c>
      <c r="N40" s="232" t="e">
        <f t="shared" si="0"/>
        <v>#NUM!</v>
      </c>
    </row>
    <row r="41" spans="1:14" x14ac:dyDescent="0.2">
      <c r="A41" s="234"/>
      <c r="B41" s="235"/>
      <c r="C41" s="236"/>
      <c r="D41" s="231"/>
      <c r="E41" s="232" t="e">
        <v>#NUM!</v>
      </c>
      <c r="F41" s="195">
        <v>37</v>
      </c>
      <c r="G41" s="233">
        <f>_xll.qlInterestRateIndexFixingDate(IborIndex,I41)</f>
        <v>42962</v>
      </c>
      <c r="H41" s="195" t="str">
        <f>_xll.qlMakeDatedOIS(,I41,J41,OvernightIndex,0,"Act/360",0)</f>
        <v>obj_00400#0001</v>
      </c>
      <c r="I41" s="233">
        <f>_xll.qlCalendarAdvance(Calendar,$D$2,F41&amp;"M","mf")</f>
        <v>42964</v>
      </c>
      <c r="J41" s="233">
        <f>_xll.qlInterestRateIndexMaturity(IborIndex,I41)</f>
        <v>43329</v>
      </c>
      <c r="L41" s="232">
        <f>_xll.qlOvernightIndexedSwapFairRate(H41,_xll.ohTrigger($P$2:$P$6))</f>
        <v>6.3122873665924645E-3</v>
      </c>
      <c r="M41" s="209" t="e">
        <f>_xll.qlInterpolationInterpolate(BasisInterpolator,I41,,L41)</f>
        <v>#NUM!</v>
      </c>
      <c r="N41" s="232" t="e">
        <f t="shared" si="0"/>
        <v>#NUM!</v>
      </c>
    </row>
    <row r="42" spans="1:14" x14ac:dyDescent="0.2">
      <c r="A42" s="234"/>
      <c r="B42" s="235"/>
      <c r="C42" s="236"/>
      <c r="D42" s="231"/>
      <c r="E42" s="232" t="e">
        <v>#NUM!</v>
      </c>
      <c r="F42" s="195">
        <v>38</v>
      </c>
      <c r="G42" s="233">
        <f>_xll.qlInterestRateIndexFixingDate(IborIndex,I42)</f>
        <v>42992</v>
      </c>
      <c r="H42" s="195" t="str">
        <f>_xll.qlMakeDatedOIS(,I42,J42,OvernightIndex,0,"Act/360",0)</f>
        <v>obj_003f3#0001</v>
      </c>
      <c r="I42" s="233">
        <f>_xll.qlCalendarAdvance(Calendar,$D$2,F42&amp;"M","mf")</f>
        <v>42996</v>
      </c>
      <c r="J42" s="233">
        <f>_xll.qlInterestRateIndexMaturity(IborIndex,I42)</f>
        <v>43361</v>
      </c>
      <c r="L42" s="232">
        <f>_xll.qlOvernightIndexedSwapFairRate(H42,_xll.ohTrigger($P$2:$P$6))</f>
        <v>6.6705121851253855E-3</v>
      </c>
      <c r="M42" s="209" t="e">
        <f>_xll.qlInterpolationInterpolate(BasisInterpolator,I42,,L42)</f>
        <v>#NUM!</v>
      </c>
      <c r="N42" s="232" t="e">
        <f t="shared" si="0"/>
        <v>#NUM!</v>
      </c>
    </row>
    <row r="43" spans="1:14" x14ac:dyDescent="0.2">
      <c r="A43" s="234"/>
      <c r="B43" s="235"/>
      <c r="C43" s="236"/>
      <c r="D43" s="231"/>
      <c r="E43" s="232" t="e">
        <v>#NUM!</v>
      </c>
      <c r="F43" s="195">
        <v>39</v>
      </c>
      <c r="G43" s="233">
        <f>_xll.qlInterestRateIndexFixingDate(IborIndex,I43)</f>
        <v>43021</v>
      </c>
      <c r="H43" s="195" t="str">
        <f>_xll.qlMakeDatedOIS(,I43,J43,OvernightIndex,0,"Act/360",0)</f>
        <v>obj_003f4#0001</v>
      </c>
      <c r="I43" s="233">
        <f>_xll.qlCalendarAdvance(Calendar,$D$2,F43&amp;"M","mf")</f>
        <v>43025</v>
      </c>
      <c r="J43" s="233">
        <f>_xll.qlInterestRateIndexMaturity(IborIndex,I43)</f>
        <v>43390</v>
      </c>
      <c r="L43" s="232">
        <f>_xll.qlOvernightIndexedSwapFairRate(H43,_xll.ohTrigger($P$2:$P$6))</f>
        <v>7.0003175720896984E-3</v>
      </c>
      <c r="M43" s="209" t="e">
        <f>_xll.qlInterpolationInterpolate(BasisInterpolator,I43,,L43)</f>
        <v>#NUM!</v>
      </c>
      <c r="N43" s="232" t="e">
        <f t="shared" si="0"/>
        <v>#NUM!</v>
      </c>
    </row>
    <row r="44" spans="1:14" x14ac:dyDescent="0.2">
      <c r="A44" s="234"/>
      <c r="B44" s="235"/>
      <c r="C44" s="236"/>
      <c r="D44" s="231"/>
      <c r="E44" s="232" t="e">
        <v>#NUM!</v>
      </c>
      <c r="F44" s="195">
        <v>40</v>
      </c>
      <c r="G44" s="233">
        <f>_xll.qlInterestRateIndexFixingDate(IborIndex,I44)</f>
        <v>43054</v>
      </c>
      <c r="H44" s="195" t="str">
        <f>_xll.qlMakeDatedOIS(,I44,J44,OvernightIndex,0,"Act/360",0)</f>
        <v>obj_0041d#0001</v>
      </c>
      <c r="I44" s="233">
        <f>_xll.qlCalendarAdvance(Calendar,$D$2,F44&amp;"M","mf")</f>
        <v>43056</v>
      </c>
      <c r="J44" s="233">
        <f>_xll.qlInterestRateIndexMaturity(IborIndex,I44)</f>
        <v>43423</v>
      </c>
      <c r="L44" s="232">
        <f>_xll.qlOvernightIndexedSwapFairRate(H44,_xll.ohTrigger($P$2:$P$6))</f>
        <v>7.3696644333361332E-3</v>
      </c>
      <c r="M44" s="209" t="e">
        <f>_xll.qlInterpolationInterpolate(BasisInterpolator,I44,,L44)</f>
        <v>#NUM!</v>
      </c>
      <c r="N44" s="232" t="e">
        <f t="shared" si="0"/>
        <v>#NUM!</v>
      </c>
    </row>
    <row r="45" spans="1:14" x14ac:dyDescent="0.2">
      <c r="A45" s="234"/>
      <c r="B45" s="235"/>
      <c r="C45" s="236"/>
      <c r="D45" s="231"/>
      <c r="E45" s="209" t="e">
        <v>#NUM!</v>
      </c>
      <c r="F45" s="195">
        <v>41</v>
      </c>
      <c r="G45" s="233">
        <f>_xll.qlInterestRateIndexFixingDate(IborIndex,I45)</f>
        <v>43083</v>
      </c>
      <c r="H45" s="195" t="str">
        <f>_xll.qlMakeDatedOIS(,I45,J45,OvernightIndex,0,"Act/360",0)</f>
        <v>obj_0040c#0001</v>
      </c>
      <c r="I45" s="233">
        <f>_xll.qlCalendarAdvance(Calendar,$D$2,F45&amp;"M","mf")</f>
        <v>43087</v>
      </c>
      <c r="J45" s="233">
        <f>_xll.qlInterestRateIndexMaturity(IborIndex,I45)</f>
        <v>43452</v>
      </c>
      <c r="L45" s="232">
        <f>_xll.qlOvernightIndexedSwapFairRate(H45,_xll.ohTrigger($P$2:$P$6))</f>
        <v>7.7191319107615753E-3</v>
      </c>
      <c r="M45" s="209" t="e">
        <f>_xll.qlInterpolationInterpolate(BasisInterpolator,I45,,L45)</f>
        <v>#NUM!</v>
      </c>
      <c r="N45" s="232" t="e">
        <f t="shared" si="0"/>
        <v>#NUM!</v>
      </c>
    </row>
    <row r="46" spans="1:14" x14ac:dyDescent="0.2">
      <c r="A46" s="234"/>
      <c r="B46" s="235"/>
      <c r="C46" s="236"/>
      <c r="D46" s="231"/>
      <c r="E46" s="209" t="e">
        <v>#NUM!</v>
      </c>
      <c r="F46" s="195">
        <v>42</v>
      </c>
      <c r="G46" s="233">
        <f>_xll.qlInterestRateIndexFixingDate(IborIndex,I46)</f>
        <v>43115</v>
      </c>
      <c r="H46" s="195" t="str">
        <f>_xll.qlMakeDatedOIS(,I46,J46,OvernightIndex,0,"Act/360",0)</f>
        <v>obj_003fb#0001</v>
      </c>
      <c r="I46" s="233">
        <f>_xll.qlCalendarAdvance(Calendar,$D$2,F46&amp;"M","mf")</f>
        <v>43117</v>
      </c>
      <c r="J46" s="233">
        <f>_xll.qlInterestRateIndexMaturity(IborIndex,I46)</f>
        <v>43482</v>
      </c>
      <c r="L46" s="232">
        <f>_xll.qlOvernightIndexedSwapFairRate(H46,_xll.ohTrigger($P$2:$P$6))</f>
        <v>8.0723245354668328E-3</v>
      </c>
      <c r="M46" s="209" t="e">
        <f>_xll.qlInterpolationInterpolate(BasisInterpolator,I46,,L46)</f>
        <v>#NUM!</v>
      </c>
      <c r="N46" s="232" t="e">
        <f t="shared" si="0"/>
        <v>#NUM!</v>
      </c>
    </row>
    <row r="47" spans="1:14" x14ac:dyDescent="0.2">
      <c r="A47" s="234"/>
      <c r="B47" s="235"/>
      <c r="C47" s="236"/>
      <c r="D47" s="231"/>
      <c r="E47" s="209" t="e">
        <v>#NUM!</v>
      </c>
      <c r="F47" s="195">
        <v>43</v>
      </c>
      <c r="G47" s="233">
        <f>_xll.qlInterestRateIndexFixingDate(IborIndex,I47)</f>
        <v>43146</v>
      </c>
      <c r="H47" s="195" t="str">
        <f>_xll.qlMakeDatedOIS(,I47,J47,OvernightIndex,0,"Act/360",0)</f>
        <v>obj_003ef#0001</v>
      </c>
      <c r="I47" s="233">
        <f>_xll.qlCalendarAdvance(Calendar,$D$2,F47&amp;"M","mf")</f>
        <v>43150</v>
      </c>
      <c r="J47" s="233">
        <f>_xll.qlInterestRateIndexMaturity(IborIndex,I47)</f>
        <v>43515</v>
      </c>
      <c r="L47" s="232">
        <f>_xll.qlOvernightIndexedSwapFairRate(H47,_xll.ohTrigger($P$2:$P$6))</f>
        <v>8.4638523435419354E-3</v>
      </c>
      <c r="M47" s="209" t="e">
        <f>_xll.qlInterpolationInterpolate(BasisInterpolator,I47,,L47)</f>
        <v>#NUM!</v>
      </c>
      <c r="N47" s="232" t="e">
        <f t="shared" si="0"/>
        <v>#NUM!</v>
      </c>
    </row>
    <row r="48" spans="1:14" x14ac:dyDescent="0.2">
      <c r="A48" s="234"/>
      <c r="B48" s="235"/>
      <c r="C48" s="236"/>
      <c r="D48" s="231"/>
      <c r="E48" s="209" t="e">
        <v>#NUM!</v>
      </c>
      <c r="F48" s="195">
        <v>44</v>
      </c>
      <c r="G48" s="233">
        <f>_xll.qlInterestRateIndexFixingDate(IborIndex,I48)</f>
        <v>43174</v>
      </c>
      <c r="H48" s="195" t="str">
        <f>_xll.qlMakeDatedOIS(,I48,J48,OvernightIndex,0,"Act/360",0)</f>
        <v>obj_00405#0001</v>
      </c>
      <c r="I48" s="233">
        <f>_xll.qlCalendarAdvance(Calendar,$D$2,F48&amp;"M","mf")</f>
        <v>43178</v>
      </c>
      <c r="J48" s="233">
        <f>_xll.qlInterestRateIndexMaturity(IborIndex,I48)</f>
        <v>43543</v>
      </c>
      <c r="L48" s="232">
        <f>_xll.qlOvernightIndexedSwapFairRate(H48,_xll.ohTrigger($P$2:$P$6))</f>
        <v>8.7979147342698832E-3</v>
      </c>
      <c r="M48" s="209" t="e">
        <f>_xll.qlInterpolationInterpolate(BasisInterpolator,I48,,L48)</f>
        <v>#NUM!</v>
      </c>
      <c r="N48" s="232" t="e">
        <f t="shared" si="0"/>
        <v>#NUM!</v>
      </c>
    </row>
    <row r="49" spans="1:14" x14ac:dyDescent="0.2">
      <c r="A49" s="234"/>
      <c r="B49" s="235"/>
      <c r="C49" s="236"/>
      <c r="D49" s="231"/>
      <c r="E49" s="209" t="e">
        <v>#NUM!</v>
      </c>
      <c r="F49" s="195">
        <v>45</v>
      </c>
      <c r="G49" s="233">
        <f>_xll.qlInterestRateIndexFixingDate(IborIndex,I49)</f>
        <v>43203</v>
      </c>
      <c r="H49" s="195" t="str">
        <f>_xll.qlMakeDatedOIS(,I49,J49,OvernightIndex,0,"Act/360",0)</f>
        <v>obj_00412#0001</v>
      </c>
      <c r="I49" s="233">
        <f>_xll.qlCalendarAdvance(Calendar,$D$2,F49&amp;"M","mf")</f>
        <v>43207</v>
      </c>
      <c r="J49" s="233">
        <f>_xll.qlInterestRateIndexMaturity(IborIndex,I49)</f>
        <v>43572</v>
      </c>
      <c r="L49" s="232">
        <f>_xll.qlOvernightIndexedSwapFairRate(H49,_xll.ohTrigger($P$2:$P$6))</f>
        <v>9.1451101026588117E-3</v>
      </c>
      <c r="M49" s="209" t="e">
        <f>_xll.qlInterpolationInterpolate(BasisInterpolator,I49,,L49)</f>
        <v>#NUM!</v>
      </c>
      <c r="N49" s="232" t="e">
        <f t="shared" si="0"/>
        <v>#NUM!</v>
      </c>
    </row>
    <row r="50" spans="1:14" x14ac:dyDescent="0.2">
      <c r="A50" s="234"/>
      <c r="B50" s="235"/>
      <c r="C50" s="236"/>
      <c r="D50" s="231"/>
      <c r="E50" s="209" t="e">
        <v>#NUM!</v>
      </c>
      <c r="F50" s="195">
        <v>46</v>
      </c>
      <c r="G50" s="233">
        <f>_xll.qlInterestRateIndexFixingDate(IborIndex,I50)</f>
        <v>43235</v>
      </c>
      <c r="H50" s="195" t="str">
        <f>_xll.qlMakeDatedOIS(,I50,J50,OvernightIndex,0,"Act/360",0)</f>
        <v>obj_003fa#0001</v>
      </c>
      <c r="I50" s="233">
        <f>_xll.qlCalendarAdvance(Calendar,$D$2,F50&amp;"M","mf")</f>
        <v>43237</v>
      </c>
      <c r="J50" s="233">
        <f>_xll.qlInterestRateIndexMaturity(IborIndex,I50)</f>
        <v>43602</v>
      </c>
      <c r="L50" s="232">
        <f>_xll.qlOvernightIndexedSwapFairRate(H50,_xll.ohTrigger($P$2:$P$6))</f>
        <v>9.5049482292886012E-3</v>
      </c>
      <c r="M50" s="209" t="e">
        <f>_xll.qlInterpolationInterpolate(BasisInterpolator,I50,,L50)</f>
        <v>#NUM!</v>
      </c>
      <c r="N50" s="232" t="e">
        <f t="shared" si="0"/>
        <v>#NUM!</v>
      </c>
    </row>
    <row r="51" spans="1:14" x14ac:dyDescent="0.2">
      <c r="A51" s="234"/>
      <c r="B51" s="235"/>
      <c r="C51" s="236"/>
      <c r="D51" s="231"/>
      <c r="E51" s="209" t="e">
        <v>#NUM!</v>
      </c>
      <c r="F51" s="195">
        <v>47</v>
      </c>
      <c r="G51" s="233">
        <f>_xll.qlInterestRateIndexFixingDate(IborIndex,I51)</f>
        <v>43265</v>
      </c>
      <c r="H51" s="195" t="str">
        <f>_xll.qlMakeDatedOIS(,I51,J51,OvernightIndex,0,"Act/360",0)</f>
        <v>obj_0040d#0001</v>
      </c>
      <c r="I51" s="233">
        <f>_xll.qlCalendarAdvance(Calendar,$D$2,F51&amp;"M","mf")</f>
        <v>43269</v>
      </c>
      <c r="J51" s="233">
        <f>_xll.qlInterestRateIndexMaturity(IborIndex,I51)</f>
        <v>43634</v>
      </c>
      <c r="L51" s="232">
        <f>_xll.qlOvernightIndexedSwapFairRate(H51,_xll.ohTrigger($P$2:$P$6))</f>
        <v>9.8888029801128645E-3</v>
      </c>
      <c r="M51" s="209" t="e">
        <f>_xll.qlInterpolationInterpolate(BasisInterpolator,I51,,L51)</f>
        <v>#NUM!</v>
      </c>
      <c r="N51" s="232" t="e">
        <f t="shared" si="0"/>
        <v>#NUM!</v>
      </c>
    </row>
    <row r="52" spans="1:14" x14ac:dyDescent="0.2">
      <c r="A52" s="234"/>
      <c r="B52" s="235"/>
      <c r="C52" s="236"/>
      <c r="D52" s="231"/>
      <c r="E52" s="209" t="e">
        <v>#NUM!</v>
      </c>
    </row>
    <row r="53" spans="1:14" x14ac:dyDescent="0.2">
      <c r="A53" s="234"/>
      <c r="B53" s="235"/>
      <c r="C53" s="236"/>
      <c r="D53" s="231"/>
      <c r="E53" s="209" t="e">
        <v>#NUM!</v>
      </c>
    </row>
    <row r="54" spans="1:14" x14ac:dyDescent="0.2">
      <c r="A54" s="234"/>
      <c r="B54" s="235"/>
      <c r="C54" s="236"/>
      <c r="D54" s="231"/>
      <c r="E54" s="209" t="e">
        <v>#NUM!</v>
      </c>
    </row>
    <row r="55" spans="1:14" x14ac:dyDescent="0.2">
      <c r="A55" s="234"/>
      <c r="B55" s="235"/>
      <c r="C55" s="236"/>
      <c r="D55" s="231"/>
      <c r="E55" s="209" t="e">
        <v>#NUM!</v>
      </c>
    </row>
    <row r="56" spans="1:14" x14ac:dyDescent="0.2">
      <c r="A56" s="234"/>
      <c r="B56" s="235"/>
      <c r="C56" s="236"/>
      <c r="D56" s="231"/>
      <c r="E56" s="209" t="e">
        <v>#NUM!</v>
      </c>
    </row>
    <row r="57" spans="1:14" x14ac:dyDescent="0.2">
      <c r="A57" s="234"/>
      <c r="B57" s="235"/>
      <c r="C57" s="236"/>
      <c r="D57" s="231"/>
      <c r="E57" s="209" t="e">
        <v>#NUM!</v>
      </c>
    </row>
    <row r="58" spans="1:14" x14ac:dyDescent="0.2">
      <c r="A58" s="234"/>
      <c r="B58" s="235"/>
      <c r="C58" s="236"/>
      <c r="D58" s="231"/>
      <c r="E58" s="209" t="e">
        <v>#NUM!</v>
      </c>
    </row>
    <row r="59" spans="1:14" x14ac:dyDescent="0.2">
      <c r="A59" s="234"/>
      <c r="B59" s="235"/>
      <c r="C59" s="236"/>
      <c r="D59" s="231"/>
      <c r="E59" s="209" t="e">
        <v>#NUM!</v>
      </c>
    </row>
    <row r="60" spans="1:14" x14ac:dyDescent="0.2">
      <c r="A60" s="234"/>
      <c r="B60" s="235"/>
      <c r="C60" s="236"/>
      <c r="D60" s="231"/>
      <c r="E60" s="209" t="e">
        <v>#NUM!</v>
      </c>
    </row>
    <row r="61" spans="1:14" x14ac:dyDescent="0.2">
      <c r="A61" s="234"/>
      <c r="B61" s="235"/>
      <c r="C61" s="236"/>
      <c r="D61" s="231"/>
      <c r="E61" s="209" t="e">
        <v>#NUM!</v>
      </c>
    </row>
    <row r="62" spans="1:14" x14ac:dyDescent="0.2">
      <c r="A62" s="234"/>
      <c r="B62" s="235"/>
      <c r="C62" s="236"/>
      <c r="D62" s="231"/>
      <c r="E62" s="209" t="e">
        <v>#NUM!</v>
      </c>
    </row>
    <row r="63" spans="1:14" x14ac:dyDescent="0.2">
      <c r="A63" s="234"/>
      <c r="B63" s="235"/>
      <c r="C63" s="236"/>
      <c r="D63" s="231"/>
      <c r="E63" s="209" t="e">
        <v>#NUM!</v>
      </c>
    </row>
    <row r="64" spans="1:14" x14ac:dyDescent="0.2">
      <c r="A64" s="234"/>
      <c r="B64" s="235"/>
      <c r="C64" s="236"/>
      <c r="D64" s="231"/>
      <c r="E64" s="209" t="e">
        <v>#NUM!</v>
      </c>
    </row>
    <row r="65" spans="1:5" x14ac:dyDescent="0.2">
      <c r="A65" s="234"/>
      <c r="B65" s="235"/>
      <c r="C65" s="236"/>
      <c r="D65" s="231"/>
      <c r="E65" s="209" t="e">
        <v>#NUM!</v>
      </c>
    </row>
    <row r="66" spans="1:5" x14ac:dyDescent="0.2">
      <c r="A66" s="234"/>
      <c r="B66" s="235"/>
      <c r="C66" s="236"/>
      <c r="D66" s="231"/>
      <c r="E66" s="209" t="e">
        <v>#NUM!</v>
      </c>
    </row>
    <row r="67" spans="1:5" x14ac:dyDescent="0.2">
      <c r="A67" s="234"/>
      <c r="B67" s="235"/>
      <c r="C67" s="236"/>
      <c r="D67" s="231"/>
      <c r="E67" s="209" t="e">
        <v>#NUM!</v>
      </c>
    </row>
    <row r="68" spans="1:5" x14ac:dyDescent="0.2">
      <c r="A68" s="234"/>
      <c r="B68" s="235"/>
      <c r="C68" s="236"/>
      <c r="D68" s="231"/>
      <c r="E68" s="209" t="e">
        <v>#NUM!</v>
      </c>
    </row>
    <row r="69" spans="1:5" x14ac:dyDescent="0.2">
      <c r="A69" s="234"/>
      <c r="B69" s="235"/>
      <c r="C69" s="236"/>
      <c r="D69" s="231"/>
      <c r="E69" s="209" t="e">
        <v>#NUM!</v>
      </c>
    </row>
    <row r="70" spans="1:5" x14ac:dyDescent="0.2">
      <c r="A70" s="234"/>
      <c r="B70" s="235"/>
      <c r="C70" s="236"/>
      <c r="D70" s="231"/>
      <c r="E70" s="209" t="e">
        <v>#NUM!</v>
      </c>
    </row>
    <row r="71" spans="1:5" x14ac:dyDescent="0.2">
      <c r="A71" s="234"/>
      <c r="B71" s="235"/>
      <c r="C71" s="236"/>
      <c r="D71" s="231"/>
      <c r="E71" s="209" t="e">
        <v>#NUM!</v>
      </c>
    </row>
    <row r="72" spans="1:5" x14ac:dyDescent="0.2">
      <c r="A72" s="234"/>
      <c r="B72" s="235"/>
      <c r="C72" s="236"/>
      <c r="D72" s="231"/>
      <c r="E72" s="209" t="e">
        <v>#NUM!</v>
      </c>
    </row>
    <row r="73" spans="1:5" x14ac:dyDescent="0.2">
      <c r="A73" s="234"/>
      <c r="B73" s="235"/>
      <c r="C73" s="236"/>
      <c r="D73" s="231"/>
      <c r="E73" s="209" t="e">
        <v>#NUM!</v>
      </c>
    </row>
    <row r="74" spans="1:5" x14ac:dyDescent="0.2">
      <c r="A74" s="234"/>
      <c r="B74" s="235"/>
      <c r="C74" s="236"/>
      <c r="D74" s="231"/>
      <c r="E74" s="209" t="e">
        <v>#NUM!</v>
      </c>
    </row>
    <row r="75" spans="1:5" x14ac:dyDescent="0.2">
      <c r="A75" s="234"/>
      <c r="B75" s="235"/>
      <c r="C75" s="236"/>
      <c r="D75" s="231"/>
      <c r="E75" s="209" t="e">
        <v>#NUM!</v>
      </c>
    </row>
    <row r="76" spans="1:5" x14ac:dyDescent="0.2">
      <c r="A76" s="234"/>
      <c r="B76" s="235"/>
      <c r="C76" s="236"/>
      <c r="D76" s="231"/>
      <c r="E76" s="209" t="e">
        <v>#NUM!</v>
      </c>
    </row>
    <row r="77" spans="1:5" x14ac:dyDescent="0.2">
      <c r="A77" s="234"/>
      <c r="B77" s="235"/>
      <c r="C77" s="236"/>
      <c r="D77" s="231"/>
      <c r="E77" s="209" t="e">
        <v>#NUM!</v>
      </c>
    </row>
    <row r="78" spans="1:5" x14ac:dyDescent="0.2">
      <c r="A78" s="234"/>
      <c r="B78" s="235"/>
      <c r="C78" s="236"/>
      <c r="D78" s="231"/>
      <c r="E78" s="209" t="e">
        <v>#NUM!</v>
      </c>
    </row>
    <row r="79" spans="1:5" x14ac:dyDescent="0.2">
      <c r="A79" s="234"/>
      <c r="B79" s="235"/>
      <c r="C79" s="236"/>
      <c r="D79" s="231"/>
      <c r="E79" s="209" t="e">
        <v>#NUM!</v>
      </c>
    </row>
    <row r="80" spans="1:5" x14ac:dyDescent="0.2">
      <c r="A80" s="234"/>
      <c r="B80" s="235"/>
      <c r="C80" s="236"/>
      <c r="D80" s="231"/>
      <c r="E80" s="209" t="e">
        <v>#NUM!</v>
      </c>
    </row>
    <row r="81" spans="1:5" x14ac:dyDescent="0.2">
      <c r="A81" s="234"/>
      <c r="B81" s="235"/>
      <c r="C81" s="236"/>
      <c r="D81" s="231"/>
      <c r="E81" s="209" t="e">
        <v>#NUM!</v>
      </c>
    </row>
    <row r="82" spans="1:5" x14ac:dyDescent="0.2">
      <c r="A82" s="234"/>
      <c r="B82" s="235"/>
      <c r="C82" s="236"/>
      <c r="D82" s="231"/>
      <c r="E82" s="209" t="e">
        <v>#NUM!</v>
      </c>
    </row>
    <row r="83" spans="1:5" x14ac:dyDescent="0.2">
      <c r="A83" s="234"/>
      <c r="B83" s="235"/>
      <c r="C83" s="236"/>
      <c r="D83" s="231"/>
      <c r="E83" s="209" t="e">
        <v>#NUM!</v>
      </c>
    </row>
    <row r="84" spans="1:5" x14ac:dyDescent="0.2">
      <c r="A84" s="234"/>
      <c r="B84" s="235"/>
      <c r="C84" s="236"/>
      <c r="D84" s="231"/>
      <c r="E84" s="209" t="e">
        <v>#NUM!</v>
      </c>
    </row>
    <row r="85" spans="1:5" x14ac:dyDescent="0.2">
      <c r="A85" s="234"/>
      <c r="B85" s="235"/>
      <c r="C85" s="236"/>
      <c r="D85" s="231"/>
      <c r="E85" s="209" t="e">
        <v>#NUM!</v>
      </c>
    </row>
    <row r="86" spans="1:5" x14ac:dyDescent="0.2">
      <c r="A86" s="234"/>
      <c r="B86" s="235"/>
      <c r="C86" s="236"/>
      <c r="D86" s="231"/>
      <c r="E86" s="209" t="e">
        <v>#NUM!</v>
      </c>
    </row>
    <row r="87" spans="1:5" x14ac:dyDescent="0.2">
      <c r="A87" s="234"/>
      <c r="B87" s="235"/>
      <c r="C87" s="236"/>
      <c r="D87" s="231"/>
      <c r="E87" s="209" t="e">
        <v>#NUM!</v>
      </c>
    </row>
    <row r="88" spans="1:5" x14ac:dyDescent="0.2">
      <c r="A88" s="234"/>
      <c r="B88" s="235"/>
      <c r="C88" s="236"/>
      <c r="D88" s="231"/>
      <c r="E88" s="209" t="e">
        <v>#NUM!</v>
      </c>
    </row>
    <row r="89" spans="1:5" x14ac:dyDescent="0.2">
      <c r="A89" s="234"/>
      <c r="B89" s="235"/>
      <c r="C89" s="236"/>
      <c r="D89" s="231"/>
      <c r="E89" s="209" t="e">
        <v>#NUM!</v>
      </c>
    </row>
    <row r="90" spans="1:5" x14ac:dyDescent="0.2">
      <c r="A90" s="234"/>
      <c r="B90" s="235"/>
      <c r="C90" s="236"/>
      <c r="D90" s="231"/>
      <c r="E90" s="209" t="e">
        <v>#NUM!</v>
      </c>
    </row>
    <row r="91" spans="1:5" x14ac:dyDescent="0.2">
      <c r="A91" s="234"/>
      <c r="B91" s="235"/>
      <c r="C91" s="236"/>
      <c r="D91" s="231"/>
      <c r="E91" s="209" t="e">
        <v>#NUM!</v>
      </c>
    </row>
    <row r="92" spans="1:5" x14ac:dyDescent="0.2">
      <c r="A92" s="234"/>
      <c r="B92" s="235"/>
      <c r="C92" s="236"/>
      <c r="D92" s="231"/>
      <c r="E92" s="209" t="e">
        <v>#NUM!</v>
      </c>
    </row>
    <row r="93" spans="1:5" x14ac:dyDescent="0.2">
      <c r="A93" s="234"/>
      <c r="B93" s="235"/>
      <c r="C93" s="236"/>
      <c r="D93" s="231"/>
      <c r="E93" s="209" t="e">
        <v>#NUM!</v>
      </c>
    </row>
    <row r="94" spans="1:5" x14ac:dyDescent="0.2">
      <c r="A94" s="234"/>
      <c r="B94" s="235"/>
      <c r="C94" s="236"/>
      <c r="D94" s="231"/>
      <c r="E94" s="209" t="e">
        <v>#NUM!</v>
      </c>
    </row>
    <row r="95" spans="1:5" x14ac:dyDescent="0.2">
      <c r="A95" s="234"/>
      <c r="B95" s="235"/>
      <c r="C95" s="236"/>
      <c r="D95" s="231"/>
      <c r="E95" s="209" t="e">
        <v>#NUM!</v>
      </c>
    </row>
    <row r="96" spans="1:5" x14ac:dyDescent="0.2">
      <c r="A96" s="234"/>
      <c r="B96" s="235"/>
      <c r="C96" s="236"/>
      <c r="D96" s="231"/>
      <c r="E96" s="209" t="e">
        <v>#NUM!</v>
      </c>
    </row>
    <row r="97" spans="1:5" x14ac:dyDescent="0.2">
      <c r="A97" s="234"/>
      <c r="B97" s="235"/>
      <c r="C97" s="236"/>
      <c r="D97" s="231"/>
      <c r="E97" s="209" t="e">
        <v>#NUM!</v>
      </c>
    </row>
    <row r="98" spans="1:5" x14ac:dyDescent="0.2">
      <c r="A98" s="234"/>
      <c r="B98" s="235"/>
      <c r="C98" s="236"/>
      <c r="D98" s="231"/>
      <c r="E98" s="209" t="e">
        <v>#NUM!</v>
      </c>
    </row>
    <row r="99" spans="1:5" x14ac:dyDescent="0.2">
      <c r="A99" s="234"/>
      <c r="B99" s="235"/>
      <c r="C99" s="236"/>
      <c r="D99" s="231"/>
      <c r="E99" s="209" t="e">
        <v>#NUM!</v>
      </c>
    </row>
    <row r="100" spans="1:5" x14ac:dyDescent="0.2">
      <c r="A100" s="234"/>
      <c r="B100" s="235"/>
      <c r="C100" s="236"/>
      <c r="D100" s="231"/>
      <c r="E100" s="209" t="e">
        <v>#NUM!</v>
      </c>
    </row>
    <row r="101" spans="1:5" x14ac:dyDescent="0.2">
      <c r="A101" s="234"/>
      <c r="B101" s="235"/>
      <c r="C101" s="236"/>
      <c r="D101" s="231"/>
      <c r="E101" s="209" t="e">
        <v>#NUM!</v>
      </c>
    </row>
    <row r="102" spans="1:5" x14ac:dyDescent="0.2">
      <c r="A102" s="234"/>
      <c r="B102" s="235"/>
      <c r="C102" s="236"/>
      <c r="D102" s="231"/>
      <c r="E102" s="209" t="e">
        <v>#NUM!</v>
      </c>
    </row>
    <row r="103" spans="1:5" x14ac:dyDescent="0.2">
      <c r="A103" s="234"/>
      <c r="B103" s="235"/>
      <c r="C103" s="236"/>
      <c r="D103" s="231"/>
      <c r="E103" s="209" t="e">
        <v>#NUM!</v>
      </c>
    </row>
    <row r="104" spans="1:5" x14ac:dyDescent="0.2">
      <c r="A104" s="234"/>
      <c r="B104" s="235"/>
      <c r="C104" s="236"/>
      <c r="D104" s="231"/>
      <c r="E104" s="209" t="e">
        <v>#NUM!</v>
      </c>
    </row>
    <row r="105" spans="1:5" x14ac:dyDescent="0.2">
      <c r="A105" s="234"/>
      <c r="B105" s="235"/>
      <c r="C105" s="236"/>
      <c r="D105" s="231"/>
      <c r="E105" s="209" t="e">
        <v>#NUM!</v>
      </c>
    </row>
    <row r="106" spans="1:5" x14ac:dyDescent="0.2">
      <c r="A106" s="234"/>
      <c r="B106" s="235"/>
      <c r="C106" s="236"/>
      <c r="D106" s="231"/>
      <c r="E106" s="209" t="e">
        <v>#NUM!</v>
      </c>
    </row>
    <row r="107" spans="1:5" x14ac:dyDescent="0.2">
      <c r="A107" s="234"/>
      <c r="B107" s="235"/>
      <c r="C107" s="236"/>
      <c r="D107" s="231"/>
      <c r="E107" s="209" t="e">
        <v>#NUM!</v>
      </c>
    </row>
    <row r="108" spans="1:5" x14ac:dyDescent="0.2">
      <c r="A108" s="234"/>
      <c r="B108" s="235"/>
      <c r="C108" s="236"/>
      <c r="D108" s="231"/>
      <c r="E108" s="209" t="e">
        <v>#NUM!</v>
      </c>
    </row>
    <row r="109" spans="1:5" x14ac:dyDescent="0.2">
      <c r="A109" s="234"/>
      <c r="B109" s="235"/>
      <c r="C109" s="236"/>
      <c r="D109" s="231"/>
      <c r="E109" s="209" t="e">
        <v>#NUM!</v>
      </c>
    </row>
    <row r="110" spans="1:5" x14ac:dyDescent="0.2">
      <c r="A110" s="234"/>
      <c r="B110" s="235"/>
      <c r="C110" s="236"/>
      <c r="D110" s="231"/>
      <c r="E110" s="209" t="e">
        <v>#NUM!</v>
      </c>
    </row>
    <row r="111" spans="1:5" x14ac:dyDescent="0.2">
      <c r="A111" s="234"/>
      <c r="B111" s="235"/>
      <c r="C111" s="236"/>
      <c r="D111" s="231"/>
      <c r="E111" s="209" t="e">
        <v>#NUM!</v>
      </c>
    </row>
    <row r="112" spans="1:5" x14ac:dyDescent="0.2">
      <c r="A112" s="234"/>
      <c r="B112" s="235"/>
      <c r="C112" s="236"/>
      <c r="D112" s="231"/>
      <c r="E112" s="209" t="e">
        <v>#NUM!</v>
      </c>
    </row>
    <row r="113" spans="1:5" x14ac:dyDescent="0.2">
      <c r="A113" s="234"/>
      <c r="B113" s="235"/>
      <c r="C113" s="236"/>
      <c r="D113" s="231"/>
      <c r="E113" s="209" t="e">
        <v>#NUM!</v>
      </c>
    </row>
    <row r="114" spans="1:5" x14ac:dyDescent="0.2">
      <c r="A114" s="234"/>
      <c r="B114" s="235"/>
      <c r="C114" s="236"/>
      <c r="D114" s="231"/>
      <c r="E114" s="209" t="e">
        <v>#NUM!</v>
      </c>
    </row>
    <row r="115" spans="1:5" x14ac:dyDescent="0.2">
      <c r="A115" s="234"/>
      <c r="B115" s="235"/>
      <c r="C115" s="236"/>
      <c r="D115" s="231"/>
      <c r="E115" s="209" t="e">
        <v>#NUM!</v>
      </c>
    </row>
    <row r="116" spans="1:5" x14ac:dyDescent="0.2">
      <c r="A116" s="234"/>
      <c r="B116" s="235"/>
      <c r="C116" s="236"/>
      <c r="D116" s="231"/>
      <c r="E116" s="209" t="e">
        <v>#NUM!</v>
      </c>
    </row>
    <row r="117" spans="1:5" x14ac:dyDescent="0.2">
      <c r="A117" s="234"/>
      <c r="B117" s="235"/>
      <c r="C117" s="236"/>
      <c r="D117" s="231"/>
      <c r="E117" s="209" t="e">
        <v>#NUM!</v>
      </c>
    </row>
    <row r="118" spans="1:5" x14ac:dyDescent="0.2">
      <c r="A118" s="234"/>
      <c r="B118" s="235"/>
      <c r="C118" s="236"/>
      <c r="D118" s="231"/>
      <c r="E118" s="209" t="e">
        <v>#NUM!</v>
      </c>
    </row>
    <row r="119" spans="1:5" x14ac:dyDescent="0.2">
      <c r="A119" s="234"/>
      <c r="B119" s="235"/>
      <c r="C119" s="236"/>
      <c r="D119" s="231"/>
      <c r="E119" s="209" t="e">
        <v>#NUM!</v>
      </c>
    </row>
    <row r="120" spans="1:5" x14ac:dyDescent="0.2">
      <c r="A120" s="234"/>
      <c r="B120" s="235"/>
      <c r="C120" s="236"/>
      <c r="D120" s="231"/>
      <c r="E120" s="209" t="e">
        <v>#NUM!</v>
      </c>
    </row>
    <row r="121" spans="1:5" x14ac:dyDescent="0.2">
      <c r="A121" s="234"/>
      <c r="B121" s="235"/>
      <c r="C121" s="236"/>
      <c r="D121" s="231"/>
      <c r="E121" s="209" t="e">
        <v>#NUM!</v>
      </c>
    </row>
    <row r="122" spans="1:5" x14ac:dyDescent="0.2">
      <c r="A122" s="234"/>
      <c r="B122" s="235"/>
      <c r="C122" s="236"/>
      <c r="D122" s="231"/>
      <c r="E122" s="209" t="e">
        <v>#NUM!</v>
      </c>
    </row>
    <row r="123" spans="1:5" x14ac:dyDescent="0.2">
      <c r="A123" s="234"/>
      <c r="B123" s="235"/>
      <c r="C123" s="236"/>
      <c r="D123" s="231"/>
      <c r="E123" s="209" t="e">
        <v>#NUM!</v>
      </c>
    </row>
    <row r="124" spans="1:5" x14ac:dyDescent="0.2">
      <c r="A124" s="234"/>
      <c r="B124" s="235"/>
      <c r="C124" s="236"/>
      <c r="D124" s="231"/>
      <c r="E124" s="209" t="e">
        <v>#NUM!</v>
      </c>
    </row>
    <row r="125" spans="1:5" x14ac:dyDescent="0.2">
      <c r="A125" s="234"/>
      <c r="B125" s="235"/>
      <c r="C125" s="236"/>
      <c r="D125" s="231"/>
      <c r="E125" s="209" t="e">
        <v>#NUM!</v>
      </c>
    </row>
    <row r="126" spans="1:5" x14ac:dyDescent="0.2">
      <c r="A126" s="234"/>
      <c r="B126" s="235"/>
      <c r="C126" s="236"/>
      <c r="D126" s="231"/>
      <c r="E126" s="209" t="e">
        <v>#NUM!</v>
      </c>
    </row>
    <row r="127" spans="1:5" x14ac:dyDescent="0.2">
      <c r="A127" s="237"/>
      <c r="B127" s="238"/>
      <c r="C127" s="239"/>
      <c r="D127" s="240"/>
      <c r="E127" s="209" t="e">
        <v>#NUM!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7" width="3.1640625" style="167" customWidth="1"/>
    <col min="8" max="8" width="4.33203125" style="167" customWidth="1"/>
    <col min="9" max="9" width="7.83203125" style="167" customWidth="1"/>
    <col min="10" max="10" width="9.33203125" style="167" bestFit="1" customWidth="1"/>
    <col min="11" max="11" width="3.1640625" style="167" customWidth="1"/>
    <col min="12" max="12" width="9.33203125" style="167" bestFit="1" customWidth="1"/>
    <col min="13" max="13" width="3.1640625" style="167" customWidth="1"/>
    <col min="14" max="14" width="11.6640625" style="167" bestFit="1" customWidth="1"/>
    <col min="15" max="15" width="10.5" style="167" bestFit="1" customWidth="1"/>
    <col min="16" max="16" width="5.83203125" style="167" customWidth="1"/>
    <col min="17" max="16384" width="9.33203125" style="172"/>
  </cols>
  <sheetData>
    <row r="1" spans="1:16" ht="12" thickBot="1" x14ac:dyDescent="0.25">
      <c r="A1" s="164"/>
      <c r="D1" s="165"/>
      <c r="E1" s="165"/>
      <c r="F1" s="166"/>
      <c r="H1" s="168"/>
      <c r="I1" s="169"/>
      <c r="J1" s="169"/>
      <c r="K1" s="170"/>
      <c r="L1" s="170"/>
      <c r="M1" s="170"/>
      <c r="N1" s="169"/>
      <c r="P1" s="171"/>
    </row>
    <row r="2" spans="1:16" ht="12.75" thickBot="1" x14ac:dyDescent="0.3">
      <c r="A2" s="316"/>
      <c r="B2" s="315"/>
      <c r="C2" s="332" t="str">
        <f>Currency&amp;"_015_SyntheticQuotes"&amp;".xml"</f>
        <v>EUR_015_SyntheticQuotes.xml</v>
      </c>
      <c r="D2" s="333" t="str">
        <f>IF(Serialize,_xll.ohObjectSave(D3:D84,SerializationPath&amp;C2,FileOverwrite,Serialize),"---")</f>
        <v>---</v>
      </c>
      <c r="E2" s="273" t="str">
        <f>_xll.ohRangeRetrieveError(D2)</f>
        <v/>
      </c>
      <c r="F2" s="173"/>
      <c r="H2" s="174"/>
      <c r="I2" s="275"/>
      <c r="J2" s="276" t="s">
        <v>82</v>
      </c>
      <c r="K2" s="175"/>
      <c r="L2" s="283" t="s">
        <v>83</v>
      </c>
      <c r="M2" s="175"/>
      <c r="N2" s="275" t="s">
        <v>84</v>
      </c>
      <c r="O2" s="287" t="s">
        <v>85</v>
      </c>
      <c r="P2" s="353">
        <f>_xll.ohTrigger(O3:O7)</f>
        <v>2</v>
      </c>
    </row>
    <row r="3" spans="1:16" x14ac:dyDescent="0.2">
      <c r="A3" s="335">
        <v>1</v>
      </c>
      <c r="B3" s="323" t="s">
        <v>86</v>
      </c>
      <c r="C3" s="324" t="str">
        <f t="shared" ref="C3" si="0">Currency&amp;$B3&amp;"_SYNTH"&amp;Tenor1M&amp;QuoteSuffix</f>
        <v>EURSND_SYNTH1M_Quote</v>
      </c>
      <c r="D3" s="325" t="str">
        <f>_xll.qlSimpleQuote(C3,,RateTickValue,Permanent,EvaluationDate,ObjectOverwrite)</f>
        <v>EURSND_SYNTH1M_Quote#0001</v>
      </c>
      <c r="E3" s="319" t="str">
        <f>_xll.ohRangeRetrieveError(D3)</f>
        <v/>
      </c>
      <c r="F3" s="173"/>
      <c r="H3" s="174"/>
      <c r="I3" s="277" t="s">
        <v>86</v>
      </c>
      <c r="J3" s="278">
        <f>SynthDepo!G34</f>
        <v>3.0113670807705117E-4</v>
      </c>
      <c r="K3" s="178" t="s">
        <v>87</v>
      </c>
      <c r="L3" s="284">
        <v>1.2990526139239887E-3</v>
      </c>
      <c r="M3" s="175"/>
      <c r="N3" s="288">
        <f t="array" ref="N3:N84">QuoteStatic</f>
        <v>1.2990526139239887E-3</v>
      </c>
      <c r="O3" s="289" t="e">
        <f>_xll.qlSimpleQuoteSetValue(D3,ROUND($N3,6),EvaluationDate)</f>
        <v>#N/A</v>
      </c>
      <c r="P3" s="176"/>
    </row>
    <row r="4" spans="1:16" x14ac:dyDescent="0.2">
      <c r="A4" s="336" t="str">
        <f>_xll.qlPeriodEquivalent(Months1M&amp;"M")</f>
        <v>1M</v>
      </c>
      <c r="B4" s="326" t="s">
        <v>88</v>
      </c>
      <c r="C4" s="179" t="str">
        <f t="shared" ref="C4:C7" si="1">Currency&amp;$B4&amp;"_SYNTH"&amp;Tenor1M&amp;QuoteSuffix</f>
        <v>EURSWD_SYNTH1M_Quote</v>
      </c>
      <c r="D4" s="327" t="str">
        <f>_xll.qlSimpleQuote(C4,,RateTickValue,Permanent,EvaluationDate,ObjectOverwrite)</f>
        <v>EURSWD_SYNTH1M_Quote#0001</v>
      </c>
      <c r="E4" s="320" t="str">
        <f>_xll.ohRangeRetrieveError(D4)</f>
        <v/>
      </c>
      <c r="F4" s="173"/>
      <c r="H4" s="174"/>
      <c r="I4" s="277" t="s">
        <v>88</v>
      </c>
      <c r="J4" s="278">
        <f>SynthDepo!G35</f>
        <v>2.2795695475017773E-4</v>
      </c>
      <c r="K4" s="178" t="s">
        <v>87</v>
      </c>
      <c r="L4" s="284">
        <v>1.1762484592441206E-3</v>
      </c>
      <c r="M4" s="175"/>
      <c r="N4" s="288">
        <v>1.1762484592441206E-3</v>
      </c>
      <c r="O4" s="289" t="e">
        <f>_xll.qlSimpleQuoteSetValue(D4,ROUND($N4,6),EvaluationDate)</f>
        <v>#N/A</v>
      </c>
      <c r="P4" s="176"/>
    </row>
    <row r="5" spans="1:16" x14ac:dyDescent="0.2">
      <c r="A5" s="337"/>
      <c r="B5" s="326" t="s">
        <v>89</v>
      </c>
      <c r="C5" s="179" t="str">
        <f t="shared" si="1"/>
        <v>EUR2WD_SYNTH1M_Quote</v>
      </c>
      <c r="D5" s="327" t="str">
        <f>_xll.qlSimpleQuote(C5,,RateTickValue,Permanent,EvaluationDate,ObjectOverwrite)</f>
        <v>EUR2WD_SYNTH1M_Quote#0001</v>
      </c>
      <c r="E5" s="320" t="str">
        <f>_xll.ohRangeRetrieveError(D5)</f>
        <v/>
      </c>
      <c r="F5" s="173"/>
      <c r="H5" s="174"/>
      <c r="I5" s="277" t="s">
        <v>89</v>
      </c>
      <c r="J5" s="278">
        <f>SynthDepo!G36</f>
        <v>2.9591391364798862E-4</v>
      </c>
      <c r="K5" s="178" t="s">
        <v>87</v>
      </c>
      <c r="L5" s="284">
        <v>1.1863102747473662E-3</v>
      </c>
      <c r="M5" s="175"/>
      <c r="N5" s="288">
        <v>1.1863102747473662E-3</v>
      </c>
      <c r="O5" s="289" t="e">
        <f>_xll.qlSimpleQuoteSetValue(D5,ROUND($N5,6),EvaluationDate)</f>
        <v>#N/A</v>
      </c>
      <c r="P5" s="176"/>
    </row>
    <row r="6" spans="1:16" x14ac:dyDescent="0.2">
      <c r="A6" s="337"/>
      <c r="B6" s="326" t="s">
        <v>90</v>
      </c>
      <c r="C6" s="179" t="str">
        <f t="shared" si="1"/>
        <v>EUR3WD_SYNTH1M_Quote</v>
      </c>
      <c r="D6" s="327" t="str">
        <f>_xll.qlSimpleQuote(C6,,RateTickValue,Permanent,EvaluationDate,ObjectOverwrite)</f>
        <v>EUR3WD_SYNTH1M_Quote#0001</v>
      </c>
      <c r="E6" s="320" t="str">
        <f>_xll.ohRangeRetrieveError(D6)</f>
        <v/>
      </c>
      <c r="F6" s="173"/>
      <c r="H6" s="174"/>
      <c r="I6" s="279" t="s">
        <v>90</v>
      </c>
      <c r="J6" s="280">
        <f>SynthDepo!G37</f>
        <v>3.0387087041720405E-4</v>
      </c>
      <c r="K6" s="178" t="s">
        <v>87</v>
      </c>
      <c r="L6" s="285">
        <v>1.1363720928420505E-3</v>
      </c>
      <c r="M6" s="175"/>
      <c r="N6" s="290">
        <v>1.1363720928420505E-3</v>
      </c>
      <c r="O6" s="291" t="e">
        <f>_xll.qlSimpleQuoteSetValue(D6,ROUND($N6,6),EvaluationDate)</f>
        <v>#N/A</v>
      </c>
      <c r="P6" s="176"/>
    </row>
    <row r="7" spans="1:16" ht="12" thickBot="1" x14ac:dyDescent="0.25">
      <c r="A7" s="338"/>
      <c r="B7" s="334" t="s">
        <v>91</v>
      </c>
      <c r="C7" s="274" t="str">
        <f t="shared" si="1"/>
        <v>EUR1MD_SYNTH1M_Quote</v>
      </c>
      <c r="D7" s="330" t="str">
        <f>_xll.qlSimpleQuote(C7,,RateTickValue,Permanent,EvaluationDate,ObjectOverwrite)</f>
        <v>EUR1MD_SYNTH1M_Quote#0001</v>
      </c>
      <c r="E7" s="331" t="str">
        <f>_xll.ohRangeRetrieveError(D7)</f>
        <v/>
      </c>
      <c r="F7" s="173"/>
      <c r="H7" s="297"/>
      <c r="I7" s="281" t="s">
        <v>91</v>
      </c>
      <c r="J7" s="282">
        <f>SynthDepo!G38</f>
        <v>3.363746597136649E-4</v>
      </c>
      <c r="K7" s="298" t="s">
        <v>87</v>
      </c>
      <c r="L7" s="286">
        <v>1.1021658586514449E-3</v>
      </c>
      <c r="M7" s="297"/>
      <c r="N7" s="292">
        <v>1.1021658586514449E-3</v>
      </c>
      <c r="O7" s="293" t="e">
        <f>_xll.qlSimpleQuoteSetValue(D7,ROUND($N7,6),EvaluationDate)</f>
        <v>#N/A</v>
      </c>
      <c r="P7" s="297"/>
    </row>
    <row r="8" spans="1:16" x14ac:dyDescent="0.2">
      <c r="A8" s="317">
        <v>3</v>
      </c>
      <c r="B8" s="323" t="s">
        <v>86</v>
      </c>
      <c r="C8" s="324" t="str">
        <f t="shared" ref="C8:C14" si="2">Currency&amp;$B8&amp;"_SYNTH"&amp;Tenor3M&amp;QuoteSuffix</f>
        <v>EURSND_SYNTH3M_Quote</v>
      </c>
      <c r="D8" s="325" t="str">
        <f>_xll.qlSimpleQuote(C8,,RateTickValue,Permanent,EvaluationDate,ObjectOverwrite)</f>
        <v>EURSND_SYNTH3M_Quote#0001</v>
      </c>
      <c r="E8" s="319"/>
      <c r="F8" s="181"/>
      <c r="H8" s="184"/>
      <c r="I8" s="299" t="s">
        <v>86</v>
      </c>
      <c r="J8" s="300">
        <f>SynthDepo!H34</f>
        <v>9.8782345853039785E-3</v>
      </c>
      <c r="K8" s="185"/>
      <c r="L8" s="301">
        <v>2.8434103207334591E-3</v>
      </c>
      <c r="M8" s="183"/>
      <c r="N8" s="302">
        <v>2.8434103207334591E-3</v>
      </c>
      <c r="O8" s="303" t="e">
        <f>_xll.qlSimpleQuoteSetValue(D8,ROUND($N8,6),EvaluationDate)</f>
        <v>#N/A</v>
      </c>
      <c r="P8" s="354">
        <f>_xll.ohTrigger(O8:O14)</f>
        <v>2</v>
      </c>
    </row>
    <row r="9" spans="1:16" x14ac:dyDescent="0.2">
      <c r="A9" s="318" t="str">
        <f>_xll.qlPeriodEquivalent(Months3M&amp;"M")</f>
        <v>3M</v>
      </c>
      <c r="B9" s="326" t="s">
        <v>88</v>
      </c>
      <c r="C9" s="179" t="str">
        <f t="shared" si="2"/>
        <v>EURSWD_SYNTH3M_Quote</v>
      </c>
      <c r="D9" s="327" t="str">
        <f>_xll.qlSimpleQuote(C9,,RateTickValue,Permanent,EvaluationDate,ObjectOverwrite)</f>
        <v>EURSWD_SYNTH3M_Quote#0001</v>
      </c>
      <c r="E9" s="320"/>
      <c r="F9" s="181"/>
      <c r="H9" s="184"/>
      <c r="I9" s="294" t="s">
        <v>88</v>
      </c>
      <c r="J9" s="278">
        <f>SynthDepo!H35</f>
        <v>9.2175922072087798E-3</v>
      </c>
      <c r="K9" s="185"/>
      <c r="L9" s="284">
        <v>2.6816512146540595E-3</v>
      </c>
      <c r="M9" s="183"/>
      <c r="N9" s="288">
        <v>2.6816512146540595E-3</v>
      </c>
      <c r="O9" s="289" t="e">
        <f>_xll.qlSimpleQuoteSetValue(D9,ROUND($N9,6),EvaluationDate)</f>
        <v>#N/A</v>
      </c>
      <c r="P9" s="176"/>
    </row>
    <row r="10" spans="1:16" x14ac:dyDescent="0.2">
      <c r="A10" s="180"/>
      <c r="B10" s="326" t="s">
        <v>89</v>
      </c>
      <c r="C10" s="179" t="str">
        <f t="shared" si="2"/>
        <v>EUR2WD_SYNTH3M_Quote</v>
      </c>
      <c r="D10" s="327" t="str">
        <f>_xll.qlSimpleQuote(C10,,RateTickValue,Permanent,EvaluationDate,ObjectOverwrite)</f>
        <v>EUR2WD_SYNTH3M_Quote#0001</v>
      </c>
      <c r="E10" s="320"/>
      <c r="F10" s="181"/>
      <c r="H10" s="184"/>
      <c r="I10" s="294" t="s">
        <v>89</v>
      </c>
      <c r="J10" s="278">
        <f>SynthDepo!H36</f>
        <v>8.6326060175238774E-3</v>
      </c>
      <c r="K10" s="185"/>
      <c r="L10" s="284">
        <v>2.6506000221447946E-3</v>
      </c>
      <c r="M10" s="183"/>
      <c r="N10" s="288">
        <v>2.6506000221447946E-3</v>
      </c>
      <c r="O10" s="289" t="e">
        <f>_xll.qlSimpleQuoteSetValue(D10,ROUND($N10,6),EvaluationDate)</f>
        <v>#N/A</v>
      </c>
      <c r="P10" s="176"/>
    </row>
    <row r="11" spans="1:16" x14ac:dyDescent="0.2">
      <c r="A11" s="180"/>
      <c r="B11" s="326" t="s">
        <v>90</v>
      </c>
      <c r="C11" s="179" t="str">
        <f t="shared" si="2"/>
        <v>EUR3WD_SYNTH3M_Quote</v>
      </c>
      <c r="D11" s="327" t="str">
        <f>_xll.qlSimpleQuote(C11,,RateTickValue,Permanent,EvaluationDate,ObjectOverwrite)</f>
        <v>EUR3WD_SYNTH3M_Quote#0001</v>
      </c>
      <c r="E11" s="320"/>
      <c r="F11" s="181"/>
      <c r="H11" s="184"/>
      <c r="I11" s="295" t="s">
        <v>90</v>
      </c>
      <c r="J11" s="280">
        <f>SynthDepo!H37</f>
        <v>8.0225443480994533E-3</v>
      </c>
      <c r="K11" s="185"/>
      <c r="L11" s="285">
        <v>2.5642166856129065E-3</v>
      </c>
      <c r="M11" s="183"/>
      <c r="N11" s="290">
        <v>2.5642166856129065E-3</v>
      </c>
      <c r="O11" s="291" t="e">
        <f>_xll.qlSimpleQuoteSetValue(D11,ROUND($N11,6),EvaluationDate)</f>
        <v>#N/A</v>
      </c>
      <c r="P11" s="176"/>
    </row>
    <row r="12" spans="1:16" x14ac:dyDescent="0.2">
      <c r="A12" s="180"/>
      <c r="B12" s="326" t="s">
        <v>91</v>
      </c>
      <c r="C12" s="179" t="str">
        <f t="shared" si="2"/>
        <v>EUR1MD_SYNTH3M_Quote</v>
      </c>
      <c r="D12" s="328" t="str">
        <f>_xll.qlSimpleQuote(C12,,RateTickValue,Permanent,EvaluationDate,ObjectOverwrite)</f>
        <v>EUR1MD_SYNTH3M_Quote#0001</v>
      </c>
      <c r="E12" s="321"/>
      <c r="F12" s="181"/>
      <c r="H12" s="184"/>
      <c r="I12" s="294" t="s">
        <v>91</v>
      </c>
      <c r="J12" s="278">
        <f>SynthDepo!H38</f>
        <v>7.1544378006532187E-3</v>
      </c>
      <c r="K12" s="185"/>
      <c r="L12" s="284">
        <v>2.4900112820817597E-3</v>
      </c>
      <c r="M12" s="183"/>
      <c r="N12" s="288">
        <v>2.4900112820817597E-3</v>
      </c>
      <c r="O12" s="289" t="e">
        <f>_xll.qlSimpleQuoteSetValue(D12,ROUND($N12,6),EvaluationDate)</f>
        <v>#N/A</v>
      </c>
      <c r="P12" s="176"/>
    </row>
    <row r="13" spans="1:16" x14ac:dyDescent="0.2">
      <c r="A13" s="180"/>
      <c r="B13" s="326" t="s">
        <v>92</v>
      </c>
      <c r="C13" s="179" t="str">
        <f t="shared" si="2"/>
        <v>EUR2MD_SYNTH3M_Quote</v>
      </c>
      <c r="D13" s="328" t="str">
        <f>_xll.qlSimpleQuote(C13,,RateTickValue,Permanent,EvaluationDate,ObjectOverwrite)</f>
        <v>EUR2MD_SYNTH3M_Quote#0001</v>
      </c>
      <c r="E13" s="321"/>
      <c r="F13" s="181"/>
      <c r="H13" s="184"/>
      <c r="I13" s="294" t="s">
        <v>92</v>
      </c>
      <c r="J13" s="278">
        <f>SynthDepo!H39</f>
        <v>5.260667428024334E-3</v>
      </c>
      <c r="K13" s="185"/>
      <c r="L13" s="284">
        <v>2.2539415818788868E-3</v>
      </c>
      <c r="M13" s="183"/>
      <c r="N13" s="288">
        <v>2.2539415818788868E-3</v>
      </c>
      <c r="O13" s="289" t="e">
        <f>_xll.qlSimpleQuoteSetValue(D13,ROUND($N13,6),EvaluationDate)</f>
        <v>#N/A</v>
      </c>
      <c r="P13" s="176"/>
    </row>
    <row r="14" spans="1:16" ht="12" thickBot="1" x14ac:dyDescent="0.25">
      <c r="A14" s="180"/>
      <c r="B14" s="329" t="s">
        <v>93</v>
      </c>
      <c r="C14" s="274" t="str">
        <f t="shared" si="2"/>
        <v>EUR3MD_SYNTH3M_Quote</v>
      </c>
      <c r="D14" s="330" t="str">
        <f>_xll.qlSimpleQuote(C14,,RateTickValue,Permanent,EvaluationDate,ObjectOverwrite)</f>
        <v>EUR3MD_SYNTH3M_Quote#0001</v>
      </c>
      <c r="E14" s="322"/>
      <c r="F14" s="181"/>
      <c r="H14" s="184"/>
      <c r="I14" s="296" t="s">
        <v>93</v>
      </c>
      <c r="J14" s="282">
        <f>SynthDepo!H40</f>
        <v>3.9783678748207393E-3</v>
      </c>
      <c r="K14" s="185"/>
      <c r="L14" s="286">
        <v>2.1318241815896088E-3</v>
      </c>
      <c r="M14" s="183"/>
      <c r="N14" s="292">
        <v>2.1318241815896088E-3</v>
      </c>
      <c r="O14" s="293" t="e">
        <f>_xll.qlSimpleQuoteSetValue(D14,ROUND($N14,6),EvaluationDate)</f>
        <v>#N/A</v>
      </c>
      <c r="P14" s="176"/>
    </row>
    <row r="15" spans="1:16" x14ac:dyDescent="0.2">
      <c r="A15" s="335">
        <v>6</v>
      </c>
      <c r="B15" s="339" t="s">
        <v>86</v>
      </c>
      <c r="C15" s="324" t="str">
        <f t="shared" ref="C15:C24" si="3">Currency&amp;$B15&amp;"_SYNTH"&amp;Tenor6M&amp;QuoteSuffix</f>
        <v>EURSND_SYNTH6M_Quote</v>
      </c>
      <c r="D15" s="325" t="str">
        <f>_xll.qlSimpleQuote(C15,,RateTickValue,Permanent,EvaluationDate,ObjectOverwrite)</f>
        <v>EURSND_SYNTH6M_Quote#0001</v>
      </c>
      <c r="E15" s="319" t="str">
        <f>_xll.ohRangeRetrieveError(D15)</f>
        <v/>
      </c>
      <c r="F15" s="181"/>
      <c r="H15" s="184"/>
      <c r="I15" s="299" t="s">
        <v>86</v>
      </c>
      <c r="J15" s="300">
        <f>SynthDepo!I34</f>
        <v>3.3378755414275457E-3</v>
      </c>
      <c r="K15" s="185"/>
      <c r="L15" s="301">
        <v>4.2220399232639006E-3</v>
      </c>
      <c r="M15" s="183"/>
      <c r="N15" s="302">
        <v>4.2220399232639006E-3</v>
      </c>
      <c r="O15" s="303" t="e">
        <f>_xll.qlSimpleQuoteSetValue(D15,ROUND($N15,6),EvaluationDate)</f>
        <v>#N/A</v>
      </c>
      <c r="P15" s="355">
        <f>_xll.ohTrigger(O15:O24)</f>
        <v>2</v>
      </c>
    </row>
    <row r="16" spans="1:16" x14ac:dyDescent="0.2">
      <c r="A16" s="336" t="str">
        <f>_xll.qlPeriodEquivalent(Months6M&amp;"M")</f>
        <v>6M</v>
      </c>
      <c r="B16" s="340" t="s">
        <v>88</v>
      </c>
      <c r="C16" s="179" t="str">
        <f t="shared" si="3"/>
        <v>EURSWD_SYNTH6M_Quote</v>
      </c>
      <c r="D16" s="327" t="str">
        <f>_xll.qlSimpleQuote(C16,,RateTickValue,Permanent,EvaluationDate,ObjectOverwrite)</f>
        <v>EURSWD_SYNTH6M_Quote#0001</v>
      </c>
      <c r="E16" s="320" t="str">
        <f>_xll.ohRangeRetrieveError(D16)</f>
        <v/>
      </c>
      <c r="F16" s="181"/>
      <c r="H16" s="184"/>
      <c r="I16" s="294" t="s">
        <v>88</v>
      </c>
      <c r="J16" s="278">
        <f>SynthDepo!I35</f>
        <v>3.2323841705090336E-3</v>
      </c>
      <c r="K16" s="185"/>
      <c r="L16" s="284">
        <v>4.0713063897154815E-3</v>
      </c>
      <c r="M16" s="183"/>
      <c r="N16" s="288">
        <v>4.0713063897154815E-3</v>
      </c>
      <c r="O16" s="289" t="e">
        <f>_xll.qlSimpleQuoteSetValue(D16,ROUND($N16,6),EvaluationDate)</f>
        <v>#N/A</v>
      </c>
      <c r="P16" s="186"/>
    </row>
    <row r="17" spans="1:16" x14ac:dyDescent="0.2">
      <c r="A17" s="342"/>
      <c r="B17" s="340" t="s">
        <v>89</v>
      </c>
      <c r="C17" s="179" t="str">
        <f t="shared" si="3"/>
        <v>EUR2WD_SYNTH6M_Quote</v>
      </c>
      <c r="D17" s="327" t="str">
        <f>_xll.qlSimpleQuote(C17,,RateTickValue,Permanent,EvaluationDate,ObjectOverwrite)</f>
        <v>EUR2WD_SYNTH6M_Quote#0001</v>
      </c>
      <c r="E17" s="320" t="str">
        <f>_xll.ohRangeRetrieveError(D17)</f>
        <v/>
      </c>
      <c r="F17" s="181"/>
      <c r="H17" s="182"/>
      <c r="I17" s="294" t="s">
        <v>89</v>
      </c>
      <c r="J17" s="278">
        <f>SynthDepo!I36</f>
        <v>3.2634639107219899E-3</v>
      </c>
      <c r="K17" s="185"/>
      <c r="L17" s="284">
        <v>4.0512878571078471E-3</v>
      </c>
      <c r="M17" s="183"/>
      <c r="N17" s="288">
        <v>4.0512878571078471E-3</v>
      </c>
      <c r="O17" s="289" t="e">
        <f>_xll.qlSimpleQuoteSetValue(D17,ROUND($N17,6),EvaluationDate)</f>
        <v>#N/A</v>
      </c>
      <c r="P17" s="186"/>
    </row>
    <row r="18" spans="1:16" x14ac:dyDescent="0.2">
      <c r="A18" s="343"/>
      <c r="B18" s="340" t="s">
        <v>90</v>
      </c>
      <c r="C18" s="179" t="str">
        <f t="shared" si="3"/>
        <v>EUR3WD_SYNTH6M_Quote</v>
      </c>
      <c r="D18" s="327" t="str">
        <f>_xll.qlSimpleQuote(C18,,RateTickValue,Permanent,EvaluationDate,ObjectOverwrite)</f>
        <v>EUR3WD_SYNTH6M_Quote#0001</v>
      </c>
      <c r="E18" s="320" t="str">
        <f>_xll.ohRangeRetrieveError(D18)</f>
        <v/>
      </c>
      <c r="F18" s="181"/>
      <c r="H18" s="182"/>
      <c r="I18" s="294" t="s">
        <v>90</v>
      </c>
      <c r="J18" s="278">
        <f>SynthDepo!I37</f>
        <v>3.2354263687352338E-3</v>
      </c>
      <c r="K18" s="185"/>
      <c r="L18" s="284">
        <v>3.9739658641147809E-3</v>
      </c>
      <c r="M18" s="183"/>
      <c r="N18" s="288">
        <v>3.9739658641147809E-3</v>
      </c>
      <c r="O18" s="289" t="e">
        <f>_xll.qlSimpleQuoteSetValue(D18,ROUND($N18,6),EvaluationDate)</f>
        <v>#N/A</v>
      </c>
      <c r="P18" s="186"/>
    </row>
    <row r="19" spans="1:16" x14ac:dyDescent="0.2">
      <c r="A19" s="343"/>
      <c r="B19" s="340" t="s">
        <v>91</v>
      </c>
      <c r="C19" s="179" t="str">
        <f t="shared" si="3"/>
        <v>EUR1MD_SYNTH6M_Quote</v>
      </c>
      <c r="D19" s="327" t="str">
        <f>_xll.qlSimpleQuote(C19,,RateTickValue,Permanent,EvaluationDate,ObjectOverwrite)</f>
        <v>EUR1MD_SYNTH6M_Quote#0001</v>
      </c>
      <c r="E19" s="320" t="str">
        <f>_xll.ohRangeRetrieveError(D19)</f>
        <v/>
      </c>
      <c r="F19" s="181"/>
      <c r="H19" s="182"/>
      <c r="I19" s="294" t="s">
        <v>91</v>
      </c>
      <c r="J19" s="278">
        <f>SynthDepo!I38</f>
        <v>3.2131508288225025E-3</v>
      </c>
      <c r="K19" s="185"/>
      <c r="L19" s="284">
        <v>3.908514131294321E-3</v>
      </c>
      <c r="M19" s="183"/>
      <c r="N19" s="288">
        <v>3.908514131294321E-3</v>
      </c>
      <c r="O19" s="289" t="e">
        <f>_xll.qlSimpleQuoteSetValue(D19,ROUND($N19,6),EvaluationDate)</f>
        <v>#N/A</v>
      </c>
      <c r="P19" s="186"/>
    </row>
    <row r="20" spans="1:16" x14ac:dyDescent="0.2">
      <c r="A20" s="343"/>
      <c r="B20" s="340" t="s">
        <v>92</v>
      </c>
      <c r="C20" s="179" t="str">
        <f t="shared" si="3"/>
        <v>EUR2MD_SYNTH6M_Quote</v>
      </c>
      <c r="D20" s="327" t="str">
        <f>_xll.qlSimpleQuote(C20,,RateTickValue,Permanent,EvaluationDate,ObjectOverwrite)</f>
        <v>EUR2MD_SYNTH6M_Quote#0001</v>
      </c>
      <c r="E20" s="320" t="str">
        <f>_xll.ohRangeRetrieveError(D20)</f>
        <v/>
      </c>
      <c r="F20" s="181"/>
      <c r="H20" s="182"/>
      <c r="I20" s="294" t="s">
        <v>92</v>
      </c>
      <c r="J20" s="278">
        <f>SynthDepo!I39</f>
        <v>3.198932937512828E-3</v>
      </c>
      <c r="K20" s="185"/>
      <c r="L20" s="284">
        <v>3.6766611779947174E-3</v>
      </c>
      <c r="M20" s="183"/>
      <c r="N20" s="288">
        <v>3.6766611779947174E-3</v>
      </c>
      <c r="O20" s="289" t="e">
        <f>_xll.qlSimpleQuoteSetValue(D20,ROUND($N20,6),EvaluationDate)</f>
        <v>#N/A</v>
      </c>
      <c r="P20" s="186"/>
    </row>
    <row r="21" spans="1:16" x14ac:dyDescent="0.2">
      <c r="A21" s="343"/>
      <c r="B21" s="340" t="s">
        <v>93</v>
      </c>
      <c r="C21" s="179" t="str">
        <f t="shared" si="3"/>
        <v>EUR3MD_SYNTH6M_Quote</v>
      </c>
      <c r="D21" s="327" t="str">
        <f>_xll.qlSimpleQuote(C21,,RateTickValue,Permanent,EvaluationDate,ObjectOverwrite)</f>
        <v>EUR3MD_SYNTH6M_Quote#0001</v>
      </c>
      <c r="E21" s="320" t="str">
        <f>_xll.ohRangeRetrieveError(D21)</f>
        <v/>
      </c>
      <c r="F21" s="181"/>
      <c r="H21" s="182"/>
      <c r="I21" s="294" t="s">
        <v>93</v>
      </c>
      <c r="J21" s="278">
        <f>SynthDepo!I40</f>
        <v>3.1709282694208519E-3</v>
      </c>
      <c r="K21" s="185"/>
      <c r="L21" s="284">
        <v>3.5220817831563404E-3</v>
      </c>
      <c r="M21" s="183"/>
      <c r="N21" s="288">
        <v>3.5220817831563404E-3</v>
      </c>
      <c r="O21" s="289" t="e">
        <f>_xll.qlSimpleQuoteSetValue(D21,ROUND($N21,6),EvaluationDate)</f>
        <v>#N/A</v>
      </c>
      <c r="P21" s="186"/>
    </row>
    <row r="22" spans="1:16" x14ac:dyDescent="0.2">
      <c r="A22" s="343"/>
      <c r="B22" s="340" t="s">
        <v>94</v>
      </c>
      <c r="C22" s="179" t="str">
        <f t="shared" si="3"/>
        <v>EUR4MD_SYNTH6M_Quote</v>
      </c>
      <c r="D22" s="327" t="str">
        <f>_xll.qlSimpleQuote(C22,,RateTickValue,Permanent,EvaluationDate,ObjectOverwrite)</f>
        <v>EUR4MD_SYNTH6M_Quote#0001</v>
      </c>
      <c r="E22" s="320" t="str">
        <f>_xll.ohRangeRetrieveError(D22)</f>
        <v/>
      </c>
      <c r="F22" s="181"/>
      <c r="H22" s="182"/>
      <c r="I22" s="294" t="s">
        <v>94</v>
      </c>
      <c r="J22" s="278">
        <f>SynthDepo!I41</f>
        <v>3.1070230043435914E-3</v>
      </c>
      <c r="K22" s="185"/>
      <c r="L22" s="284">
        <v>3.3484610346119787E-3</v>
      </c>
      <c r="M22" s="183"/>
      <c r="N22" s="288">
        <v>3.3484610346119787E-3</v>
      </c>
      <c r="O22" s="289" t="e">
        <f>_xll.qlSimpleQuoteSetValue(D22,ROUND($N22,6),EvaluationDate)</f>
        <v>#N/A</v>
      </c>
      <c r="P22" s="186"/>
    </row>
    <row r="23" spans="1:16" x14ac:dyDescent="0.2">
      <c r="A23" s="343"/>
      <c r="B23" s="340" t="s">
        <v>95</v>
      </c>
      <c r="C23" s="179" t="str">
        <f t="shared" si="3"/>
        <v>EUR5MD_SYNTH6M_Quote</v>
      </c>
      <c r="D23" s="327" t="str">
        <f>_xll.qlSimpleQuote(C23,,RateTickValue,Permanent,EvaluationDate,ObjectOverwrite)</f>
        <v>EUR5MD_SYNTH6M_Quote#0001</v>
      </c>
      <c r="E23" s="320" t="str">
        <f>_xll.ohRangeRetrieveError(D23)</f>
        <v/>
      </c>
      <c r="F23" s="181"/>
      <c r="H23" s="182"/>
      <c r="I23" s="294" t="s">
        <v>95</v>
      </c>
      <c r="J23" s="278">
        <f>SynthDepo!I42</f>
        <v>3.0319852231268192E-3</v>
      </c>
      <c r="K23" s="185"/>
      <c r="L23" s="284">
        <v>3.1771900169376868E-3</v>
      </c>
      <c r="M23" s="183"/>
      <c r="N23" s="288">
        <v>3.1771900169376868E-3</v>
      </c>
      <c r="O23" s="289" t="e">
        <f>_xll.qlSimpleQuoteSetValue(D23,ROUND($N23,6),EvaluationDate)</f>
        <v>#N/A</v>
      </c>
      <c r="P23" s="186"/>
    </row>
    <row r="24" spans="1:16" ht="12" thickBot="1" x14ac:dyDescent="0.25">
      <c r="A24" s="344"/>
      <c r="B24" s="334" t="s">
        <v>96</v>
      </c>
      <c r="C24" s="274" t="str">
        <f t="shared" si="3"/>
        <v>EUR6MD_SYNTH6M_Quote</v>
      </c>
      <c r="D24" s="341" t="str">
        <f>_xll.qlSimpleQuote(C24,,RateTickValue,Permanent,EvaluationDate,ObjectOverwrite)</f>
        <v>EUR6MD_SYNTH6M_Quote#0001</v>
      </c>
      <c r="E24" s="320" t="str">
        <f>_xll.ohRangeRetrieveError(D24)</f>
        <v/>
      </c>
      <c r="F24" s="181"/>
      <c r="H24" s="182"/>
      <c r="I24" s="296" t="s">
        <v>96</v>
      </c>
      <c r="J24" s="282">
        <f>SynthDepo!I43</f>
        <v>2.9501699368548332E-3</v>
      </c>
      <c r="K24" s="185"/>
      <c r="L24" s="286">
        <v>3.0678384022315808E-3</v>
      </c>
      <c r="M24" s="183"/>
      <c r="N24" s="292">
        <v>3.0678384022315808E-3</v>
      </c>
      <c r="O24" s="293" t="e">
        <f>_xll.qlSimpleQuoteSetValue(D24,ROUND($N24,6),EvaluationDate)</f>
        <v>#N/A</v>
      </c>
      <c r="P24" s="186"/>
    </row>
    <row r="25" spans="1:16" x14ac:dyDescent="0.2">
      <c r="A25" s="335">
        <v>12</v>
      </c>
      <c r="B25" s="323" t="s">
        <v>86</v>
      </c>
      <c r="C25" s="324" t="str">
        <f t="shared" ref="C25:C40" si="4">Currency&amp;$B25&amp;"_SYNTH"&amp;Tenor12M&amp;QuoteSuffix</f>
        <v>EURSND_SYNTH1Y_Quote</v>
      </c>
      <c r="D25" s="325" t="str">
        <f>_xll.qlSimpleQuote(C25,,RateTickValue,Permanent,EvaluationDate,ObjectOverwrite)</f>
        <v>EURSND_SYNTH1Y_Quote#0001</v>
      </c>
      <c r="E25" s="319" t="str">
        <f>_xll.ohRangeRetrieveError(D25)</f>
        <v/>
      </c>
      <c r="F25" s="190"/>
      <c r="H25" s="184"/>
      <c r="I25" s="304" t="s">
        <v>86</v>
      </c>
      <c r="J25" s="300">
        <f>SynthDepo!J34</f>
        <v>3.0358338582186963E-4</v>
      </c>
      <c r="K25" s="185"/>
      <c r="L25" s="301">
        <v>5.1093588937015039E-3</v>
      </c>
      <c r="M25" s="183"/>
      <c r="N25" s="302">
        <v>5.1093588937015039E-3</v>
      </c>
      <c r="O25" s="303" t="e">
        <f>_xll.qlSimpleQuoteSetValue(D25,ROUND($N25,6),EvaluationDate)</f>
        <v>#N/A</v>
      </c>
      <c r="P25" s="355">
        <f>_xll.ohTrigger(O25:O40)</f>
        <v>2</v>
      </c>
    </row>
    <row r="26" spans="1:16" x14ac:dyDescent="0.2">
      <c r="A26" s="336" t="str">
        <f>_xll.qlPeriodEquivalent(Months12M&amp;"M")</f>
        <v>1Y</v>
      </c>
      <c r="B26" s="326" t="s">
        <v>88</v>
      </c>
      <c r="C26" s="179" t="str">
        <f t="shared" si="4"/>
        <v>EURSWD_SYNTH1Y_Quote</v>
      </c>
      <c r="D26" s="327" t="str">
        <f>_xll.qlSimpleQuote(C26,,RateTickValue,Permanent,EvaluationDate,ObjectOverwrite)</f>
        <v>EURSWD_SYNTH1Y_Quote#0001</v>
      </c>
      <c r="E26" s="320" t="str">
        <f>_xll.ohRangeRetrieveError(D26)</f>
        <v/>
      </c>
      <c r="F26" s="190"/>
      <c r="H26" s="184"/>
      <c r="I26" s="305" t="s">
        <v>88</v>
      </c>
      <c r="J26" s="278">
        <f>SynthDepo!J35</f>
        <v>2.4508369896390677E-4</v>
      </c>
      <c r="K26" s="185"/>
      <c r="L26" s="284">
        <v>5.0245427018238776E-3</v>
      </c>
      <c r="M26" s="183"/>
      <c r="N26" s="288">
        <v>5.0245427018238776E-3</v>
      </c>
      <c r="O26" s="289" t="e">
        <f>_xll.qlSimpleQuoteSetValue(D26,ROUND($N26,6),EvaluationDate)</f>
        <v>#N/A</v>
      </c>
      <c r="P26" s="186"/>
    </row>
    <row r="27" spans="1:16" x14ac:dyDescent="0.2">
      <c r="A27" s="343"/>
      <c r="B27" s="326" t="s">
        <v>89</v>
      </c>
      <c r="C27" s="179" t="str">
        <f t="shared" si="4"/>
        <v>EUR2WD_SYNTH1Y_Quote</v>
      </c>
      <c r="D27" s="327" t="str">
        <f>_xll.qlSimpleQuote(C27,,RateTickValue,Permanent,EvaluationDate,ObjectOverwrite)</f>
        <v>EUR2WD_SYNTH1Y_Quote#0001</v>
      </c>
      <c r="E27" s="320" t="str">
        <f>_xll.ohRangeRetrieveError(D27)</f>
        <v/>
      </c>
      <c r="F27" s="190"/>
      <c r="H27" s="182"/>
      <c r="I27" s="305" t="s">
        <v>89</v>
      </c>
      <c r="J27" s="278">
        <f>SynthDepo!J36</f>
        <v>3.3016740207544664E-4</v>
      </c>
      <c r="K27" s="185"/>
      <c r="L27" s="284">
        <v>5.0789238072630723E-3</v>
      </c>
      <c r="M27" s="183"/>
      <c r="N27" s="288">
        <v>5.0789238072630723E-3</v>
      </c>
      <c r="O27" s="289" t="e">
        <f>_xll.qlSimpleQuoteSetValue(D27,ROUND($N27,6),EvaluationDate)</f>
        <v>#N/A</v>
      </c>
      <c r="P27" s="186"/>
    </row>
    <row r="28" spans="1:16" x14ac:dyDescent="0.2">
      <c r="A28" s="343"/>
      <c r="B28" s="326" t="s">
        <v>90</v>
      </c>
      <c r="C28" s="179" t="str">
        <f t="shared" si="4"/>
        <v>EUR3WD_SYNTH1Y_Quote</v>
      </c>
      <c r="D28" s="327" t="str">
        <f>_xll.qlSimpleQuote(C28,,RateTickValue,Permanent,EvaluationDate,ObjectOverwrite)</f>
        <v>EUR3WD_SYNTH1Y_Quote#0001</v>
      </c>
      <c r="E28" s="320" t="str">
        <f>_xll.ohRangeRetrieveError(D28)</f>
        <v/>
      </c>
      <c r="F28" s="190"/>
      <c r="H28" s="182"/>
      <c r="I28" s="305" t="s">
        <v>90</v>
      </c>
      <c r="J28" s="278">
        <f>SynthDepo!J37</f>
        <v>3.5525110305839114E-4</v>
      </c>
      <c r="K28" s="185"/>
      <c r="L28" s="284">
        <v>5.0733049152937052E-3</v>
      </c>
      <c r="M28" s="183"/>
      <c r="N28" s="288">
        <v>5.0733049152937052E-3</v>
      </c>
      <c r="O28" s="289" t="e">
        <f>_xll.qlSimpleQuoteSetValue(D28,ROUND($N28,6),EvaluationDate)</f>
        <v>#N/A</v>
      </c>
      <c r="P28" s="186"/>
    </row>
    <row r="29" spans="1:16" x14ac:dyDescent="0.2">
      <c r="A29" s="343"/>
      <c r="B29" s="326" t="s">
        <v>91</v>
      </c>
      <c r="C29" s="179" t="str">
        <f t="shared" si="4"/>
        <v>EUR1MD_SYNTH1Y_Quote</v>
      </c>
      <c r="D29" s="327" t="str">
        <f>_xll.qlSimpleQuote(C29,,RateTickValue,Permanent,EvaluationDate,ObjectOverwrite)</f>
        <v>EUR1MD_SYNTH1Y_Quote#0001</v>
      </c>
      <c r="E29" s="320" t="str">
        <f>_xll.ohRangeRetrieveError(D29)</f>
        <v/>
      </c>
      <c r="F29" s="190"/>
      <c r="H29" s="182"/>
      <c r="I29" s="306" t="s">
        <v>91</v>
      </c>
      <c r="J29" s="280">
        <f>SynthDepo!J38</f>
        <v>4.1466834754785473E-4</v>
      </c>
      <c r="K29" s="185"/>
      <c r="L29" s="285">
        <v>5.0960806253064622E-3</v>
      </c>
      <c r="M29" s="183"/>
      <c r="N29" s="290">
        <v>5.0960806253064622E-3</v>
      </c>
      <c r="O29" s="291" t="e">
        <f>_xll.qlSimpleQuoteSetValue(D29,ROUND($N29,6),EvaluationDate)</f>
        <v>#N/A</v>
      </c>
      <c r="P29" s="186"/>
    </row>
    <row r="30" spans="1:16" x14ac:dyDescent="0.2">
      <c r="A30" s="343"/>
      <c r="B30" s="326" t="s">
        <v>92</v>
      </c>
      <c r="C30" s="179" t="str">
        <f t="shared" si="4"/>
        <v>EUR2MD_SYNTH1Y_Quote</v>
      </c>
      <c r="D30" s="327" t="str">
        <f>_xll.qlSimpleQuote(C30,,RateTickValue,Permanent,EvaluationDate,ObjectOverwrite)</f>
        <v>EUR2MD_SYNTH1Y_Quote#0001</v>
      </c>
      <c r="E30" s="320" t="str">
        <f>_xll.ohRangeRetrieveError(D30)</f>
        <v/>
      </c>
      <c r="F30" s="190"/>
      <c r="H30" s="182"/>
      <c r="I30" s="305" t="s">
        <v>92</v>
      </c>
      <c r="J30" s="278">
        <f>SynthDepo!J39</f>
        <v>6.1216992331115602E-4</v>
      </c>
      <c r="K30" s="185"/>
      <c r="L30" s="284">
        <v>5.149591557830107E-3</v>
      </c>
      <c r="M30" s="183"/>
      <c r="N30" s="288">
        <v>5.149591557830107E-3</v>
      </c>
      <c r="O30" s="289" t="e">
        <f>_xll.qlSimpleQuoteSetValue(D30,ROUND($N30,6),EvaluationDate)</f>
        <v>#N/A</v>
      </c>
      <c r="P30" s="355"/>
    </row>
    <row r="31" spans="1:16" x14ac:dyDescent="0.2">
      <c r="A31" s="343"/>
      <c r="B31" s="326" t="s">
        <v>93</v>
      </c>
      <c r="C31" s="179" t="str">
        <f t="shared" si="4"/>
        <v>EUR3MD_SYNTH1Y_Quote</v>
      </c>
      <c r="D31" s="327" t="str">
        <f>_xll.qlSimpleQuote(C31,,RateTickValue,Permanent,EvaluationDate,ObjectOverwrite)</f>
        <v>EUR3MD_SYNTH1Y_Quote#0001</v>
      </c>
      <c r="E31" s="320" t="str">
        <f>_xll.ohRangeRetrieveError(D31)</f>
        <v/>
      </c>
      <c r="F31" s="190"/>
      <c r="H31" s="182"/>
      <c r="I31" s="305" t="s">
        <v>93</v>
      </c>
      <c r="J31" s="278">
        <f>SynthDepo!J40</f>
        <v>7.7967149910859225E-4</v>
      </c>
      <c r="K31" s="185"/>
      <c r="L31" s="284">
        <v>5.1963132872277469E-3</v>
      </c>
      <c r="M31" s="183"/>
      <c r="N31" s="288">
        <v>5.1963132872277469E-3</v>
      </c>
      <c r="O31" s="289" t="e">
        <f>_xll.qlSimpleQuoteSetValue(D31,ROUND($N31,6),EvaluationDate)</f>
        <v>#N/A</v>
      </c>
      <c r="P31" s="186"/>
    </row>
    <row r="32" spans="1:16" x14ac:dyDescent="0.2">
      <c r="A32" s="343"/>
      <c r="B32" s="326" t="s">
        <v>94</v>
      </c>
      <c r="C32" s="179" t="str">
        <f t="shared" si="4"/>
        <v>EUR4MD_SYNTH1Y_Quote</v>
      </c>
      <c r="D32" s="327" t="str">
        <f>_xll.qlSimpleQuote(C32,,RateTickValue,Permanent,EvaluationDate,ObjectOverwrite)</f>
        <v>EUR4MD_SYNTH1Y_Quote#0001</v>
      </c>
      <c r="E32" s="320" t="str">
        <f>_xll.ohRangeRetrieveError(D32)</f>
        <v/>
      </c>
      <c r="F32" s="190"/>
      <c r="H32" s="182"/>
      <c r="I32" s="305" t="s">
        <v>94</v>
      </c>
      <c r="J32" s="278">
        <f>SynthDepo!J41</f>
        <v>9.0075646102810497E-4</v>
      </c>
      <c r="K32" s="185"/>
      <c r="L32" s="284">
        <v>5.182232320476713E-3</v>
      </c>
      <c r="M32" s="183"/>
      <c r="N32" s="288">
        <v>5.182232320476713E-3</v>
      </c>
      <c r="O32" s="289" t="e">
        <f>_xll.qlSimpleQuoteSetValue(D32,ROUND($N32,6),EvaluationDate)</f>
        <v>#N/A</v>
      </c>
      <c r="P32" s="186"/>
    </row>
    <row r="33" spans="1:16" x14ac:dyDescent="0.2">
      <c r="A33" s="343"/>
      <c r="B33" s="326" t="s">
        <v>95</v>
      </c>
      <c r="C33" s="179" t="str">
        <f t="shared" si="4"/>
        <v>EUR5MD_SYNTH1Y_Quote</v>
      </c>
      <c r="D33" s="327" t="str">
        <f>_xll.qlSimpleQuote(C33,,RateTickValue,Permanent,EvaluationDate,ObjectOverwrite)</f>
        <v>EUR5MD_SYNTH1Y_Quote#0001</v>
      </c>
      <c r="E33" s="320" t="str">
        <f>_xll.ohRangeRetrieveError(D33)</f>
        <v/>
      </c>
      <c r="F33" s="190"/>
      <c r="H33" s="184"/>
      <c r="I33" s="305" t="s">
        <v>95</v>
      </c>
      <c r="J33" s="278">
        <f>SynthDepo!J42</f>
        <v>9.8825803656083519E-4</v>
      </c>
      <c r="K33" s="185"/>
      <c r="L33" s="284">
        <v>5.1265459531722127E-3</v>
      </c>
      <c r="M33" s="183"/>
      <c r="N33" s="288">
        <v>5.1265459531722127E-3</v>
      </c>
      <c r="O33" s="289" t="e">
        <f>_xll.qlSimpleQuoteSetValue(D33,ROUND($N33,6),EvaluationDate)</f>
        <v>#N/A</v>
      </c>
      <c r="P33" s="186"/>
    </row>
    <row r="34" spans="1:16" x14ac:dyDescent="0.2">
      <c r="A34" s="343"/>
      <c r="B34" s="326" t="s">
        <v>96</v>
      </c>
      <c r="C34" s="179" t="str">
        <f t="shared" si="4"/>
        <v>EUR6MD_SYNTH1Y_Quote</v>
      </c>
      <c r="D34" s="327" t="str">
        <f>_xll.qlSimpleQuote(C34,,RateTickValue,Permanent,EvaluationDate,ObjectOverwrite)</f>
        <v>EUR6MD_SYNTH1Y_Quote#0001</v>
      </c>
      <c r="E34" s="320" t="str">
        <f>_xll.ohRangeRetrieveError(D34)</f>
        <v/>
      </c>
      <c r="F34" s="190"/>
      <c r="H34" s="184"/>
      <c r="I34" s="305" t="s">
        <v>96</v>
      </c>
      <c r="J34" s="278">
        <f>SynthDepo!J43</f>
        <v>1.0665097699362881E-3</v>
      </c>
      <c r="K34" s="185"/>
      <c r="L34" s="284">
        <v>5.0732676830278463E-3</v>
      </c>
      <c r="M34" s="183"/>
      <c r="N34" s="288">
        <v>5.0732676830278463E-3</v>
      </c>
      <c r="O34" s="289" t="e">
        <f>_xll.qlSimpleQuoteSetValue(D34,ROUND($N34,6),EvaluationDate)</f>
        <v>#N/A</v>
      </c>
      <c r="P34" s="186"/>
    </row>
    <row r="35" spans="1:16" x14ac:dyDescent="0.2">
      <c r="A35" s="343"/>
      <c r="B35" s="326" t="s">
        <v>97</v>
      </c>
      <c r="C35" s="179" t="str">
        <f t="shared" si="4"/>
        <v>EUR7MD_SYNTH1Y_Quote</v>
      </c>
      <c r="D35" s="327" t="str">
        <f>_xll.qlSimpleQuote(C35,,RateTickValue,Permanent,EvaluationDate,ObjectOverwrite)</f>
        <v>EUR7MD_SYNTH1Y_Quote#0001</v>
      </c>
      <c r="E35" s="320" t="str">
        <f>_xll.ohRangeRetrieveError(D35)</f>
        <v/>
      </c>
      <c r="F35" s="190"/>
      <c r="H35" s="184"/>
      <c r="I35" s="305" t="s">
        <v>97</v>
      </c>
      <c r="J35" s="278">
        <f>SynthDepo!J44</f>
        <v>1.1704279598725607E-3</v>
      </c>
      <c r="K35" s="185"/>
      <c r="L35" s="284">
        <v>5.0383840149423979E-3</v>
      </c>
      <c r="M35" s="183"/>
      <c r="N35" s="288">
        <v>5.0383840149423979E-3</v>
      </c>
      <c r="O35" s="289" t="e">
        <f>_xll.qlSimpleQuoteSetValue(D35,ROUND($N35,6),EvaluationDate)</f>
        <v>#N/A</v>
      </c>
      <c r="P35" s="186"/>
    </row>
    <row r="36" spans="1:16" x14ac:dyDescent="0.2">
      <c r="A36" s="343"/>
      <c r="B36" s="326" t="s">
        <v>98</v>
      </c>
      <c r="C36" s="179" t="str">
        <f t="shared" si="4"/>
        <v>EUR8MD_SYNTH1Y_Quote</v>
      </c>
      <c r="D36" s="327" t="str">
        <f>_xll.qlSimpleQuote(C36,,RateTickValue,Permanent,EvaluationDate,ObjectOverwrite)</f>
        <v>EUR8MD_SYNTH1Y_Quote#0001</v>
      </c>
      <c r="E36" s="320" t="str">
        <f>_xll.ohRangeRetrieveError(D36)</f>
        <v/>
      </c>
      <c r="F36" s="190"/>
      <c r="H36" s="184"/>
      <c r="I36" s="305" t="s">
        <v>98</v>
      </c>
      <c r="J36" s="278">
        <f>SynthDepo!J45</f>
        <v>1.2707627639489557E-3</v>
      </c>
      <c r="K36" s="185"/>
      <c r="L36" s="284">
        <v>5.0135003466961862E-3</v>
      </c>
      <c r="M36" s="183"/>
      <c r="N36" s="288">
        <v>5.0135003466961862E-3</v>
      </c>
      <c r="O36" s="289" t="e">
        <f>_xll.qlSimpleQuoteSetValue(D36,ROUND($N36,6),EvaluationDate)</f>
        <v>#N/A</v>
      </c>
      <c r="P36" s="186"/>
    </row>
    <row r="37" spans="1:16" x14ac:dyDescent="0.2">
      <c r="A37" s="347"/>
      <c r="B37" s="326" t="s">
        <v>99</v>
      </c>
      <c r="C37" s="179" t="str">
        <f t="shared" si="4"/>
        <v>EUR9MD_SYNTH1Y_Quote</v>
      </c>
      <c r="D37" s="327" t="str">
        <f>_xll.qlSimpleQuote(C37,,RateTickValue,Permanent,EvaluationDate,ObjectOverwrite)</f>
        <v>EUR9MD_SYNTH1Y_Quote#0001</v>
      </c>
      <c r="E37" s="320" t="str">
        <f>_xll.ohRangeRetrieveError(D37)</f>
        <v/>
      </c>
      <c r="F37" s="190"/>
      <c r="H37" s="184"/>
      <c r="I37" s="305" t="s">
        <v>99</v>
      </c>
      <c r="J37" s="278">
        <f>SynthDepo!J46</f>
        <v>1.3718477256049663E-3</v>
      </c>
      <c r="K37" s="185"/>
      <c r="L37" s="284">
        <v>4.9810247755534866E-3</v>
      </c>
      <c r="M37" s="183"/>
      <c r="N37" s="288">
        <v>4.9810247755534866E-3</v>
      </c>
      <c r="O37" s="289" t="e">
        <f>_xll.qlSimpleQuoteSetValue(D37,ROUND($N37,6),EvaluationDate)</f>
        <v>#N/A</v>
      </c>
      <c r="P37" s="186"/>
    </row>
    <row r="38" spans="1:16" x14ac:dyDescent="0.2">
      <c r="A38" s="348"/>
      <c r="B38" s="326" t="s">
        <v>100</v>
      </c>
      <c r="C38" s="179" t="str">
        <f t="shared" si="4"/>
        <v>EUR10MD_SYNTH1Y_Quote</v>
      </c>
      <c r="D38" s="327" t="str">
        <f>_xll.qlSimpleQuote(C38,,RateTickValue,Permanent,EvaluationDate,ObjectOverwrite)</f>
        <v>EUR10MD_SYNTH1Y_Quote#0001</v>
      </c>
      <c r="E38" s="320" t="str">
        <f>_xll.ohRangeRetrieveError(D38)</f>
        <v/>
      </c>
      <c r="F38" s="190"/>
      <c r="H38" s="184"/>
      <c r="I38" s="305" t="s">
        <v>100</v>
      </c>
      <c r="J38" s="278">
        <f>SynthDepo!J47</f>
        <v>1.4829326872610486E-3</v>
      </c>
      <c r="K38" s="185"/>
      <c r="L38" s="284">
        <v>4.9561411074682312E-3</v>
      </c>
      <c r="M38" s="183"/>
      <c r="N38" s="288">
        <v>4.9561411074682312E-3</v>
      </c>
      <c r="O38" s="289" t="e">
        <f>_xll.qlSimpleQuoteSetValue(D38,ROUND($N38,6),EvaluationDate)</f>
        <v>#N/A</v>
      </c>
      <c r="P38" s="186"/>
    </row>
    <row r="39" spans="1:16" x14ac:dyDescent="0.2">
      <c r="A39" s="343"/>
      <c r="B39" s="326" t="s">
        <v>101</v>
      </c>
      <c r="C39" s="179" t="str">
        <f t="shared" si="4"/>
        <v>EUR11MD_SYNTH1Y_Quote</v>
      </c>
      <c r="D39" s="327" t="str">
        <f>_xll.qlSimpleQuote(C39,,RateTickValue,Permanent,EvaluationDate,ObjectOverwrite)</f>
        <v>EUR11MD_SYNTH1Y_Quote#0001</v>
      </c>
      <c r="E39" s="320" t="str">
        <f>_xll.ohRangeRetrieveError(D39)</f>
        <v/>
      </c>
      <c r="F39" s="190"/>
      <c r="H39" s="184"/>
      <c r="I39" s="305" t="s">
        <v>101</v>
      </c>
      <c r="J39" s="278">
        <f>SynthDepo!J48</f>
        <v>1.5904342630573267E-3</v>
      </c>
      <c r="K39" s="185"/>
      <c r="L39" s="284">
        <v>4.9304547404206223E-3</v>
      </c>
      <c r="M39" s="183"/>
      <c r="N39" s="288">
        <v>4.9304547404206223E-3</v>
      </c>
      <c r="O39" s="289" t="e">
        <f>_xll.qlSimpleQuoteSetValue(D39,ROUND($N39,6),EvaluationDate)</f>
        <v>#N/A</v>
      </c>
      <c r="P39" s="186"/>
    </row>
    <row r="40" spans="1:16" ht="12" thickBot="1" x14ac:dyDescent="0.25">
      <c r="A40" s="349"/>
      <c r="B40" s="346" t="s">
        <v>102</v>
      </c>
      <c r="C40" s="179" t="str">
        <f t="shared" si="4"/>
        <v>EUR1YD_SYNTH1Y_Quote</v>
      </c>
      <c r="D40" s="327" t="str">
        <f>_xll.qlSimpleQuote(C40,,RateTickValue,Permanent,EvaluationDate,ObjectOverwrite)</f>
        <v>EUR1YD_SYNTH1Y_Quote#0001</v>
      </c>
      <c r="E40" s="320" t="str">
        <f>_xll.ohRangeRetrieveError(D40)</f>
        <v/>
      </c>
      <c r="F40" s="190"/>
      <c r="H40" s="184"/>
      <c r="I40" s="350" t="s">
        <v>102</v>
      </c>
      <c r="J40" s="282">
        <f>SynthDepo!J49</f>
        <v>1.6879358388535762E-3</v>
      </c>
      <c r="K40" s="185"/>
      <c r="L40" s="286">
        <v>4.897176470296776E-3</v>
      </c>
      <c r="M40" s="183"/>
      <c r="N40" s="292">
        <v>4.897176470296776E-3</v>
      </c>
      <c r="O40" s="293" t="e">
        <f>_xll.qlSimpleQuoteSetValue(D40,ROUND($N40,6),EvaluationDate)</f>
        <v>#N/A</v>
      </c>
      <c r="P40" s="355"/>
    </row>
    <row r="41" spans="1:16" x14ac:dyDescent="0.2">
      <c r="A41" s="343">
        <v>1</v>
      </c>
      <c r="B41" s="326" t="str">
        <f t="shared" ref="B41:B84" si="5">A41&amp;"x"&amp;A41+Months12M&amp;"F"</f>
        <v>1x13F</v>
      </c>
      <c r="C41" s="177" t="str">
        <f t="shared" ref="C41:C84" si="6">Currency&amp;$B41&amp;"_SYNTH"&amp;"1Y"&amp;"_Quote"</f>
        <v>EUR1x13F_SYNTH1Y_Quote</v>
      </c>
      <c r="D41" s="345" t="str">
        <f>_xll.qlSimpleQuote(C41,,RateTickValue,Permanent,Trigger,ObjectOverwrite)</f>
        <v>EUR1x13F_SYNTH1Y_Quote#0001</v>
      </c>
      <c r="E41" s="319" t="str">
        <f>_xll.ohRangeRetrieveError(D41)</f>
        <v/>
      </c>
      <c r="F41" s="190"/>
      <c r="H41" s="182">
        <v>1</v>
      </c>
      <c r="I41" s="307" t="str">
        <f t="shared" ref="I41:I84" si="7">H41&amp;"x"&amp;(H41+Months12M)&amp;"F"</f>
        <v>1x13F</v>
      </c>
      <c r="J41" s="308" t="e">
        <f>SynthFra!N8</f>
        <v>#NUM!</v>
      </c>
      <c r="K41" s="241"/>
      <c r="L41" s="311">
        <v>4.8406460255806345E-3</v>
      </c>
      <c r="M41" s="242"/>
      <c r="N41" s="313">
        <v>4.8406460255806345E-3</v>
      </c>
      <c r="O41" s="314" t="e">
        <f>_xll.qlSimpleQuoteSetValue(D41,ROUND(N41,6),EvaluationDate)</f>
        <v>#N/A</v>
      </c>
      <c r="P41" s="355">
        <f>_xll.ohTrigger(O41:O84)</f>
        <v>2</v>
      </c>
    </row>
    <row r="42" spans="1:16" x14ac:dyDescent="0.2">
      <c r="A42" s="343">
        <v>2</v>
      </c>
      <c r="B42" s="326" t="str">
        <f t="shared" si="5"/>
        <v>2x14F</v>
      </c>
      <c r="C42" s="179" t="str">
        <f t="shared" si="6"/>
        <v>EUR2x14F_SYNTH1Y_Quote</v>
      </c>
      <c r="D42" s="327" t="str">
        <f>_xll.qlSimpleQuote(C42,,RateTickValue,Permanent,Trigger,ObjectOverwrite)</f>
        <v>EUR2x14F_SYNTH1Y_Quote#0001</v>
      </c>
      <c r="E42" s="320" t="str">
        <f>_xll.ohRangeRetrieveError(D42)</f>
        <v/>
      </c>
      <c r="F42" s="190"/>
      <c r="H42" s="182">
        <v>2</v>
      </c>
      <c r="I42" s="307" t="str">
        <f t="shared" si="7"/>
        <v>2x14F</v>
      </c>
      <c r="J42" s="308" t="e">
        <f>SynthFra!N9</f>
        <v>#NUM!</v>
      </c>
      <c r="K42" s="242"/>
      <c r="L42" s="311">
        <v>4.7774275903101201E-3</v>
      </c>
      <c r="M42" s="242"/>
      <c r="N42" s="313">
        <v>4.7774275903101201E-3</v>
      </c>
      <c r="O42" s="314" t="e">
        <f>_xll.qlSimpleQuoteSetValue(D42,ROUND(N42,6),EvaluationDate)</f>
        <v>#N/A</v>
      </c>
      <c r="P42" s="186"/>
    </row>
    <row r="43" spans="1:16" x14ac:dyDescent="0.2">
      <c r="A43" s="343">
        <v>3</v>
      </c>
      <c r="B43" s="326" t="str">
        <f t="shared" si="5"/>
        <v>3x15F</v>
      </c>
      <c r="C43" s="179" t="str">
        <f t="shared" si="6"/>
        <v>EUR3x15F_SYNTH1Y_Quote</v>
      </c>
      <c r="D43" s="327" t="str">
        <f>_xll.qlSimpleQuote(C43,,RateTickValue,Permanent,Trigger,ObjectOverwrite)</f>
        <v>EUR3x15F_SYNTH1Y_Quote#0001</v>
      </c>
      <c r="E43" s="320" t="str">
        <f>_xll.ohRangeRetrieveError(D43)</f>
        <v/>
      </c>
      <c r="F43" s="190"/>
      <c r="H43" s="182">
        <v>3</v>
      </c>
      <c r="I43" s="307" t="str">
        <f t="shared" si="7"/>
        <v>3x15F</v>
      </c>
      <c r="J43" s="308" t="e">
        <f>SynthFra!N10</f>
        <v>#NUM!</v>
      </c>
      <c r="K43" s="242"/>
      <c r="L43" s="311">
        <v>4.7168282468794051E-3</v>
      </c>
      <c r="M43" s="242"/>
      <c r="N43" s="313">
        <v>4.7168282468794051E-3</v>
      </c>
      <c r="O43" s="314" t="e">
        <f>_xll.qlSimpleQuoteSetValue(D43,ROUND(N43,6),EvaluationDate)</f>
        <v>#N/A</v>
      </c>
      <c r="P43" s="186"/>
    </row>
    <row r="44" spans="1:16" x14ac:dyDescent="0.2">
      <c r="A44" s="343">
        <v>4</v>
      </c>
      <c r="B44" s="326" t="str">
        <f t="shared" si="5"/>
        <v>4x16F</v>
      </c>
      <c r="C44" s="179" t="str">
        <f t="shared" si="6"/>
        <v>EUR4x16F_SYNTH1Y_Quote</v>
      </c>
      <c r="D44" s="327" t="str">
        <f>_xll.qlSimpleQuote(C44,,RateTickValue,Permanent,Trigger,ObjectOverwrite)</f>
        <v>EUR4x16F_SYNTH1Y_Quote#0001</v>
      </c>
      <c r="E44" s="320" t="str">
        <f>_xll.ohRangeRetrieveError(D44)</f>
        <v/>
      </c>
      <c r="F44" s="190"/>
      <c r="H44" s="182">
        <v>4</v>
      </c>
      <c r="I44" s="307" t="str">
        <f t="shared" si="7"/>
        <v>4x16F</v>
      </c>
      <c r="J44" s="308" t="e">
        <f>SynthFra!N11</f>
        <v>#NUM!</v>
      </c>
      <c r="K44" s="242"/>
      <c r="L44" s="311">
        <v>4.6670486929331432E-3</v>
      </c>
      <c r="M44" s="242"/>
      <c r="N44" s="313">
        <v>4.6670486929331432E-3</v>
      </c>
      <c r="O44" s="314" t="e">
        <f>_xll.qlSimpleQuoteSetValue(D44,ROUND(N44,6),EvaluationDate)</f>
        <v>#N/A</v>
      </c>
      <c r="P44" s="186"/>
    </row>
    <row r="45" spans="1:16" x14ac:dyDescent="0.2">
      <c r="A45" s="343">
        <v>5</v>
      </c>
      <c r="B45" s="326" t="str">
        <f t="shared" si="5"/>
        <v>5x17F</v>
      </c>
      <c r="C45" s="179" t="str">
        <f t="shared" si="6"/>
        <v>EUR5x17F_SYNTH1Y_Quote</v>
      </c>
      <c r="D45" s="327" t="str">
        <f>_xll.qlSimpleQuote(C45,,RateTickValue,Permanent,Trigger,ObjectOverwrite)</f>
        <v>EUR5x17F_SYNTH1Y_Quote#0001</v>
      </c>
      <c r="E45" s="320" t="str">
        <f>_xll.ohRangeRetrieveError(D45)</f>
        <v/>
      </c>
      <c r="F45" s="190"/>
      <c r="H45" s="182">
        <v>5</v>
      </c>
      <c r="I45" s="307" t="str">
        <f t="shared" si="7"/>
        <v>5x17F</v>
      </c>
      <c r="J45" s="308" t="e">
        <f>SynthFra!N12</f>
        <v>#NUM!</v>
      </c>
      <c r="K45" s="242"/>
      <c r="L45" s="311">
        <v>4.6348626470477088E-3</v>
      </c>
      <c r="M45" s="242"/>
      <c r="N45" s="313">
        <v>4.6348626470477088E-3</v>
      </c>
      <c r="O45" s="314" t="e">
        <f>_xll.qlSimpleQuoteSetValue(D45,ROUND(N45,6),EvaluationDate)</f>
        <v>#N/A</v>
      </c>
      <c r="P45" s="186"/>
    </row>
    <row r="46" spans="1:16" x14ac:dyDescent="0.2">
      <c r="A46" s="343">
        <v>6</v>
      </c>
      <c r="B46" s="326" t="str">
        <f t="shared" si="5"/>
        <v>6x18F</v>
      </c>
      <c r="C46" s="179" t="str">
        <f t="shared" si="6"/>
        <v>EUR6x18F_SYNTH1Y_Quote</v>
      </c>
      <c r="D46" s="327" t="str">
        <f>_xll.qlSimpleQuote(C46,,RateTickValue,Permanent,Trigger,ObjectOverwrite)</f>
        <v>EUR6x18F_SYNTH1Y_Quote#0001</v>
      </c>
      <c r="E46" s="320" t="str">
        <f>_xll.ohRangeRetrieveError(D46)</f>
        <v/>
      </c>
      <c r="F46" s="190"/>
      <c r="H46" s="182">
        <v>6</v>
      </c>
      <c r="I46" s="307" t="str">
        <f t="shared" si="7"/>
        <v>6x18F</v>
      </c>
      <c r="J46" s="308" t="e">
        <f>SynthFra!N13</f>
        <v>#NUM!</v>
      </c>
      <c r="K46" s="242"/>
      <c r="L46" s="311">
        <v>4.618779268430055E-3</v>
      </c>
      <c r="M46" s="242"/>
      <c r="N46" s="313">
        <v>4.618779268430055E-3</v>
      </c>
      <c r="O46" s="314" t="e">
        <f>_xll.qlSimpleQuoteSetValue(D46,ROUND(N46,6),EvaluationDate)</f>
        <v>#N/A</v>
      </c>
      <c r="P46" s="186"/>
    </row>
    <row r="47" spans="1:16" x14ac:dyDescent="0.2">
      <c r="A47" s="343">
        <v>7</v>
      </c>
      <c r="B47" s="326" t="str">
        <f t="shared" si="5"/>
        <v>7x19F</v>
      </c>
      <c r="C47" s="179" t="str">
        <f t="shared" si="6"/>
        <v>EUR7x19F_SYNTH1Y_Quote</v>
      </c>
      <c r="D47" s="327" t="str">
        <f>_xll.qlSimpleQuote(C47,,RateTickValue,Permanent,Trigger,ObjectOverwrite)</f>
        <v>EUR7x19F_SYNTH1Y_Quote#0001</v>
      </c>
      <c r="E47" s="320" t="str">
        <f>_xll.ohRangeRetrieveError(D47)</f>
        <v/>
      </c>
      <c r="F47" s="190"/>
      <c r="H47" s="182">
        <v>7</v>
      </c>
      <c r="I47" s="307" t="str">
        <f t="shared" si="7"/>
        <v>7x19F</v>
      </c>
      <c r="J47" s="308" t="e">
        <f>SynthFra!N14</f>
        <v>#NUM!</v>
      </c>
      <c r="K47" s="242"/>
      <c r="L47" s="311">
        <v>4.6053832557820798E-3</v>
      </c>
      <c r="M47" s="242"/>
      <c r="N47" s="313">
        <v>4.6053832557820798E-3</v>
      </c>
      <c r="O47" s="314" t="e">
        <f>_xll.qlSimpleQuoteSetValue(D47,ROUND(N47,6),EvaluationDate)</f>
        <v>#N/A</v>
      </c>
      <c r="P47" s="186"/>
    </row>
    <row r="48" spans="1:16" x14ac:dyDescent="0.2">
      <c r="A48" s="343">
        <v>8</v>
      </c>
      <c r="B48" s="326" t="str">
        <f t="shared" si="5"/>
        <v>8x20F</v>
      </c>
      <c r="C48" s="179" t="str">
        <f t="shared" si="6"/>
        <v>EUR8x20F_SYNTH1Y_Quote</v>
      </c>
      <c r="D48" s="327" t="str">
        <f>_xll.qlSimpleQuote(C48,,RateTickValue,Permanent,Trigger,ObjectOverwrite)</f>
        <v>EUR8x20F_SYNTH1Y_Quote#0001</v>
      </c>
      <c r="E48" s="320" t="str">
        <f>_xll.ohRangeRetrieveError(D48)</f>
        <v/>
      </c>
      <c r="F48" s="190"/>
      <c r="H48" s="182">
        <v>8</v>
      </c>
      <c r="I48" s="307" t="str">
        <f t="shared" si="7"/>
        <v>8x20F</v>
      </c>
      <c r="J48" s="308" t="e">
        <f>SynthFra!N15</f>
        <v>#NUM!</v>
      </c>
      <c r="K48" s="242"/>
      <c r="L48" s="311">
        <v>4.595351771150346E-3</v>
      </c>
      <c r="M48" s="242"/>
      <c r="N48" s="313">
        <v>4.595351771150346E-3</v>
      </c>
      <c r="O48" s="314" t="e">
        <f>_xll.qlSimpleQuoteSetValue(D48,ROUND(N48,6),EvaluationDate)</f>
        <v>#N/A</v>
      </c>
      <c r="P48" s="186"/>
    </row>
    <row r="49" spans="1:16" x14ac:dyDescent="0.2">
      <c r="A49" s="343">
        <v>9</v>
      </c>
      <c r="B49" s="326" t="str">
        <f t="shared" si="5"/>
        <v>9x21F</v>
      </c>
      <c r="C49" s="179" t="str">
        <f t="shared" si="6"/>
        <v>EUR9x21F_SYNTH1Y_Quote</v>
      </c>
      <c r="D49" s="327" t="str">
        <f>_xll.qlSimpleQuote(C49,,RateTickValue,Permanent,Trigger,ObjectOverwrite)</f>
        <v>EUR9x21F_SYNTH1Y_Quote#0001</v>
      </c>
      <c r="E49" s="320" t="str">
        <f>_xll.ohRangeRetrieveError(D49)</f>
        <v/>
      </c>
      <c r="F49" s="190"/>
      <c r="H49" s="182">
        <v>9</v>
      </c>
      <c r="I49" s="307" t="str">
        <f t="shared" si="7"/>
        <v>9x21F</v>
      </c>
      <c r="J49" s="308" t="e">
        <f>SynthFra!N16</f>
        <v>#NUM!</v>
      </c>
      <c r="K49" s="242"/>
      <c r="L49" s="311">
        <v>4.6082952666255672E-3</v>
      </c>
      <c r="M49" s="242"/>
      <c r="N49" s="313">
        <v>4.6082952666255672E-3</v>
      </c>
      <c r="O49" s="314" t="e">
        <f>_xll.qlSimpleQuoteSetValue(D49,ROUND(N49,6),EvaluationDate)</f>
        <v>#N/A</v>
      </c>
      <c r="P49" s="186"/>
    </row>
    <row r="50" spans="1:16" x14ac:dyDescent="0.2">
      <c r="A50" s="343">
        <v>10</v>
      </c>
      <c r="B50" s="326" t="str">
        <f t="shared" si="5"/>
        <v>10x22F</v>
      </c>
      <c r="C50" s="179" t="str">
        <f t="shared" si="6"/>
        <v>EUR10x22F_SYNTH1Y_Quote</v>
      </c>
      <c r="D50" s="327" t="str">
        <f>_xll.qlSimpleQuote(C50,,RateTickValue,Permanent,Trigger,ObjectOverwrite)</f>
        <v>EUR10x22F_SYNTH1Y_Quote#0001</v>
      </c>
      <c r="E50" s="320" t="str">
        <f>_xll.ohRangeRetrieveError(D50)</f>
        <v/>
      </c>
      <c r="F50" s="190"/>
      <c r="H50" s="182">
        <v>10</v>
      </c>
      <c r="I50" s="307" t="str">
        <f t="shared" si="7"/>
        <v>10x22F</v>
      </c>
      <c r="J50" s="308" t="e">
        <f>SynthFra!N17</f>
        <v>#NUM!</v>
      </c>
      <c r="K50" s="242"/>
      <c r="L50" s="311">
        <v>4.6314621839731712E-3</v>
      </c>
      <c r="M50" s="242"/>
      <c r="N50" s="313">
        <v>4.6314621839731712E-3</v>
      </c>
      <c r="O50" s="314" t="e">
        <f>_xll.qlSimpleQuoteSetValue(D50,ROUND(N50,6),EvaluationDate)</f>
        <v>#N/A</v>
      </c>
      <c r="P50" s="186"/>
    </row>
    <row r="51" spans="1:16" x14ac:dyDescent="0.2">
      <c r="A51" s="343">
        <v>11</v>
      </c>
      <c r="B51" s="326" t="str">
        <f t="shared" si="5"/>
        <v>11x23F</v>
      </c>
      <c r="C51" s="179" t="str">
        <f t="shared" si="6"/>
        <v>EUR11x23F_SYNTH1Y_Quote</v>
      </c>
      <c r="D51" s="327" t="str">
        <f>_xll.qlSimpleQuote(C51,,RateTickValue,Permanent,Trigger,ObjectOverwrite)</f>
        <v>EUR11x23F_SYNTH1Y_Quote#0001</v>
      </c>
      <c r="E51" s="320" t="str">
        <f>_xll.ohRangeRetrieveError(D51)</f>
        <v/>
      </c>
      <c r="F51" s="190"/>
      <c r="H51" s="182">
        <v>11</v>
      </c>
      <c r="I51" s="307" t="str">
        <f t="shared" si="7"/>
        <v>11x23F</v>
      </c>
      <c r="J51" s="308" t="e">
        <f>SynthFra!N18</f>
        <v>#NUM!</v>
      </c>
      <c r="K51" s="242"/>
      <c r="L51" s="311">
        <v>4.6674941914769171E-3</v>
      </c>
      <c r="M51" s="242"/>
      <c r="N51" s="313">
        <v>4.6674941914769171E-3</v>
      </c>
      <c r="O51" s="314" t="e">
        <f>_xll.qlSimpleQuoteSetValue(D51,ROUND(N51,6),EvaluationDate)</f>
        <v>#N/A</v>
      </c>
      <c r="P51" s="186"/>
    </row>
    <row r="52" spans="1:16" x14ac:dyDescent="0.2">
      <c r="A52" s="343">
        <v>13</v>
      </c>
      <c r="B52" s="326" t="str">
        <f t="shared" si="5"/>
        <v>13x25F</v>
      </c>
      <c r="C52" s="179" t="str">
        <f t="shared" si="6"/>
        <v>EUR13x25F_SYNTH1Y_Quote</v>
      </c>
      <c r="D52" s="327" t="str">
        <f>_xll.qlSimpleQuote(C52,,RateTickValue,Permanent,Trigger,ObjectOverwrite)</f>
        <v>EUR13x25F_SYNTH1Y_Quote#0001</v>
      </c>
      <c r="E52" s="320" t="str">
        <f>_xll.ohRangeRetrieveError(D52)</f>
        <v/>
      </c>
      <c r="F52" s="190"/>
      <c r="H52" s="182">
        <v>13</v>
      </c>
      <c r="I52" s="307" t="str">
        <f t="shared" si="7"/>
        <v>13x25F</v>
      </c>
      <c r="J52" s="308" t="e">
        <f>SynthFra!N19</f>
        <v>#NUM!</v>
      </c>
      <c r="K52" s="242"/>
      <c r="L52" s="311">
        <v>4.8073697361709416E-3</v>
      </c>
      <c r="M52" s="242"/>
      <c r="N52" s="313">
        <v>4.8073697361709416E-3</v>
      </c>
      <c r="O52" s="314" t="e">
        <f>_xll.qlSimpleQuoteSetValue(D52,ROUND(N52,6),EvaluationDate)</f>
        <v>#N/A</v>
      </c>
      <c r="P52" s="186"/>
    </row>
    <row r="53" spans="1:16" x14ac:dyDescent="0.2">
      <c r="A53" s="343">
        <v>14</v>
      </c>
      <c r="B53" s="326" t="str">
        <f t="shared" si="5"/>
        <v>14x26F</v>
      </c>
      <c r="C53" s="179" t="str">
        <f t="shared" si="6"/>
        <v>EUR14x26F_SYNTH1Y_Quote</v>
      </c>
      <c r="D53" s="327" t="str">
        <f>_xll.qlSimpleQuote(C53,,RateTickValue,Permanent,Trigger,ObjectOverwrite)</f>
        <v>EUR14x26F_SYNTH1Y_Quote#0001</v>
      </c>
      <c r="E53" s="320" t="str">
        <f>_xll.ohRangeRetrieveError(D53)</f>
        <v/>
      </c>
      <c r="F53" s="190"/>
      <c r="H53" s="182">
        <v>14</v>
      </c>
      <c r="I53" s="307" t="str">
        <f t="shared" si="7"/>
        <v>14x26F</v>
      </c>
      <c r="J53" s="308" t="e">
        <f>SynthFra!N20</f>
        <v>#NUM!</v>
      </c>
      <c r="K53" s="242"/>
      <c r="L53" s="311">
        <v>4.8923504255238455E-3</v>
      </c>
      <c r="M53" s="242"/>
      <c r="N53" s="313">
        <v>4.8923504255238455E-3</v>
      </c>
      <c r="O53" s="314" t="e">
        <f>_xll.qlSimpleQuoteSetValue(D53,ROUND(N53,6),EvaluationDate)</f>
        <v>#N/A</v>
      </c>
      <c r="P53" s="186"/>
    </row>
    <row r="54" spans="1:16" x14ac:dyDescent="0.2">
      <c r="A54" s="343">
        <v>15</v>
      </c>
      <c r="B54" s="326" t="str">
        <f t="shared" si="5"/>
        <v>15x27F</v>
      </c>
      <c r="C54" s="179" t="str">
        <f t="shared" si="6"/>
        <v>EUR15x27F_SYNTH1Y_Quote</v>
      </c>
      <c r="D54" s="327" t="str">
        <f>_xll.qlSimpleQuote(C54,,RateTickValue,Permanent,Trigger,ObjectOverwrite)</f>
        <v>EUR15x27F_SYNTH1Y_Quote#0001</v>
      </c>
      <c r="E54" s="320" t="str">
        <f>_xll.ohRangeRetrieveError(D54)</f>
        <v/>
      </c>
      <c r="F54" s="190"/>
      <c r="H54" s="182">
        <v>15</v>
      </c>
      <c r="I54" s="307" t="str">
        <f t="shared" si="7"/>
        <v>15x27F</v>
      </c>
      <c r="J54" s="308" t="e">
        <f>SynthFra!N21</f>
        <v>#NUM!</v>
      </c>
      <c r="K54" s="242"/>
      <c r="L54" s="311">
        <v>4.9902300152116887E-3</v>
      </c>
      <c r="M54" s="242"/>
      <c r="N54" s="313">
        <v>4.9902300152116887E-3</v>
      </c>
      <c r="O54" s="314" t="e">
        <f>_xll.qlSimpleQuoteSetValue(D54,ROUND(N54,6),EvaluationDate)</f>
        <v>#N/A</v>
      </c>
      <c r="P54" s="186"/>
    </row>
    <row r="55" spans="1:16" x14ac:dyDescent="0.2">
      <c r="A55" s="343">
        <v>16</v>
      </c>
      <c r="B55" s="326" t="str">
        <f t="shared" si="5"/>
        <v>16x28F</v>
      </c>
      <c r="C55" s="179" t="str">
        <f t="shared" si="6"/>
        <v>EUR16x28F_SYNTH1Y_Quote</v>
      </c>
      <c r="D55" s="327" t="str">
        <f>_xll.qlSimpleQuote(C55,,RateTickValue,Permanent,Trigger,ObjectOverwrite)</f>
        <v>EUR16x28F_SYNTH1Y_Quote#0001</v>
      </c>
      <c r="E55" s="320" t="str">
        <f>_xll.ohRangeRetrieveError(D55)</f>
        <v/>
      </c>
      <c r="F55" s="190"/>
      <c r="H55" s="182">
        <v>16</v>
      </c>
      <c r="I55" s="307" t="str">
        <f t="shared" si="7"/>
        <v>16x28F</v>
      </c>
      <c r="J55" s="308" t="e">
        <f>SynthFra!N22</f>
        <v>#NUM!</v>
      </c>
      <c r="K55" s="242"/>
      <c r="L55" s="311">
        <v>5.1090206650879029E-3</v>
      </c>
      <c r="M55" s="242"/>
      <c r="N55" s="313">
        <v>5.1090206650879029E-3</v>
      </c>
      <c r="O55" s="314" t="e">
        <f>_xll.qlSimpleQuoteSetValue(D55,ROUND(N55,6),EvaluationDate)</f>
        <v>#N/A</v>
      </c>
      <c r="P55" s="186"/>
    </row>
    <row r="56" spans="1:16" x14ac:dyDescent="0.2">
      <c r="A56" s="343">
        <v>17</v>
      </c>
      <c r="B56" s="326" t="str">
        <f t="shared" si="5"/>
        <v>17x29F</v>
      </c>
      <c r="C56" s="179" t="str">
        <f t="shared" si="6"/>
        <v>EUR17x29F_SYNTH1Y_Quote</v>
      </c>
      <c r="D56" s="327" t="str">
        <f>_xll.qlSimpleQuote(C56,,RateTickValue,Permanent,Trigger,ObjectOverwrite)</f>
        <v>EUR17x29F_SYNTH1Y_Quote#0001</v>
      </c>
      <c r="E56" s="320" t="str">
        <f>_xll.ohRangeRetrieveError(D56)</f>
        <v/>
      </c>
      <c r="F56" s="190"/>
      <c r="H56" s="182">
        <v>17</v>
      </c>
      <c r="I56" s="307" t="str">
        <f t="shared" si="7"/>
        <v>17x29F</v>
      </c>
      <c r="J56" s="308" t="e">
        <f>SynthFra!N23</f>
        <v>#NUM!</v>
      </c>
      <c r="K56" s="242"/>
      <c r="L56" s="311">
        <v>5.2460827654877348E-3</v>
      </c>
      <c r="M56" s="242"/>
      <c r="N56" s="313">
        <v>5.2460827654877348E-3</v>
      </c>
      <c r="O56" s="314" t="e">
        <f>_xll.qlSimpleQuoteSetValue(D56,ROUND(N56,6),EvaluationDate)</f>
        <v>#N/A</v>
      </c>
      <c r="P56" s="186"/>
    </row>
    <row r="57" spans="1:16" x14ac:dyDescent="0.2">
      <c r="A57" s="343">
        <v>18</v>
      </c>
      <c r="B57" s="326" t="str">
        <f t="shared" si="5"/>
        <v>18x30F</v>
      </c>
      <c r="C57" s="179" t="str">
        <f t="shared" si="6"/>
        <v>EUR18x30F_SYNTH1Y_Quote</v>
      </c>
      <c r="D57" s="327" t="str">
        <f>_xll.qlSimpleQuote(C57,,RateTickValue,Permanent,Trigger,ObjectOverwrite)</f>
        <v>EUR18x30F_SYNTH1Y_Quote#0001</v>
      </c>
      <c r="E57" s="320" t="str">
        <f>_xll.ohRangeRetrieveError(D57)</f>
        <v/>
      </c>
      <c r="F57" s="190"/>
      <c r="H57" s="182">
        <v>18</v>
      </c>
      <c r="I57" s="307" t="str">
        <f t="shared" si="7"/>
        <v>18x30F</v>
      </c>
      <c r="J57" s="308" t="e">
        <f>SynthFra!N24</f>
        <v>#NUM!</v>
      </c>
      <c r="K57" s="242"/>
      <c r="L57" s="311">
        <v>5.3988472406250338E-3</v>
      </c>
      <c r="M57" s="242"/>
      <c r="N57" s="313">
        <v>5.3988472406250338E-3</v>
      </c>
      <c r="O57" s="314" t="e">
        <f>_xll.qlSimpleQuoteSetValue(D57,ROUND(N57,6),EvaluationDate)</f>
        <v>#N/A</v>
      </c>
      <c r="P57" s="186"/>
    </row>
    <row r="58" spans="1:16" x14ac:dyDescent="0.2">
      <c r="A58" s="343">
        <v>19</v>
      </c>
      <c r="B58" s="326" t="str">
        <f t="shared" si="5"/>
        <v>19x31F</v>
      </c>
      <c r="C58" s="179" t="str">
        <f t="shared" si="6"/>
        <v>EUR19x31F_SYNTH1Y_Quote</v>
      </c>
      <c r="D58" s="327" t="str">
        <f>_xll.qlSimpleQuote(C58,,RateTickValue,Permanent,Trigger,ObjectOverwrite)</f>
        <v>EUR19x31F_SYNTH1Y_Quote#0001</v>
      </c>
      <c r="E58" s="320" t="str">
        <f>_xll.ohRangeRetrieveError(D58)</f>
        <v/>
      </c>
      <c r="F58" s="190"/>
      <c r="H58" s="182">
        <v>19</v>
      </c>
      <c r="I58" s="307" t="str">
        <f t="shared" si="7"/>
        <v>19x31F</v>
      </c>
      <c r="J58" s="308" t="e">
        <f>SynthFra!N25</f>
        <v>#NUM!</v>
      </c>
      <c r="K58" s="242"/>
      <c r="L58" s="311">
        <v>5.5859281090479204E-3</v>
      </c>
      <c r="M58" s="242"/>
      <c r="N58" s="313">
        <v>5.5859281090479204E-3</v>
      </c>
      <c r="O58" s="314" t="e">
        <f>_xll.qlSimpleQuoteSetValue(D58,ROUND(N58,6),EvaluationDate)</f>
        <v>#N/A</v>
      </c>
      <c r="P58" s="186"/>
    </row>
    <row r="59" spans="1:16" x14ac:dyDescent="0.2">
      <c r="A59" s="343">
        <v>20</v>
      </c>
      <c r="B59" s="326" t="str">
        <f t="shared" si="5"/>
        <v>20x32F</v>
      </c>
      <c r="C59" s="179" t="str">
        <f t="shared" si="6"/>
        <v>EUR20x32F_SYNTH1Y_Quote</v>
      </c>
      <c r="D59" s="327" t="str">
        <f>_xll.qlSimpleQuote(C59,,RateTickValue,Permanent,Trigger,ObjectOverwrite)</f>
        <v>EUR20x32F_SYNTH1Y_Quote#0001</v>
      </c>
      <c r="E59" s="320" t="str">
        <f>_xll.ohRangeRetrieveError(D59)</f>
        <v/>
      </c>
      <c r="F59" s="190"/>
      <c r="H59" s="182">
        <v>20</v>
      </c>
      <c r="I59" s="307" t="str">
        <f t="shared" si="7"/>
        <v>20x32F</v>
      </c>
      <c r="J59" s="308" t="e">
        <f>SynthFra!N26</f>
        <v>#NUM!</v>
      </c>
      <c r="K59" s="242"/>
      <c r="L59" s="311">
        <v>5.7662394567391711E-3</v>
      </c>
      <c r="M59" s="242"/>
      <c r="N59" s="313">
        <v>5.7662394567391711E-3</v>
      </c>
      <c r="O59" s="314" t="e">
        <f>_xll.qlSimpleQuoteSetValue(D59,ROUND(N59,6),EvaluationDate)</f>
        <v>#N/A</v>
      </c>
      <c r="P59" s="186"/>
    </row>
    <row r="60" spans="1:16" x14ac:dyDescent="0.2">
      <c r="A60" s="343">
        <v>21</v>
      </c>
      <c r="B60" s="326" t="str">
        <f t="shared" si="5"/>
        <v>21x33F</v>
      </c>
      <c r="C60" s="179" t="str">
        <f t="shared" si="6"/>
        <v>EUR21x33F_SYNTH1Y_Quote</v>
      </c>
      <c r="D60" s="327" t="str">
        <f>_xll.qlSimpleQuote(C60,,RateTickValue,Permanent,Trigger,ObjectOverwrite)</f>
        <v>EUR21x33F_SYNTH1Y_Quote#0001</v>
      </c>
      <c r="E60" s="320" t="str">
        <f>_xll.ohRangeRetrieveError(D60)</f>
        <v/>
      </c>
      <c r="F60" s="190"/>
      <c r="H60" s="182">
        <v>21</v>
      </c>
      <c r="I60" s="307" t="str">
        <f t="shared" si="7"/>
        <v>21x33F</v>
      </c>
      <c r="J60" s="308" t="e">
        <f>SynthFra!N27</f>
        <v>#NUM!</v>
      </c>
      <c r="K60" s="242"/>
      <c r="L60" s="311">
        <v>5.9575814868177692E-3</v>
      </c>
      <c r="M60" s="242"/>
      <c r="N60" s="313">
        <v>5.9575814868177692E-3</v>
      </c>
      <c r="O60" s="314" t="e">
        <f>_xll.qlSimpleQuoteSetValue(D60,ROUND(N60,6),EvaluationDate)</f>
        <v>#N/A</v>
      </c>
      <c r="P60" s="186"/>
    </row>
    <row r="61" spans="1:16" x14ac:dyDescent="0.2">
      <c r="A61" s="343">
        <v>22</v>
      </c>
      <c r="B61" s="326" t="str">
        <f t="shared" si="5"/>
        <v>22x34F</v>
      </c>
      <c r="C61" s="179" t="str">
        <f t="shared" si="6"/>
        <v>EUR22x34F_SYNTH1Y_Quote</v>
      </c>
      <c r="D61" s="327" t="str">
        <f>_xll.qlSimpleQuote(C61,,RateTickValue,Permanent,Trigger,ObjectOverwrite)</f>
        <v>EUR22x34F_SYNTH1Y_Quote#0001</v>
      </c>
      <c r="E61" s="320" t="str">
        <f>_xll.ohRangeRetrieveError(D61)</f>
        <v/>
      </c>
      <c r="F61" s="190"/>
      <c r="H61" s="182">
        <v>22</v>
      </c>
      <c r="I61" s="307" t="str">
        <f t="shared" si="7"/>
        <v>22x34F</v>
      </c>
      <c r="J61" s="308" t="e">
        <f>SynthFra!N28</f>
        <v>#NUM!</v>
      </c>
      <c r="K61" s="242"/>
      <c r="L61" s="311">
        <v>6.1960893098092409E-3</v>
      </c>
      <c r="M61" s="242"/>
      <c r="N61" s="313">
        <v>6.1960893098092409E-3</v>
      </c>
      <c r="O61" s="314" t="e">
        <f>_xll.qlSimpleQuoteSetValue(D61,ROUND(N61,6),EvaluationDate)</f>
        <v>#N/A</v>
      </c>
      <c r="P61" s="186"/>
    </row>
    <row r="62" spans="1:16" x14ac:dyDescent="0.2">
      <c r="A62" s="343">
        <v>23</v>
      </c>
      <c r="B62" s="326" t="str">
        <f t="shared" si="5"/>
        <v>23x35F</v>
      </c>
      <c r="C62" s="179" t="str">
        <f t="shared" si="6"/>
        <v>EUR23x35F_SYNTH1Y_Quote</v>
      </c>
      <c r="D62" s="327" t="str">
        <f>_xll.qlSimpleQuote(C62,,RateTickValue,Permanent,Trigger,ObjectOverwrite)</f>
        <v>EUR23x35F_SYNTH1Y_Quote#0001</v>
      </c>
      <c r="E62" s="320" t="str">
        <f>_xll.ohRangeRetrieveError(D62)</f>
        <v/>
      </c>
      <c r="F62" s="190"/>
      <c r="H62" s="182">
        <v>23</v>
      </c>
      <c r="I62" s="307" t="str">
        <f t="shared" si="7"/>
        <v>23x35F</v>
      </c>
      <c r="J62" s="308" t="e">
        <f>SynthFra!N29</f>
        <v>#NUM!</v>
      </c>
      <c r="K62" s="242"/>
      <c r="L62" s="311">
        <v>6.412500321007597E-3</v>
      </c>
      <c r="M62" s="242"/>
      <c r="N62" s="313">
        <v>6.412500321007597E-3</v>
      </c>
      <c r="O62" s="314" t="e">
        <f>_xll.qlSimpleQuoteSetValue(D62,ROUND(N62,6),EvaluationDate)</f>
        <v>#N/A</v>
      </c>
      <c r="P62" s="186"/>
    </row>
    <row r="63" spans="1:16" x14ac:dyDescent="0.2">
      <c r="A63" s="343">
        <v>25</v>
      </c>
      <c r="B63" s="326" t="str">
        <f t="shared" si="5"/>
        <v>25x37F</v>
      </c>
      <c r="C63" s="179" t="str">
        <f t="shared" si="6"/>
        <v>EUR25x37F_SYNTH1Y_Quote</v>
      </c>
      <c r="D63" s="327" t="str">
        <f>_xll.qlSimpleQuote(C63,,RateTickValue,Permanent,Trigger,ObjectOverwrite)</f>
        <v>EUR25x37F_SYNTH1Y_Quote#0001</v>
      </c>
      <c r="E63" s="320" t="str">
        <f>_xll.ohRangeRetrieveError(D63)</f>
        <v/>
      </c>
      <c r="F63" s="190"/>
      <c r="H63" s="182">
        <v>25</v>
      </c>
      <c r="I63" s="307" t="str">
        <f t="shared" si="7"/>
        <v>25x37F</v>
      </c>
      <c r="J63" s="308" t="e">
        <f>SynthFra!N30</f>
        <v>#NUM!</v>
      </c>
      <c r="K63" s="242"/>
      <c r="L63" s="311">
        <v>6.9455216994446494E-3</v>
      </c>
      <c r="M63" s="242"/>
      <c r="N63" s="313">
        <v>6.9455216994446494E-3</v>
      </c>
      <c r="O63" s="314" t="e">
        <f>_xll.qlSimpleQuoteSetValue(D63,ROUND(N63,6),EvaluationDate)</f>
        <v>#N/A</v>
      </c>
      <c r="P63" s="186"/>
    </row>
    <row r="64" spans="1:16" x14ac:dyDescent="0.2">
      <c r="A64" s="343">
        <v>26</v>
      </c>
      <c r="B64" s="326" t="str">
        <f t="shared" si="5"/>
        <v>26x38F</v>
      </c>
      <c r="C64" s="179" t="str">
        <f t="shared" si="6"/>
        <v>EUR26x38F_SYNTH1Y_Quote</v>
      </c>
      <c r="D64" s="327" t="str">
        <f>_xll.qlSimpleQuote(C64,,RateTickValue,Permanent,Trigger,ObjectOverwrite)</f>
        <v>EUR26x38F_SYNTH1Y_Quote#0001</v>
      </c>
      <c r="E64" s="320" t="str">
        <f>_xll.ohRangeRetrieveError(D64)</f>
        <v/>
      </c>
      <c r="F64" s="190"/>
      <c r="H64" s="182">
        <v>26</v>
      </c>
      <c r="I64" s="307" t="str">
        <f t="shared" si="7"/>
        <v>26x38F</v>
      </c>
      <c r="J64" s="308" t="e">
        <f>SynthFra!N31</f>
        <v>#NUM!</v>
      </c>
      <c r="K64" s="242"/>
      <c r="L64" s="311">
        <v>7.2111439447380323E-3</v>
      </c>
      <c r="M64" s="242"/>
      <c r="N64" s="313">
        <v>7.2111439447380323E-3</v>
      </c>
      <c r="O64" s="314" t="e">
        <f>_xll.qlSimpleQuoteSetValue(D64,ROUND(N64,6),EvaluationDate)</f>
        <v>#N/A</v>
      </c>
      <c r="P64" s="186"/>
    </row>
    <row r="65" spans="1:16" x14ac:dyDescent="0.2">
      <c r="A65" s="343">
        <v>27</v>
      </c>
      <c r="B65" s="326" t="str">
        <f t="shared" si="5"/>
        <v>27x39F</v>
      </c>
      <c r="C65" s="179" t="str">
        <f t="shared" si="6"/>
        <v>EUR27x39F_SYNTH1Y_Quote</v>
      </c>
      <c r="D65" s="327" t="str">
        <f>_xll.qlSimpleQuote(C65,,RateTickValue,Permanent,Trigger,ObjectOverwrite)</f>
        <v>EUR27x39F_SYNTH1Y_Quote#0001</v>
      </c>
      <c r="E65" s="320" t="str">
        <f>_xll.ohRangeRetrieveError(D65)</f>
        <v/>
      </c>
      <c r="F65" s="190"/>
      <c r="H65" s="182">
        <v>27</v>
      </c>
      <c r="I65" s="307" t="str">
        <f t="shared" si="7"/>
        <v>27x39F</v>
      </c>
      <c r="J65" s="308" t="e">
        <f>SynthFra!N32</f>
        <v>#NUM!</v>
      </c>
      <c r="K65" s="242"/>
      <c r="L65" s="311">
        <v>7.5168373562576381E-3</v>
      </c>
      <c r="M65" s="242"/>
      <c r="N65" s="313">
        <v>7.5168373562576381E-3</v>
      </c>
      <c r="O65" s="314" t="e">
        <f>_xll.qlSimpleQuoteSetValue(D65,ROUND(N65,6),EvaluationDate)</f>
        <v>#N/A</v>
      </c>
      <c r="P65" s="186"/>
    </row>
    <row r="66" spans="1:16" x14ac:dyDescent="0.2">
      <c r="A66" s="343">
        <v>28</v>
      </c>
      <c r="B66" s="326" t="str">
        <f t="shared" si="5"/>
        <v>28x40F</v>
      </c>
      <c r="C66" s="179" t="str">
        <f t="shared" si="6"/>
        <v>EUR28x40F_SYNTH1Y_Quote</v>
      </c>
      <c r="D66" s="327" t="str">
        <f>_xll.qlSimpleQuote(C66,,RateTickValue,Permanent,Trigger,ObjectOverwrite)</f>
        <v>EUR28x40F_SYNTH1Y_Quote#0001</v>
      </c>
      <c r="E66" s="320" t="str">
        <f>_xll.ohRangeRetrieveError(D66)</f>
        <v/>
      </c>
      <c r="F66" s="190"/>
      <c r="H66" s="182">
        <v>28</v>
      </c>
      <c r="I66" s="307" t="str">
        <f t="shared" si="7"/>
        <v>28x40F</v>
      </c>
      <c r="J66" s="308" t="e">
        <f>SynthFra!N33</f>
        <v>#NUM!</v>
      </c>
      <c r="K66" s="242"/>
      <c r="L66" s="311">
        <v>7.8167292481846513E-3</v>
      </c>
      <c r="M66" s="242"/>
      <c r="N66" s="313">
        <v>7.8167292481846513E-3</v>
      </c>
      <c r="O66" s="314" t="e">
        <f>_xll.qlSimpleQuoteSetValue(D66,ROUND(N66,6),EvaluationDate)</f>
        <v>#N/A</v>
      </c>
      <c r="P66" s="186"/>
    </row>
    <row r="67" spans="1:16" x14ac:dyDescent="0.2">
      <c r="A67" s="343">
        <v>29</v>
      </c>
      <c r="B67" s="326" t="str">
        <f t="shared" si="5"/>
        <v>29x41F</v>
      </c>
      <c r="C67" s="179" t="str">
        <f t="shared" si="6"/>
        <v>EUR29x41F_SYNTH1Y_Quote</v>
      </c>
      <c r="D67" s="327" t="str">
        <f>_xll.qlSimpleQuote(C67,,RateTickValue,Permanent,Trigger,ObjectOverwrite)</f>
        <v>EUR29x41F_SYNTH1Y_Quote#0001</v>
      </c>
      <c r="E67" s="320" t="str">
        <f>_xll.ohRangeRetrieveError(D67)</f>
        <v/>
      </c>
      <c r="F67" s="190"/>
      <c r="H67" s="182">
        <v>29</v>
      </c>
      <c r="I67" s="307" t="str">
        <f t="shared" si="7"/>
        <v>29x41F</v>
      </c>
      <c r="J67" s="308" t="e">
        <f>SynthFra!N34</f>
        <v>#NUM!</v>
      </c>
      <c r="K67" s="242"/>
      <c r="L67" s="311">
        <v>8.1261658822661606E-3</v>
      </c>
      <c r="M67" s="242"/>
      <c r="N67" s="313">
        <v>8.1261658822661606E-3</v>
      </c>
      <c r="O67" s="314" t="e">
        <f>_xll.qlSimpleQuoteSetValue(D67,ROUND(N67,6),EvaluationDate)</f>
        <v>#N/A</v>
      </c>
      <c r="P67" s="186"/>
    </row>
    <row r="68" spans="1:16" x14ac:dyDescent="0.2">
      <c r="A68" s="343">
        <v>30</v>
      </c>
      <c r="B68" s="326" t="str">
        <f t="shared" si="5"/>
        <v>30x42F</v>
      </c>
      <c r="C68" s="179" t="str">
        <f t="shared" si="6"/>
        <v>EUR30x42F_SYNTH1Y_Quote</v>
      </c>
      <c r="D68" s="327" t="str">
        <f>_xll.qlSimpleQuote(C68,,RateTickValue,Permanent,Trigger,ObjectOverwrite)</f>
        <v>EUR30x42F_SYNTH1Y_Quote#0001</v>
      </c>
      <c r="E68" s="320" t="str">
        <f>_xll.ohRangeRetrieveError(D68)</f>
        <v/>
      </c>
      <c r="F68" s="190"/>
      <c r="H68" s="182">
        <v>30</v>
      </c>
      <c r="I68" s="307" t="str">
        <f t="shared" si="7"/>
        <v>30x42F</v>
      </c>
      <c r="J68" s="308" t="e">
        <f>SynthFra!N35</f>
        <v>#NUM!</v>
      </c>
      <c r="K68" s="242"/>
      <c r="L68" s="311">
        <v>8.4647021153290893E-3</v>
      </c>
      <c r="M68" s="242"/>
      <c r="N68" s="313">
        <v>8.4647021153290893E-3</v>
      </c>
      <c r="O68" s="314" t="e">
        <f>_xll.qlSimpleQuoteSetValue(D68,ROUND(N68,6),EvaluationDate)</f>
        <v>#N/A</v>
      </c>
      <c r="P68" s="186"/>
    </row>
    <row r="69" spans="1:16" x14ac:dyDescent="0.2">
      <c r="A69" s="343">
        <v>31</v>
      </c>
      <c r="B69" s="326" t="str">
        <f t="shared" si="5"/>
        <v>31x43F</v>
      </c>
      <c r="C69" s="179" t="str">
        <f t="shared" si="6"/>
        <v>EUR31x43F_SYNTH1Y_Quote</v>
      </c>
      <c r="D69" s="327" t="str">
        <f>_xll.qlSimpleQuote(C69,,RateTickValue,Permanent,Trigger,ObjectOverwrite)</f>
        <v>EUR31x43F_SYNTH1Y_Quote#0001</v>
      </c>
      <c r="E69" s="320" t="str">
        <f>_xll.ohRangeRetrieveError(D69)</f>
        <v/>
      </c>
      <c r="F69" s="190"/>
      <c r="H69" s="182">
        <v>31</v>
      </c>
      <c r="I69" s="307" t="str">
        <f t="shared" si="7"/>
        <v>31x43F</v>
      </c>
      <c r="J69" s="308" t="e">
        <f>SynthFra!N36</f>
        <v>#NUM!</v>
      </c>
      <c r="K69" s="242"/>
      <c r="L69" s="311">
        <v>8.7831918676685335E-3</v>
      </c>
      <c r="M69" s="242"/>
      <c r="N69" s="313">
        <v>8.7831918676685335E-3</v>
      </c>
      <c r="O69" s="314" t="e">
        <f>_xll.qlSimpleQuoteSetValue(D69,ROUND(N69,6),EvaluationDate)</f>
        <v>#N/A</v>
      </c>
      <c r="P69" s="186"/>
    </row>
    <row r="70" spans="1:16" x14ac:dyDescent="0.2">
      <c r="A70" s="343">
        <v>32</v>
      </c>
      <c r="B70" s="326" t="str">
        <f t="shared" si="5"/>
        <v>32x44F</v>
      </c>
      <c r="C70" s="179" t="str">
        <f t="shared" si="6"/>
        <v>EUR32x44F_SYNTH1Y_Quote</v>
      </c>
      <c r="D70" s="327" t="str">
        <f>_xll.qlSimpleQuote(C70,,RateTickValue,Permanent,Trigger,ObjectOverwrite)</f>
        <v>EUR32x44F_SYNTH1Y_Quote#0001</v>
      </c>
      <c r="E70" s="320" t="str">
        <f>_xll.ohRangeRetrieveError(D70)</f>
        <v/>
      </c>
      <c r="F70" s="190"/>
      <c r="H70" s="182">
        <v>32</v>
      </c>
      <c r="I70" s="307" t="str">
        <f t="shared" si="7"/>
        <v>32x44F</v>
      </c>
      <c r="J70" s="308" t="e">
        <f>SynthFra!N37</f>
        <v>#NUM!</v>
      </c>
      <c r="K70" s="242"/>
      <c r="L70" s="311">
        <v>9.1292751157284018E-3</v>
      </c>
      <c r="M70" s="242"/>
      <c r="N70" s="313">
        <v>9.1292751157284018E-3</v>
      </c>
      <c r="O70" s="314" t="e">
        <f>_xll.qlSimpleQuoteSetValue(D70,ROUND(N70,6),EvaluationDate)</f>
        <v>#N/A</v>
      </c>
      <c r="P70" s="186"/>
    </row>
    <row r="71" spans="1:16" x14ac:dyDescent="0.2">
      <c r="A71" s="343">
        <v>33</v>
      </c>
      <c r="B71" s="326" t="str">
        <f t="shared" si="5"/>
        <v>33x45F</v>
      </c>
      <c r="C71" s="179" t="str">
        <f t="shared" si="6"/>
        <v>EUR33x45F_SYNTH1Y_Quote</v>
      </c>
      <c r="D71" s="327" t="str">
        <f>_xll.qlSimpleQuote(C71,,RateTickValue,Permanent,Trigger,ObjectOverwrite)</f>
        <v>EUR33x45F_SYNTH1Y_Quote#0001</v>
      </c>
      <c r="E71" s="320" t="str">
        <f>_xll.ohRangeRetrieveError(D71)</f>
        <v/>
      </c>
      <c r="F71" s="190"/>
      <c r="H71" s="182">
        <v>33</v>
      </c>
      <c r="I71" s="307" t="str">
        <f t="shared" si="7"/>
        <v>33x45F</v>
      </c>
      <c r="J71" s="308" t="e">
        <f>SynthFra!N38</f>
        <v>#NUM!</v>
      </c>
      <c r="K71" s="242"/>
      <c r="L71" s="311">
        <v>9.4477175409658307E-3</v>
      </c>
      <c r="M71" s="242"/>
      <c r="N71" s="313">
        <v>9.4477175409658307E-3</v>
      </c>
      <c r="O71" s="314" t="e">
        <f>_xll.qlSimpleQuoteSetValue(D71,ROUND(N71,6),EvaluationDate)</f>
        <v>#N/A</v>
      </c>
      <c r="P71" s="186"/>
    </row>
    <row r="72" spans="1:16" x14ac:dyDescent="0.2">
      <c r="A72" s="343">
        <v>34</v>
      </c>
      <c r="B72" s="326" t="str">
        <f t="shared" si="5"/>
        <v>34x46F</v>
      </c>
      <c r="C72" s="179" t="str">
        <f t="shared" si="6"/>
        <v>EUR34x46F_SYNTH1Y_Quote</v>
      </c>
      <c r="D72" s="327" t="str">
        <f>_xll.qlSimpleQuote(C72,,RateTickValue,Permanent,Trigger,ObjectOverwrite)</f>
        <v>EUR34x46F_SYNTH1Y_Quote#0001</v>
      </c>
      <c r="E72" s="320" t="str">
        <f>_xll.ohRangeRetrieveError(D72)</f>
        <v/>
      </c>
      <c r="F72" s="190"/>
      <c r="H72" s="182">
        <v>34</v>
      </c>
      <c r="I72" s="307" t="str">
        <f t="shared" si="7"/>
        <v>34x46F</v>
      </c>
      <c r="J72" s="308" t="e">
        <f>SynthFra!N39</f>
        <v>#NUM!</v>
      </c>
      <c r="K72" s="242"/>
      <c r="L72" s="311">
        <v>9.8173882020001074E-3</v>
      </c>
      <c r="M72" s="242"/>
      <c r="N72" s="313">
        <v>9.8173882020001074E-3</v>
      </c>
      <c r="O72" s="314" t="e">
        <f>_xll.qlSimpleQuoteSetValue(D72,ROUND(N72,6),EvaluationDate)</f>
        <v>#N/A</v>
      </c>
      <c r="P72" s="186"/>
    </row>
    <row r="73" spans="1:16" x14ac:dyDescent="0.2">
      <c r="A73" s="343">
        <v>35</v>
      </c>
      <c r="B73" s="326" t="str">
        <f t="shared" si="5"/>
        <v>35x47F</v>
      </c>
      <c r="C73" s="179" t="str">
        <f t="shared" si="6"/>
        <v>EUR35x47F_SYNTH1Y_Quote</v>
      </c>
      <c r="D73" s="327" t="str">
        <f>_xll.qlSimpleQuote(C73,,RateTickValue,Permanent,Trigger,ObjectOverwrite)</f>
        <v>EUR35x47F_SYNTH1Y_Quote#0001</v>
      </c>
      <c r="E73" s="320" t="str">
        <f>_xll.ohRangeRetrieveError(D73)</f>
        <v/>
      </c>
      <c r="F73" s="190"/>
      <c r="H73" s="182">
        <v>35</v>
      </c>
      <c r="I73" s="307" t="str">
        <f t="shared" si="7"/>
        <v>35x47F</v>
      </c>
      <c r="J73" s="308" t="e">
        <f>SynthFra!N40</f>
        <v>#NUM!</v>
      </c>
      <c r="K73" s="242"/>
      <c r="L73" s="311">
        <v>1.0156728741461287E-2</v>
      </c>
      <c r="M73" s="242"/>
      <c r="N73" s="313">
        <v>1.0156728741461287E-2</v>
      </c>
      <c r="O73" s="314" t="e">
        <f>_xll.qlSimpleQuoteSetValue(D73,ROUND(N73,6),EvaluationDate)</f>
        <v>#N/A</v>
      </c>
      <c r="P73" s="186"/>
    </row>
    <row r="74" spans="1:16" x14ac:dyDescent="0.2">
      <c r="A74" s="343">
        <v>37</v>
      </c>
      <c r="B74" s="326" t="str">
        <f t="shared" si="5"/>
        <v>37x49F</v>
      </c>
      <c r="C74" s="179" t="str">
        <f t="shared" si="6"/>
        <v>EUR37x49F_SYNTH1Y_Quote</v>
      </c>
      <c r="D74" s="327" t="str">
        <f>_xll.qlSimpleQuote(C74,,RateTickValue,Permanent,Trigger,ObjectOverwrite)</f>
        <v>EUR37x49F_SYNTH1Y_Quote#0001</v>
      </c>
      <c r="E74" s="320" t="str">
        <f>_xll.ohRangeRetrieveError(D74)</f>
        <v/>
      </c>
      <c r="F74" s="190"/>
      <c r="H74" s="182">
        <v>37</v>
      </c>
      <c r="I74" s="307" t="str">
        <f t="shared" si="7"/>
        <v>37x49F</v>
      </c>
      <c r="J74" s="308" t="e">
        <f>SynthFra!N41</f>
        <v>#NUM!</v>
      </c>
      <c r="K74" s="242"/>
      <c r="L74" s="311">
        <v>1.0891943923843465E-2</v>
      </c>
      <c r="M74" s="242"/>
      <c r="N74" s="313">
        <v>1.0891943923843465E-2</v>
      </c>
      <c r="O74" s="314" t="e">
        <f>_xll.qlSimpleQuoteSetValue(D74,ROUND(N74,6),EvaluationDate)</f>
        <v>#N/A</v>
      </c>
      <c r="P74" s="186"/>
    </row>
    <row r="75" spans="1:16" x14ac:dyDescent="0.2">
      <c r="A75" s="343">
        <v>38</v>
      </c>
      <c r="B75" s="326" t="str">
        <f t="shared" si="5"/>
        <v>38x50F</v>
      </c>
      <c r="C75" s="179" t="str">
        <f t="shared" si="6"/>
        <v>EUR38x50F_SYNTH1Y_Quote</v>
      </c>
      <c r="D75" s="327" t="str">
        <f>_xll.qlSimpleQuote(C75,,RateTickValue,Permanent,Trigger,ObjectOverwrite)</f>
        <v>EUR38x50F_SYNTH1Y_Quote#0001</v>
      </c>
      <c r="E75" s="320" t="str">
        <f>_xll.ohRangeRetrieveError(D75)</f>
        <v/>
      </c>
      <c r="F75" s="190"/>
      <c r="H75" s="182">
        <v>38</v>
      </c>
      <c r="I75" s="307" t="str">
        <f t="shared" si="7"/>
        <v>38x50F</v>
      </c>
      <c r="J75" s="308" t="e">
        <f>SynthFra!N42</f>
        <v>#NUM!</v>
      </c>
      <c r="K75" s="242"/>
      <c r="L75" s="311">
        <v>1.1251224503790555E-2</v>
      </c>
      <c r="M75" s="242"/>
      <c r="N75" s="313">
        <v>1.1251224503790555E-2</v>
      </c>
      <c r="O75" s="314" t="e">
        <f>_xll.qlSimpleQuoteSetValue(D75,ROUND(N75,6),EvaluationDate)</f>
        <v>#N/A</v>
      </c>
      <c r="P75" s="186"/>
    </row>
    <row r="76" spans="1:16" x14ac:dyDescent="0.2">
      <c r="A76" s="343">
        <v>39</v>
      </c>
      <c r="B76" s="326" t="str">
        <f t="shared" si="5"/>
        <v>39x51F</v>
      </c>
      <c r="C76" s="179" t="str">
        <f t="shared" si="6"/>
        <v>EUR39x51F_SYNTH1Y_Quote</v>
      </c>
      <c r="D76" s="327" t="str">
        <f>_xll.qlSimpleQuote(C76,,RateTickValue,Permanent,Trigger,ObjectOverwrite)</f>
        <v>EUR39x51F_SYNTH1Y_Quote#0001</v>
      </c>
      <c r="E76" s="320" t="str">
        <f>_xll.ohRangeRetrieveError(D76)</f>
        <v/>
      </c>
      <c r="F76" s="190"/>
      <c r="H76" s="182">
        <v>39</v>
      </c>
      <c r="I76" s="307" t="str">
        <f t="shared" si="7"/>
        <v>39x51F</v>
      </c>
      <c r="J76" s="308" t="e">
        <f>SynthFra!N43</f>
        <v>#NUM!</v>
      </c>
      <c r="K76" s="242"/>
      <c r="L76" s="311">
        <v>1.1648647084713675E-2</v>
      </c>
      <c r="M76" s="242"/>
      <c r="N76" s="313">
        <v>1.1648647084713675E-2</v>
      </c>
      <c r="O76" s="314" t="e">
        <f>_xll.qlSimpleQuoteSetValue(D76,ROUND(N76,6),EvaluationDate)</f>
        <v>#N/A</v>
      </c>
      <c r="P76" s="186"/>
    </row>
    <row r="77" spans="1:16" x14ac:dyDescent="0.2">
      <c r="A77" s="343">
        <v>40</v>
      </c>
      <c r="B77" s="326" t="str">
        <f t="shared" si="5"/>
        <v>40x52F</v>
      </c>
      <c r="C77" s="179" t="str">
        <f t="shared" si="6"/>
        <v>EUR40x52F_SYNTH1Y_Quote</v>
      </c>
      <c r="D77" s="327" t="str">
        <f>_xll.qlSimpleQuote(C77,,RateTickValue,Permanent,Trigger,ObjectOverwrite)</f>
        <v>EUR40x52F_SYNTH1Y_Quote#0001</v>
      </c>
      <c r="E77" s="320" t="str">
        <f>_xll.ohRangeRetrieveError(D77)</f>
        <v/>
      </c>
      <c r="F77" s="190"/>
      <c r="H77" s="182">
        <v>40</v>
      </c>
      <c r="I77" s="307" t="str">
        <f t="shared" si="7"/>
        <v>40x52F</v>
      </c>
      <c r="J77" s="308" t="e">
        <f>SynthFra!N44</f>
        <v>#NUM!</v>
      </c>
      <c r="K77" s="242"/>
      <c r="L77" s="311">
        <v>1.1987429318313512E-2</v>
      </c>
      <c r="M77" s="242"/>
      <c r="N77" s="313">
        <v>1.1987429318313512E-2</v>
      </c>
      <c r="O77" s="314" t="e">
        <f>_xll.qlSimpleQuoteSetValue(D77,ROUND(N77,6),EvaluationDate)</f>
        <v>#N/A</v>
      </c>
      <c r="P77" s="186"/>
    </row>
    <row r="78" spans="1:16" x14ac:dyDescent="0.2">
      <c r="A78" s="343">
        <v>41</v>
      </c>
      <c r="B78" s="326" t="str">
        <f t="shared" si="5"/>
        <v>41x53F</v>
      </c>
      <c r="C78" s="179" t="str">
        <f t="shared" si="6"/>
        <v>EUR41x53F_SYNTH1Y_Quote</v>
      </c>
      <c r="D78" s="327" t="str">
        <f>_xll.qlSimpleQuote(C78,,RateTickValue,Permanent,Trigger,ObjectOverwrite)</f>
        <v>EUR41x53F_SYNTH1Y_Quote#0001</v>
      </c>
      <c r="E78" s="320" t="str">
        <f>_xll.ohRangeRetrieveError(D78)</f>
        <v/>
      </c>
      <c r="F78" s="190"/>
      <c r="H78" s="182">
        <v>41</v>
      </c>
      <c r="I78" s="307" t="str">
        <f t="shared" si="7"/>
        <v>41x53F</v>
      </c>
      <c r="J78" s="308" t="e">
        <f>SynthFra!N45</f>
        <v>#NUM!</v>
      </c>
      <c r="K78" s="242"/>
      <c r="L78" s="311">
        <v>1.2363931768145289E-2</v>
      </c>
      <c r="M78" s="242"/>
      <c r="N78" s="313">
        <v>1.2363931768145289E-2</v>
      </c>
      <c r="O78" s="314" t="e">
        <f>_xll.qlSimpleQuoteSetValue(D78,ROUND(N78,6),EvaluationDate)</f>
        <v>#N/A</v>
      </c>
      <c r="P78" s="186"/>
    </row>
    <row r="79" spans="1:16" x14ac:dyDescent="0.2">
      <c r="A79" s="343">
        <v>42</v>
      </c>
      <c r="B79" s="326" t="str">
        <f t="shared" si="5"/>
        <v>42x54F</v>
      </c>
      <c r="C79" s="179" t="str">
        <f t="shared" si="6"/>
        <v>EUR42x54F_SYNTH1Y_Quote</v>
      </c>
      <c r="D79" s="327" t="str">
        <f>_xll.qlSimpleQuote(C79,,RateTickValue,Permanent,Trigger,ObjectOverwrite)</f>
        <v>EUR42x54F_SYNTH1Y_Quote#0001</v>
      </c>
      <c r="E79" s="320" t="str">
        <f>_xll.ohRangeRetrieveError(D79)</f>
        <v/>
      </c>
      <c r="F79" s="190"/>
      <c r="H79" s="182">
        <v>42</v>
      </c>
      <c r="I79" s="307" t="str">
        <f t="shared" si="7"/>
        <v>42x54F</v>
      </c>
      <c r="J79" s="308" t="e">
        <f>SynthFra!N46</f>
        <v>#NUM!</v>
      </c>
      <c r="K79" s="242"/>
      <c r="L79" s="311">
        <v>1.2778263881708517E-2</v>
      </c>
      <c r="M79" s="242"/>
      <c r="N79" s="313">
        <v>1.2778263881708517E-2</v>
      </c>
      <c r="O79" s="314" t="e">
        <f>_xll.qlSimpleQuoteSetValue(D79,ROUND(N79,6),EvaluationDate)</f>
        <v>#N/A</v>
      </c>
      <c r="P79" s="186"/>
    </row>
    <row r="80" spans="1:16" x14ac:dyDescent="0.2">
      <c r="A80" s="343">
        <v>43</v>
      </c>
      <c r="B80" s="326" t="str">
        <f t="shared" si="5"/>
        <v>43x55F</v>
      </c>
      <c r="C80" s="179" t="str">
        <f t="shared" si="6"/>
        <v>EUR43x55F_SYNTH1Y_Quote</v>
      </c>
      <c r="D80" s="327" t="str">
        <f>_xll.qlSimpleQuote(C80,,RateTickValue,Permanent,Trigger,ObjectOverwrite)</f>
        <v>EUR43x55F_SYNTH1Y_Quote#0001</v>
      </c>
      <c r="E80" s="320" t="str">
        <f>_xll.ohRangeRetrieveError(D80)</f>
        <v/>
      </c>
      <c r="F80" s="190"/>
      <c r="H80" s="182">
        <v>43</v>
      </c>
      <c r="I80" s="307" t="str">
        <f t="shared" si="7"/>
        <v>43x55F</v>
      </c>
      <c r="J80" s="308" t="e">
        <f>SynthFra!N47</f>
        <v>#NUM!</v>
      </c>
      <c r="K80" s="242"/>
      <c r="L80" s="311">
        <v>1.3108091155920237E-2</v>
      </c>
      <c r="M80" s="242"/>
      <c r="N80" s="313">
        <v>1.3108091155920237E-2</v>
      </c>
      <c r="O80" s="314" t="e">
        <f>_xll.qlSimpleQuoteSetValue(D80,ROUND(N80,6),EvaluationDate)</f>
        <v>#N/A</v>
      </c>
      <c r="P80" s="186"/>
    </row>
    <row r="81" spans="1:16" x14ac:dyDescent="0.2">
      <c r="A81" s="343">
        <v>44</v>
      </c>
      <c r="B81" s="326" t="str">
        <f t="shared" si="5"/>
        <v>44x56F</v>
      </c>
      <c r="C81" s="179" t="str">
        <f t="shared" si="6"/>
        <v>EUR44x56F_SYNTH1Y_Quote</v>
      </c>
      <c r="D81" s="327" t="str">
        <f>_xll.qlSimpleQuote(C81,,RateTickValue,Permanent,Trigger,ObjectOverwrite)</f>
        <v>EUR44x56F_SYNTH1Y_Quote#0001</v>
      </c>
      <c r="E81" s="320" t="str">
        <f>_xll.ohRangeRetrieveError(D81)</f>
        <v/>
      </c>
      <c r="F81" s="190"/>
      <c r="H81" s="182">
        <v>44</v>
      </c>
      <c r="I81" s="307" t="str">
        <f t="shared" si="7"/>
        <v>44x56F</v>
      </c>
      <c r="J81" s="308" t="e">
        <f>SynthFra!N48</f>
        <v>#NUM!</v>
      </c>
      <c r="K81" s="242"/>
      <c r="L81" s="311">
        <v>1.3499794465815278E-2</v>
      </c>
      <c r="M81" s="242"/>
      <c r="N81" s="313">
        <v>1.3499794465815278E-2</v>
      </c>
      <c r="O81" s="314" t="e">
        <f>_xll.qlSimpleQuoteSetValue(D81,ROUND(N81,6),EvaluationDate)</f>
        <v>#N/A</v>
      </c>
      <c r="P81" s="186"/>
    </row>
    <row r="82" spans="1:16" x14ac:dyDescent="0.2">
      <c r="A82" s="343">
        <v>45</v>
      </c>
      <c r="B82" s="326" t="str">
        <f t="shared" si="5"/>
        <v>45x57F</v>
      </c>
      <c r="C82" s="179" t="str">
        <f t="shared" si="6"/>
        <v>EUR45x57F_SYNTH1Y_Quote</v>
      </c>
      <c r="D82" s="327" t="str">
        <f>_xll.qlSimpleQuote(C82,,RateTickValue,Permanent,Trigger,ObjectOverwrite)</f>
        <v>EUR45x57F_SYNTH1Y_Quote#0001</v>
      </c>
      <c r="E82" s="320" t="str">
        <f>_xll.ohRangeRetrieveError(D82)</f>
        <v/>
      </c>
      <c r="F82" s="190"/>
      <c r="H82" s="182">
        <v>45</v>
      </c>
      <c r="I82" s="307" t="str">
        <f t="shared" si="7"/>
        <v>45x57F</v>
      </c>
      <c r="J82" s="308" t="e">
        <f>SynthFra!N49</f>
        <v>#NUM!</v>
      </c>
      <c r="K82" s="242"/>
      <c r="L82" s="311">
        <v>1.3842737344643009E-2</v>
      </c>
      <c r="M82" s="242"/>
      <c r="N82" s="313">
        <v>1.3842737344643009E-2</v>
      </c>
      <c r="O82" s="314" t="e">
        <f>_xll.qlSimpleQuoteSetValue(D82,ROUND(N82,6),EvaluationDate)</f>
        <v>#N/A</v>
      </c>
      <c r="P82" s="186"/>
    </row>
    <row r="83" spans="1:16" x14ac:dyDescent="0.2">
      <c r="A83" s="343">
        <v>46</v>
      </c>
      <c r="B83" s="326" t="str">
        <f t="shared" si="5"/>
        <v>46x58F</v>
      </c>
      <c r="C83" s="179" t="str">
        <f t="shared" si="6"/>
        <v>EUR46x58F_SYNTH1Y_Quote</v>
      </c>
      <c r="D83" s="327" t="str">
        <f>_xll.qlSimpleQuote(C83,,RateTickValue,Permanent,Trigger,ObjectOverwrite)</f>
        <v>EUR46x58F_SYNTH1Y_Quote#0001</v>
      </c>
      <c r="E83" s="320" t="str">
        <f>_xll.ohRangeRetrieveError(D83)</f>
        <v/>
      </c>
      <c r="F83" s="190"/>
      <c r="H83" s="182">
        <v>46</v>
      </c>
      <c r="I83" s="307" t="str">
        <f t="shared" si="7"/>
        <v>46x58F</v>
      </c>
      <c r="J83" s="308" t="e">
        <f>SynthFra!N50</f>
        <v>#NUM!</v>
      </c>
      <c r="K83" s="242"/>
      <c r="L83" s="311">
        <v>1.4210090520771962E-2</v>
      </c>
      <c r="M83" s="242"/>
      <c r="N83" s="313">
        <v>1.4210090520771962E-2</v>
      </c>
      <c r="O83" s="314" t="e">
        <f>_xll.qlSimpleQuoteSetValue(D83,ROUND(N83,6),EvaluationDate)</f>
        <v>#N/A</v>
      </c>
      <c r="P83" s="186"/>
    </row>
    <row r="84" spans="1:16" ht="12" thickBot="1" x14ac:dyDescent="0.25">
      <c r="A84" s="344">
        <v>47</v>
      </c>
      <c r="B84" s="329" t="str">
        <f t="shared" si="5"/>
        <v>47x59F</v>
      </c>
      <c r="C84" s="274" t="str">
        <f t="shared" si="6"/>
        <v>EUR47x59F_SYNTH1Y_Quote</v>
      </c>
      <c r="D84" s="341" t="str">
        <f>_xll.qlSimpleQuote(C84,,RateTickValue,Permanent,Trigger,ObjectOverwrite)</f>
        <v>EUR47x59F_SYNTH1Y_Quote#0001</v>
      </c>
      <c r="E84" s="331" t="str">
        <f>_xll.ohRangeRetrieveError(D84)</f>
        <v/>
      </c>
      <c r="F84" s="190"/>
      <c r="H84" s="182">
        <v>47</v>
      </c>
      <c r="I84" s="309" t="str">
        <f t="shared" si="7"/>
        <v>47x59F</v>
      </c>
      <c r="J84" s="310" t="e">
        <f>SynthFra!N51</f>
        <v>#NUM!</v>
      </c>
      <c r="K84" s="242"/>
      <c r="L84" s="312">
        <v>1.4577456619592477E-2</v>
      </c>
      <c r="M84" s="242"/>
      <c r="N84" s="351">
        <v>1.4577456619592477E-2</v>
      </c>
      <c r="O84" s="352" t="e">
        <f>_xll.qlSimpleQuoteSetValue(D84,ROUND(N84,6),EvaluationDate)</f>
        <v>#N/A</v>
      </c>
      <c r="P84" s="186"/>
    </row>
    <row r="85" spans="1:16" ht="12" thickBot="1" x14ac:dyDescent="0.25">
      <c r="A85" s="191"/>
      <c r="B85" s="263"/>
      <c r="C85" s="264"/>
      <c r="D85" s="264"/>
      <c r="E85" s="264"/>
      <c r="F85" s="192"/>
      <c r="H85" s="187"/>
      <c r="I85" s="188"/>
      <c r="J85" s="188"/>
      <c r="K85" s="188"/>
      <c r="L85" s="188"/>
      <c r="M85" s="188"/>
      <c r="N85" s="188"/>
      <c r="O85" s="188"/>
      <c r="P85" s="18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51</vt:i4>
      </vt:variant>
    </vt:vector>
  </HeadingPairs>
  <TitlesOfParts>
    <vt:vector size="56" baseType="lpstr">
      <vt:lpstr>General Settings</vt:lpstr>
      <vt:lpstr>SynthDepo</vt:lpstr>
      <vt:lpstr>RateHelpersFra</vt:lpstr>
      <vt:lpstr>SynthFra</vt:lpstr>
      <vt:lpstr>Contribution</vt:lpstr>
      <vt:lpstr>Accuracy</vt:lpstr>
      <vt:lpstr>AllTriggers</vt:lpstr>
      <vt:lpstr>BasisInterpolation</vt:lpstr>
      <vt:lpstr>BasisInterpolator</vt:lpstr>
      <vt:lpstr>Calendar</vt:lpstr>
      <vt:lpstr>Currency</vt:lpstr>
      <vt:lpstr>DayCounter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Zanzi, Maddalena (IT - Milano)</cp:lastModifiedBy>
  <cp:lastPrinted>2014-03-18T13:51:31Z</cp:lastPrinted>
  <dcterms:created xsi:type="dcterms:W3CDTF">2007-10-30T15:41:10Z</dcterms:created>
  <dcterms:modified xsi:type="dcterms:W3CDTF">2014-07-15T16:45:28Z</dcterms:modified>
</cp:coreProperties>
</file>